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15.xml" ContentType="application/vnd.openxmlformats-officedocument.drawing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16.xml" ContentType="application/vnd.openxmlformats-officedocument.drawing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9.xml" ContentType="application/vnd.openxmlformats-officedocument.spreadsheetml.comments+xml"/>
  <Override PartName="/xl/drawings/drawing19.xml" ContentType="application/vnd.openxmlformats-officedocument.drawing+xml"/>
  <Override PartName="/xl/comments30.xml" ContentType="application/vnd.openxmlformats-officedocument.spreadsheetml.comments+xml"/>
  <Override PartName="/xl/drawings/drawing20.xml" ContentType="application/vnd.openxmlformats-officedocument.drawing+xml"/>
  <Override PartName="/xl/comments31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32.xml" ContentType="application/vnd.openxmlformats-officedocument.spreadsheetml.comments+xml"/>
  <Override PartName="/xl/drawings/drawing23.xml" ContentType="application/vnd.openxmlformats-officedocument.drawing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drawings/drawing24.xml" ContentType="application/vnd.openxmlformats-officedocument.drawing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drawings/drawing25.xml" ContentType="application/vnd.openxmlformats-officedocument.drawing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MOUSTAID\Production - Gestion &amp; situations\2015\"/>
    </mc:Choice>
  </mc:AlternateContent>
  <bookViews>
    <workbookView xWindow="0" yWindow="0" windowWidth="20490" windowHeight="7755" tabRatio="909"/>
  </bookViews>
  <sheets>
    <sheet name="Sythèse_Prod au 31-12-15" sheetId="107" r:id="rId1"/>
    <sheet name="201502000_ET" sheetId="293" r:id="rId2"/>
    <sheet name="201501292_ET" sheetId="295" r:id="rId3"/>
    <sheet name="201501266_ET" sheetId="296" r:id="rId4"/>
    <sheet name="201500563_ET" sheetId="294" r:id="rId5"/>
    <sheet name="201500445-DET" sheetId="297" r:id="rId6"/>
    <sheet name="201500468_ET" sheetId="284" r:id="rId7"/>
    <sheet name="201500266_ET" sheetId="289" r:id="rId8"/>
    <sheet name="201401401 _ET" sheetId="290" r:id="rId9"/>
    <sheet name="201401400_ET" sheetId="291" r:id="rId10"/>
    <sheet name="201401290_ET" sheetId="292" r:id="rId11"/>
    <sheet name="201401289_ET" sheetId="286" r:id="rId12"/>
    <sheet name="201401183_ET" sheetId="287" r:id="rId13"/>
    <sheet name="201401079_ET" sheetId="252" r:id="rId14"/>
    <sheet name="201400966_ET" sheetId="254" r:id="rId15"/>
    <sheet name="201400652_ET" sheetId="257" r:id="rId16"/>
    <sheet name="201400520_ET" sheetId="288" r:id="rId17"/>
    <sheet name="201400400_ET" sheetId="258" r:id="rId18"/>
    <sheet name="201400285_ET" sheetId="248" r:id="rId19"/>
    <sheet name="201400270-ET" sheetId="259" r:id="rId20"/>
    <sheet name="201400269-ET" sheetId="260" r:id="rId21"/>
    <sheet name="201400193_ET" sheetId="255" r:id="rId22"/>
    <sheet name="201400181_ET" sheetId="220" r:id="rId23"/>
    <sheet name="201400116_ET" sheetId="249" r:id="rId24"/>
    <sheet name="201400097_ET" sheetId="250" r:id="rId25"/>
    <sheet name="201400015_ET" sheetId="285" r:id="rId26"/>
    <sheet name="201400007_ET" sheetId="251" r:id="rId27"/>
    <sheet name="201301585_ET" sheetId="261" r:id="rId28"/>
    <sheet name="201301466_ET" sheetId="218" r:id="rId29"/>
    <sheet name="201301121_ET" sheetId="262" r:id="rId30"/>
    <sheet name="201301087_ET" sheetId="221" r:id="rId31"/>
    <sheet name="201300767_ET" sheetId="173" r:id="rId32"/>
    <sheet name="201200568_ET" sheetId="263" r:id="rId33"/>
    <sheet name="201200552_ET" sheetId="264" r:id="rId34"/>
    <sheet name="201200551_ET" sheetId="174" r:id="rId35"/>
    <sheet name="201200365_ET" sheetId="175" r:id="rId36"/>
    <sheet name="201200364_ET" sheetId="176" r:id="rId37"/>
    <sheet name="201200077_ET" sheetId="177" r:id="rId38"/>
    <sheet name="201101296_ET" sheetId="178" r:id="rId39"/>
    <sheet name="201101061_ET" sheetId="265" r:id="rId40"/>
    <sheet name="201100884_ET " sheetId="266" r:id="rId41"/>
    <sheet name="201100883_ET" sheetId="267" r:id="rId42"/>
    <sheet name="201100882_ET" sheetId="179" r:id="rId43"/>
    <sheet name="201100790_ET" sheetId="268" r:id="rId44"/>
    <sheet name="201100789_ET" sheetId="269" r:id="rId45"/>
    <sheet name="201100788_ET" sheetId="270" r:id="rId46"/>
    <sheet name="201100787_ET" sheetId="271" r:id="rId47"/>
    <sheet name="201100722_ET" sheetId="272" r:id="rId48"/>
    <sheet name="201100650_ET " sheetId="180" r:id="rId49"/>
    <sheet name="201100576_ET" sheetId="273" r:id="rId50"/>
    <sheet name="201100504_ET" sheetId="181" r:id="rId51"/>
    <sheet name="201100484_ET" sheetId="274" r:id="rId52"/>
    <sheet name="201100483_ET" sheetId="182" r:id="rId53"/>
    <sheet name="201100482_ET " sheetId="183" r:id="rId54"/>
    <sheet name="201100435_ET" sheetId="275" r:id="rId55"/>
    <sheet name="201100350_ET" sheetId="184" r:id="rId56"/>
    <sheet name="201100187_ET" sheetId="185" r:id="rId57"/>
    <sheet name="201001080_ET" sheetId="186" r:id="rId58"/>
    <sheet name="201001028_ET" sheetId="187" r:id="rId59"/>
    <sheet name="201000973_ET" sheetId="188" r:id="rId60"/>
    <sheet name="201000951_ET" sheetId="189" r:id="rId61"/>
    <sheet name="201000949_ET" sheetId="276" r:id="rId62"/>
    <sheet name="201000941_ET" sheetId="277" r:id="rId63"/>
    <sheet name="201000890_ET" sheetId="278" r:id="rId64"/>
    <sheet name="201000825_ET" sheetId="279" r:id="rId65"/>
    <sheet name="201000800_ET" sheetId="190" r:id="rId66"/>
    <sheet name="201000727_ET" sheetId="191" r:id="rId67"/>
    <sheet name="201000713_ET" sheetId="280" r:id="rId68"/>
    <sheet name="201000397_ET" sheetId="193" r:id="rId69"/>
    <sheet name="201000101_ET" sheetId="194" r:id="rId70"/>
    <sheet name="201000072_ET" sheetId="192" r:id="rId71"/>
    <sheet name="201000055_ET" sheetId="195" r:id="rId72"/>
    <sheet name="200900570_ET" sheetId="196" r:id="rId73"/>
    <sheet name="200900304_ET" sheetId="197" r:id="rId74"/>
    <sheet name="200900225_ET" sheetId="206" r:id="rId75"/>
    <sheet name="200900179_ET" sheetId="198" r:id="rId76"/>
    <sheet name="200900140_ET" sheetId="199" r:id="rId77"/>
    <sheet name="200900048-ET" sheetId="281" r:id="rId78"/>
    <sheet name="200900027_ET" sheetId="282" r:id="rId79"/>
    <sheet name="200800724_ET" sheetId="283" r:id="rId80"/>
    <sheet name="200800500_ET" sheetId="213" r:id="rId81"/>
    <sheet name="200800365_ET" sheetId="200" r:id="rId82"/>
    <sheet name="200600317_ET" sheetId="205" r:id="rId83"/>
  </sheets>
  <externalReferences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</externalReferences>
  <definedNames>
    <definedName name="\\B" localSheetId="77">#REF!</definedName>
    <definedName name="\\B" localSheetId="76">#REF!</definedName>
    <definedName name="\\B" localSheetId="67">#REF!</definedName>
    <definedName name="\\B" localSheetId="63">#REF!</definedName>
    <definedName name="\\B" localSheetId="62">#REF!</definedName>
    <definedName name="\\B" localSheetId="61">#REF!</definedName>
    <definedName name="\\B" localSheetId="60">#REF!</definedName>
    <definedName name="\\B" localSheetId="59">#REF!</definedName>
    <definedName name="\\B" localSheetId="58">#REF!</definedName>
    <definedName name="\\B" localSheetId="57">#REF!</definedName>
    <definedName name="\\B" localSheetId="56">#REF!</definedName>
    <definedName name="\\B" localSheetId="54">#REF!</definedName>
    <definedName name="\\B" localSheetId="53">#REF!</definedName>
    <definedName name="\\B" localSheetId="52">#REF!</definedName>
    <definedName name="\\B" localSheetId="51">#REF!</definedName>
    <definedName name="\\B" localSheetId="50">#REF!</definedName>
    <definedName name="\\B" localSheetId="48">#REF!</definedName>
    <definedName name="\\B" localSheetId="47">#REF!</definedName>
    <definedName name="\\B" localSheetId="46">#REF!</definedName>
    <definedName name="\\B" localSheetId="45">#REF!</definedName>
    <definedName name="\\B" localSheetId="44">#REF!</definedName>
    <definedName name="\\B" localSheetId="43">#REF!</definedName>
    <definedName name="\\B" localSheetId="42">#REF!</definedName>
    <definedName name="\\B" localSheetId="41">#REF!</definedName>
    <definedName name="\\B" localSheetId="40">#REF!</definedName>
    <definedName name="\\B" localSheetId="39">#REF!</definedName>
    <definedName name="\\B" localSheetId="33">#REF!</definedName>
    <definedName name="\\B" localSheetId="32">#REF!</definedName>
    <definedName name="\\B" localSheetId="21">#REF!</definedName>
    <definedName name="\\B" localSheetId="20">#REF!</definedName>
    <definedName name="\\B" localSheetId="16">#REF!</definedName>
    <definedName name="\\B" localSheetId="12">#REF!</definedName>
    <definedName name="\\B" localSheetId="11">#REF!</definedName>
    <definedName name="\\B" localSheetId="10">#REF!</definedName>
    <definedName name="\\B" localSheetId="9">#REF!</definedName>
    <definedName name="\\B" localSheetId="8">#REF!</definedName>
    <definedName name="\\B" localSheetId="7">#REF!</definedName>
    <definedName name="\\B" localSheetId="5">#REF!</definedName>
    <definedName name="\\B" localSheetId="6">#REF!</definedName>
    <definedName name="\\B" localSheetId="4">#REF!</definedName>
    <definedName name="\\B" localSheetId="3">#REF!</definedName>
    <definedName name="\\B" localSheetId="2">#REF!</definedName>
    <definedName name="\\B" localSheetId="1">#REF!</definedName>
    <definedName name="\\B">#REF!</definedName>
    <definedName name="\A" localSheetId="77">#REF!</definedName>
    <definedName name="\A" localSheetId="76">#REF!</definedName>
    <definedName name="\A" localSheetId="73">#REF!</definedName>
    <definedName name="\A" localSheetId="67">#REF!</definedName>
    <definedName name="\A" localSheetId="62">#REF!</definedName>
    <definedName name="\A" localSheetId="59">#REF!</definedName>
    <definedName name="\A" localSheetId="57">#REF!</definedName>
    <definedName name="\A" localSheetId="54">#REF!</definedName>
    <definedName name="\A" localSheetId="53">#REF!</definedName>
    <definedName name="\A" localSheetId="52">#REF!</definedName>
    <definedName name="\A" localSheetId="51">#REF!</definedName>
    <definedName name="\A" localSheetId="50">#REF!</definedName>
    <definedName name="\A" localSheetId="48">#REF!</definedName>
    <definedName name="\A" localSheetId="47">#REF!</definedName>
    <definedName name="\A" localSheetId="46">#REF!</definedName>
    <definedName name="\A" localSheetId="45">#REF!</definedName>
    <definedName name="\A" localSheetId="44">#REF!</definedName>
    <definedName name="\A" localSheetId="43">#REF!</definedName>
    <definedName name="\A" localSheetId="42">#REF!</definedName>
    <definedName name="\A" localSheetId="41">#REF!</definedName>
    <definedName name="\A" localSheetId="40">#REF!</definedName>
    <definedName name="\A" localSheetId="39">#REF!</definedName>
    <definedName name="\A" localSheetId="33">#REF!</definedName>
    <definedName name="\A" localSheetId="32">#REF!</definedName>
    <definedName name="\A" localSheetId="25">#REF!</definedName>
    <definedName name="\A" localSheetId="21">#REF!</definedName>
    <definedName name="\A" localSheetId="20">#REF!</definedName>
    <definedName name="\A" localSheetId="18">#REF!</definedName>
    <definedName name="\A" localSheetId="16">#REF!</definedName>
    <definedName name="\A" localSheetId="12">#REF!</definedName>
    <definedName name="\A" localSheetId="11">#REF!</definedName>
    <definedName name="\A" localSheetId="10">#REF!</definedName>
    <definedName name="\A" localSheetId="9">#REF!</definedName>
    <definedName name="\A" localSheetId="8">#REF!</definedName>
    <definedName name="\A" localSheetId="7">#REF!</definedName>
    <definedName name="\A" localSheetId="5">#REF!</definedName>
    <definedName name="\A" localSheetId="6">#REF!</definedName>
    <definedName name="\A" localSheetId="4">#REF!</definedName>
    <definedName name="\A" localSheetId="3">#REF!</definedName>
    <definedName name="\A" localSheetId="2">#REF!</definedName>
    <definedName name="\A" localSheetId="1">#REF!</definedName>
    <definedName name="\A" localSheetId="0">#REF!</definedName>
    <definedName name="\A">#REF!</definedName>
    <definedName name="\B" localSheetId="77">#REF!</definedName>
    <definedName name="\B" localSheetId="76">#REF!</definedName>
    <definedName name="\B" localSheetId="73">#REF!</definedName>
    <definedName name="\B" localSheetId="67">#REF!</definedName>
    <definedName name="\B" localSheetId="62">#REF!</definedName>
    <definedName name="\B" localSheetId="59">#REF!</definedName>
    <definedName name="\B" localSheetId="57">#REF!</definedName>
    <definedName name="\B" localSheetId="54">#REF!</definedName>
    <definedName name="\B" localSheetId="53">#REF!</definedName>
    <definedName name="\B" localSheetId="52">#REF!</definedName>
    <definedName name="\B" localSheetId="51">#REF!</definedName>
    <definedName name="\B" localSheetId="50">#REF!</definedName>
    <definedName name="\B" localSheetId="48">#REF!</definedName>
    <definedName name="\B" localSheetId="47">#REF!</definedName>
    <definedName name="\B" localSheetId="46">#REF!</definedName>
    <definedName name="\B" localSheetId="45">#REF!</definedName>
    <definedName name="\B" localSheetId="44">#REF!</definedName>
    <definedName name="\B" localSheetId="43">#REF!</definedName>
    <definedName name="\B" localSheetId="42">#REF!</definedName>
    <definedName name="\B" localSheetId="41">#REF!</definedName>
    <definedName name="\B" localSheetId="40">#REF!</definedName>
    <definedName name="\B" localSheetId="39">#REF!</definedName>
    <definedName name="\B" localSheetId="33">#REF!</definedName>
    <definedName name="\B" localSheetId="32">#REF!</definedName>
    <definedName name="\B" localSheetId="25">#REF!</definedName>
    <definedName name="\B" localSheetId="21">#REF!</definedName>
    <definedName name="\B" localSheetId="20">#REF!</definedName>
    <definedName name="\B" localSheetId="18">#REF!</definedName>
    <definedName name="\B" localSheetId="16">#REF!</definedName>
    <definedName name="\B" localSheetId="12">#REF!</definedName>
    <definedName name="\B" localSheetId="11">#REF!</definedName>
    <definedName name="\B" localSheetId="10">#REF!</definedName>
    <definedName name="\B" localSheetId="9">#REF!</definedName>
    <definedName name="\B" localSheetId="8">#REF!</definedName>
    <definedName name="\B" localSheetId="7">#REF!</definedName>
    <definedName name="\B" localSheetId="5">#REF!</definedName>
    <definedName name="\B" localSheetId="6">#REF!</definedName>
    <definedName name="\B" localSheetId="4">#REF!</definedName>
    <definedName name="\B" localSheetId="3">#REF!</definedName>
    <definedName name="\B" localSheetId="2">#REF!</definedName>
    <definedName name="\B" localSheetId="1">#REF!</definedName>
    <definedName name="\B" localSheetId="0">#REF!</definedName>
    <definedName name="\B">#REF!</definedName>
    <definedName name="\BB" localSheetId="20">#REF!</definedName>
    <definedName name="\BB" localSheetId="5">#REF!</definedName>
    <definedName name="\BB" localSheetId="1">#REF!</definedName>
    <definedName name="\BB">#REF!</definedName>
    <definedName name="\C" localSheetId="77">#REF!</definedName>
    <definedName name="\C" localSheetId="76">#REF!</definedName>
    <definedName name="\C" localSheetId="73">#REF!</definedName>
    <definedName name="\C" localSheetId="67">#REF!</definedName>
    <definedName name="\C" localSheetId="62">#REF!</definedName>
    <definedName name="\C" localSheetId="59">#REF!</definedName>
    <definedName name="\C" localSheetId="57">#REF!</definedName>
    <definedName name="\C" localSheetId="54">#REF!</definedName>
    <definedName name="\C" localSheetId="53">#REF!</definedName>
    <definedName name="\C" localSheetId="52">#REF!</definedName>
    <definedName name="\C" localSheetId="51">#REF!</definedName>
    <definedName name="\C" localSheetId="50">#REF!</definedName>
    <definedName name="\C" localSheetId="48">#REF!</definedName>
    <definedName name="\C" localSheetId="47">#REF!</definedName>
    <definedName name="\C" localSheetId="46">#REF!</definedName>
    <definedName name="\C" localSheetId="45">#REF!</definedName>
    <definedName name="\C" localSheetId="44">#REF!</definedName>
    <definedName name="\C" localSheetId="43">#REF!</definedName>
    <definedName name="\C" localSheetId="42">#REF!</definedName>
    <definedName name="\C" localSheetId="41">#REF!</definedName>
    <definedName name="\C" localSheetId="40">#REF!</definedName>
    <definedName name="\C" localSheetId="39">#REF!</definedName>
    <definedName name="\C" localSheetId="33">#REF!</definedName>
    <definedName name="\C" localSheetId="32">#REF!</definedName>
    <definedName name="\C" localSheetId="25">#REF!</definedName>
    <definedName name="\C" localSheetId="21">#REF!</definedName>
    <definedName name="\C" localSheetId="20">#REF!</definedName>
    <definedName name="\C" localSheetId="18">#REF!</definedName>
    <definedName name="\C" localSheetId="16">#REF!</definedName>
    <definedName name="\C" localSheetId="12">#REF!</definedName>
    <definedName name="\C" localSheetId="11">#REF!</definedName>
    <definedName name="\C" localSheetId="10">#REF!</definedName>
    <definedName name="\C" localSheetId="9">#REF!</definedName>
    <definedName name="\C" localSheetId="8">#REF!</definedName>
    <definedName name="\C" localSheetId="7">#REF!</definedName>
    <definedName name="\C" localSheetId="5">#REF!</definedName>
    <definedName name="\C" localSheetId="6">#REF!</definedName>
    <definedName name="\C" localSheetId="4">#REF!</definedName>
    <definedName name="\C" localSheetId="3">#REF!</definedName>
    <definedName name="\C" localSheetId="2">#REF!</definedName>
    <definedName name="\C" localSheetId="1">#REF!</definedName>
    <definedName name="\C" localSheetId="0">#REF!</definedName>
    <definedName name="\C">#REF!</definedName>
    <definedName name="___rt1" localSheetId="5">#REF!</definedName>
    <definedName name="___rt1" localSheetId="1">#REF!</definedName>
    <definedName name="___rt1">#REF!</definedName>
    <definedName name="___rt2" localSheetId="5">#REF!</definedName>
    <definedName name="___rt2" localSheetId="1">#REF!</definedName>
    <definedName name="___rt2">#REF!</definedName>
    <definedName name="__rt1" localSheetId="5">#REF!</definedName>
    <definedName name="__rt1" localSheetId="1">#REF!</definedName>
    <definedName name="__rt1">#REF!</definedName>
    <definedName name="__rt2" localSheetId="5">#REF!</definedName>
    <definedName name="__rt2" localSheetId="1">#REF!</definedName>
    <definedName name="__rt2">#REF!</definedName>
    <definedName name="_1Données_aval_.Bouton15_QuandClic" localSheetId="24">[1]!'[Données aval].Bouton15_QuandClic'</definedName>
    <definedName name="_1Données_aval_.Bouton15_QuandClic" localSheetId="5">[1]!'[Données aval].Bouton15_QuandClic'</definedName>
    <definedName name="_1Données_aval_.Bouton15_QuandClic" localSheetId="1">[1]!'[Données aval].Bouton15_QuandClic'</definedName>
    <definedName name="_1Données_aval_.Bouton15_QuandClic">[1]!'[Données aval].Bouton15_QuandClic'</definedName>
    <definedName name="_2Données_aval_.Bouton15_QuandClic" localSheetId="26">[1]!'[Données aval].Bouton15_QuandClic'</definedName>
    <definedName name="_3Données_aval_.Bouton15_QuandClic" localSheetId="14">[1]!'[Données aval].Bouton15_QuandClic'</definedName>
    <definedName name="_4Données_aval_.Bouton15_QuandClic" localSheetId="13">[1]!'[Données aval].Bouton15_QuandClic'</definedName>
    <definedName name="_5Données_aval_.Bouton15_QuandClic" localSheetId="80">[1]!'[Données aval].Bouton15_QuandClic'</definedName>
    <definedName name="_6Données_aval_.Bouton15_QuandClic" localSheetId="5">[1]!'[Données aval].Bouton15_QuandClic'</definedName>
    <definedName name="_6Données_aval_.Bouton15_QuandClic" localSheetId="1">[1]!'[Données aval].Bouton15_QuandClic'</definedName>
    <definedName name="_6Données_aval_.Bouton15_QuandClic">[1]!'[Données aval].Bouton15_QuandClic'</definedName>
    <definedName name="_xlnm._FilterDatabase" localSheetId="0" hidden="1">'Sythèse_Prod au 31-12-15'!$R$1:$R$477</definedName>
    <definedName name="_Order1" hidden="1">0</definedName>
    <definedName name="_Order2" hidden="1">0</definedName>
    <definedName name="_rt1" localSheetId="20">#REF!</definedName>
    <definedName name="_rt1" localSheetId="5">#REF!</definedName>
    <definedName name="_rt1" localSheetId="1">#REF!</definedName>
    <definedName name="_rt1">#REF!</definedName>
    <definedName name="_rt2" localSheetId="20">#REF!</definedName>
    <definedName name="_rt2" localSheetId="5">#REF!</definedName>
    <definedName name="_rt2" localSheetId="1">#REF!</definedName>
    <definedName name="_rt2">#REF!</definedName>
    <definedName name="_tab1">[17]C2L!$O$196:$Q$294</definedName>
    <definedName name="Acompte_OS" localSheetId="5">#REF!</definedName>
    <definedName name="Acompte_OS">#REF!</definedName>
    <definedName name="BIS" localSheetId="77">#REF!</definedName>
    <definedName name="BIS" localSheetId="76">#REF!</definedName>
    <definedName name="BIS" localSheetId="67">#REF!</definedName>
    <definedName name="BIS" localSheetId="62">#REF!</definedName>
    <definedName name="BIS" localSheetId="59">#REF!</definedName>
    <definedName name="BIS" localSheetId="57">#REF!</definedName>
    <definedName name="BIS" localSheetId="54">#REF!</definedName>
    <definedName name="BIS" localSheetId="53">#REF!</definedName>
    <definedName name="BIS" localSheetId="52">#REF!</definedName>
    <definedName name="BIS" localSheetId="51">#REF!</definedName>
    <definedName name="BIS" localSheetId="50">#REF!</definedName>
    <definedName name="BIS" localSheetId="48">#REF!</definedName>
    <definedName name="BIS" localSheetId="47">#REF!</definedName>
    <definedName name="BIS" localSheetId="46">#REF!</definedName>
    <definedName name="BIS" localSheetId="45">#REF!</definedName>
    <definedName name="BIS" localSheetId="44">#REF!</definedName>
    <definedName name="BIS" localSheetId="43">#REF!</definedName>
    <definedName name="BIS" localSheetId="42">#REF!</definedName>
    <definedName name="BIS" localSheetId="41">#REF!</definedName>
    <definedName name="BIS" localSheetId="40">#REF!</definedName>
    <definedName name="BIS" localSheetId="39">#REF!</definedName>
    <definedName name="BIS" localSheetId="33">#REF!</definedName>
    <definedName name="BIS" localSheetId="32">#REF!</definedName>
    <definedName name="BIS" localSheetId="25">#REF!</definedName>
    <definedName name="BIS" localSheetId="21">#REF!</definedName>
    <definedName name="BIS" localSheetId="20">#REF!</definedName>
    <definedName name="BIS" localSheetId="16">#REF!</definedName>
    <definedName name="BIS" localSheetId="12">#REF!</definedName>
    <definedName name="BIS" localSheetId="11">#REF!</definedName>
    <definedName name="BIS" localSheetId="10">#REF!</definedName>
    <definedName name="BIS" localSheetId="9">#REF!</definedName>
    <definedName name="BIS" localSheetId="8">#REF!</definedName>
    <definedName name="BIS" localSheetId="7">#REF!</definedName>
    <definedName name="BIS" localSheetId="5">#REF!</definedName>
    <definedName name="BIS" localSheetId="6">#REF!</definedName>
    <definedName name="BIS" localSheetId="4">#REF!</definedName>
    <definedName name="BIS" localSheetId="3">#REF!</definedName>
    <definedName name="BIS" localSheetId="2">#REF!</definedName>
    <definedName name="BIS" localSheetId="1">#REF!</definedName>
    <definedName name="BIS">#REF!</definedName>
    <definedName name="Bouton13_QuandClic" localSheetId="80">[1]!Bouton13_QuandClic</definedName>
    <definedName name="Bouton13_QuandClic" localSheetId="26">[1]!Bouton13_QuandClic</definedName>
    <definedName name="Bouton13_QuandClic" localSheetId="24">[1]!Bouton13_QuandClic</definedName>
    <definedName name="Bouton13_QuandClic" localSheetId="14">[1]!Bouton13_QuandClic</definedName>
    <definedName name="Bouton13_QuandClic" localSheetId="13">[1]!Bouton13_QuandClic</definedName>
    <definedName name="Bouton13_QuandClic" localSheetId="5">[1]!Bouton13_QuandClic</definedName>
    <definedName name="Bouton13_QuandClic" localSheetId="1">[1]!Bouton13_QuandClic</definedName>
    <definedName name="Bouton13_QuandClic">[1]!Bouton13_QuandClic</definedName>
    <definedName name="Bouton27_QuandClic" localSheetId="80">[1]!Bouton27_QuandClic</definedName>
    <definedName name="Bouton27_QuandClic" localSheetId="26">[1]!Bouton27_QuandClic</definedName>
    <definedName name="Bouton27_QuandClic" localSheetId="24">[1]!Bouton27_QuandClic</definedName>
    <definedName name="Bouton27_QuandClic" localSheetId="14">[1]!Bouton27_QuandClic</definedName>
    <definedName name="Bouton27_QuandClic" localSheetId="13">[1]!Bouton27_QuandClic</definedName>
    <definedName name="Bouton27_QuandClic" localSheetId="5">[1]!Bouton27_QuandClic</definedName>
    <definedName name="Bouton27_QuandClic" localSheetId="1">[1]!Bouton27_QuandClic</definedName>
    <definedName name="Bouton27_QuandClic">[1]!Bouton27_QuandClic</definedName>
    <definedName name="cod_dev">[17]C2L!$O$183:$O$188</definedName>
    <definedName name="code_CD" localSheetId="5">#REF!</definedName>
    <definedName name="code_CD">#REF!</definedName>
    <definedName name="coeff_sal" localSheetId="5">#REF!</definedName>
    <definedName name="coeff_sal">#REF!</definedName>
    <definedName name="Corr_Inflation" localSheetId="5">#REF!</definedName>
    <definedName name="Corr_Inflation">#REF!</definedName>
    <definedName name="dev">[17]C2L!$O$183:$R$188</definedName>
    <definedName name="E">'201100350_ET'!$L$11</definedName>
    <definedName name="ENCOURS" localSheetId="77">'[2]92148'!#REF!</definedName>
    <definedName name="ENCOURS" localSheetId="76">'[3]92148'!#REF!</definedName>
    <definedName name="ENCOURS" localSheetId="73">'[4]92148'!#REF!</definedName>
    <definedName name="ENCOURS" localSheetId="67">'[5]92148'!#REF!</definedName>
    <definedName name="ENCOURS" localSheetId="62">'[5]92148'!#REF!</definedName>
    <definedName name="ENCOURS" localSheetId="59">'[5]92148'!#REF!</definedName>
    <definedName name="ENCOURS" localSheetId="57">'[6]92148'!#REF!</definedName>
    <definedName name="ENCOURS" localSheetId="54">'[7]92148'!#REF!</definedName>
    <definedName name="ENCOURS" localSheetId="53">'[8]92148'!#REF!</definedName>
    <definedName name="ENCOURS" localSheetId="52">'[8]92148'!#REF!</definedName>
    <definedName name="ENCOURS" localSheetId="51">'[9]92148'!#REF!</definedName>
    <definedName name="ENCOURS" localSheetId="50">'[8]92148'!#REF!</definedName>
    <definedName name="ENCOURS" localSheetId="48">'[8]92148'!#REF!</definedName>
    <definedName name="ENCOURS" localSheetId="47">'[9]92148'!#REF!</definedName>
    <definedName name="ENCOURS" localSheetId="46">'[9]92148'!#REF!</definedName>
    <definedName name="ENCOURS" localSheetId="45">'[9]92148'!#REF!</definedName>
    <definedName name="ENCOURS" localSheetId="44">'[9]92148'!#REF!</definedName>
    <definedName name="ENCOURS" localSheetId="43">'[9]92148'!#REF!</definedName>
    <definedName name="ENCOURS" localSheetId="42">'[8]92148'!#REF!</definedName>
    <definedName name="ENCOURS" localSheetId="41">'[9]92148'!#REF!</definedName>
    <definedName name="ENCOURS" localSheetId="40">'[9]92148'!#REF!</definedName>
    <definedName name="ENCOURS" localSheetId="39">'[9]92148'!#REF!</definedName>
    <definedName name="ENCOURS" localSheetId="33">'[9]92148'!#REF!</definedName>
    <definedName name="ENCOURS" localSheetId="32">'[3]92148'!#REF!</definedName>
    <definedName name="ENCOURS" localSheetId="26">'[10]92148'!#REF!</definedName>
    <definedName name="ENCOURS" localSheetId="25">'[11]92148'!#REF!</definedName>
    <definedName name="ENCOURS" localSheetId="24">'[10]92148'!#REF!</definedName>
    <definedName name="ENCOURS" localSheetId="21">'[12]92148'!#REF!</definedName>
    <definedName name="ENCOURS" localSheetId="20">'[11]92148'!#REF!</definedName>
    <definedName name="ENCOURS" localSheetId="18">'[11]92148'!#REF!</definedName>
    <definedName name="ENCOURS" localSheetId="16">'[12]92148'!#REF!</definedName>
    <definedName name="ENCOURS" localSheetId="14">'[10]92148'!#REF!</definedName>
    <definedName name="ENCOURS" localSheetId="13">'[10]92148'!#REF!</definedName>
    <definedName name="ENCOURS" localSheetId="12">'[12]92148'!#REF!</definedName>
    <definedName name="ENCOURS" localSheetId="11">'[12]92148'!#REF!</definedName>
    <definedName name="ENCOURS" localSheetId="10">'[12]92148'!#REF!</definedName>
    <definedName name="ENCOURS" localSheetId="9">'[12]92148'!#REF!</definedName>
    <definedName name="ENCOURS" localSheetId="8">'[12]92148'!#REF!</definedName>
    <definedName name="ENCOURS" localSheetId="7">'[12]92148'!#REF!</definedName>
    <definedName name="ENCOURS" localSheetId="5">'[11]92148'!#REF!</definedName>
    <definedName name="ENCOURS" localSheetId="6">'[12]92148'!#REF!</definedName>
    <definedName name="ENCOURS" localSheetId="4">'[12]92148'!#REF!</definedName>
    <definedName name="ENCOURS" localSheetId="3">'[12]92148'!#REF!</definedName>
    <definedName name="ENCOURS" localSheetId="2">'[12]92148'!#REF!</definedName>
    <definedName name="ENCOURS" localSheetId="1">'[12]92148'!#REF!</definedName>
    <definedName name="ENCOURS" localSheetId="0">'[13]92148'!#REF!</definedName>
    <definedName name="ENCOURS">'[10]92148'!#REF!</definedName>
    <definedName name="Entrée_cote_aval" localSheetId="80">[1]!Entrée_cote_aval</definedName>
    <definedName name="Entrée_cote_aval" localSheetId="26">[1]!Entrée_cote_aval</definedName>
    <definedName name="Entrée_cote_aval" localSheetId="24">[1]!Entrée_cote_aval</definedName>
    <definedName name="Entrée_cote_aval" localSheetId="14">[1]!Entrée_cote_aval</definedName>
    <definedName name="Entrée_cote_aval" localSheetId="13">[1]!Entrée_cote_aval</definedName>
    <definedName name="Entrée_cote_aval" localSheetId="5">[1]!Entrée_cote_aval</definedName>
    <definedName name="Entrée_cote_aval" localSheetId="1">[1]!Entrée_cote_aval</definedName>
    <definedName name="Entrée_cote_aval">[1]!Entrée_cote_aval</definedName>
    <definedName name="Entrée_Rugosité" localSheetId="80">[1]!Entrée_Rugosité</definedName>
    <definedName name="Entrée_Rugosité" localSheetId="26">[1]!Entrée_Rugosité</definedName>
    <definedName name="Entrée_Rugosité" localSheetId="24">[1]!Entrée_Rugosité</definedName>
    <definedName name="Entrée_Rugosité" localSheetId="14">[1]!Entrée_Rugosité</definedName>
    <definedName name="Entrée_Rugosité" localSheetId="13">[1]!Entrée_Rugosité</definedName>
    <definedName name="Entrée_Rugosité" localSheetId="5">[1]!Entrée_Rugosité</definedName>
    <definedName name="Entrée_Rugosité" localSheetId="1">[1]!Entrée_Rugosité</definedName>
    <definedName name="Entrée_Rugosité">[1]!Entrée_Rugosité</definedName>
    <definedName name="j_par_mois_CD" localSheetId="5">#REF!</definedName>
    <definedName name="j_par_mois_CD">#REF!</definedName>
    <definedName name="j_par_mois_LD" localSheetId="5">#REF!</definedName>
    <definedName name="j_par_mois_LD">#REF!</definedName>
    <definedName name="MACROTM" localSheetId="77">#REF!</definedName>
    <definedName name="MACROTM" localSheetId="76">#REF!</definedName>
    <definedName name="MACROTM" localSheetId="73">#REF!</definedName>
    <definedName name="MACROTM" localSheetId="67">#REF!</definedName>
    <definedName name="MACROTM" localSheetId="62">#REF!</definedName>
    <definedName name="MACROTM" localSheetId="59">#REF!</definedName>
    <definedName name="MACROTM" localSheetId="57">#REF!</definedName>
    <definedName name="MACROTM" localSheetId="54">#REF!</definedName>
    <definedName name="MACROTM" localSheetId="53">#REF!</definedName>
    <definedName name="MACROTM" localSheetId="52">#REF!</definedName>
    <definedName name="MACROTM" localSheetId="51">#REF!</definedName>
    <definedName name="MACROTM" localSheetId="50">#REF!</definedName>
    <definedName name="MACROTM" localSheetId="48">#REF!</definedName>
    <definedName name="MACROTM" localSheetId="47">#REF!</definedName>
    <definedName name="MACROTM" localSheetId="46">#REF!</definedName>
    <definedName name="MACROTM" localSheetId="45">#REF!</definedName>
    <definedName name="MACROTM" localSheetId="44">#REF!</definedName>
    <definedName name="MACROTM" localSheetId="43">#REF!</definedName>
    <definedName name="MACROTM" localSheetId="42">#REF!</definedName>
    <definedName name="MACROTM" localSheetId="41">#REF!</definedName>
    <definedName name="MACROTM" localSheetId="40">#REF!</definedName>
    <definedName name="MACROTM" localSheetId="39">#REF!</definedName>
    <definedName name="MACROTM" localSheetId="33">#REF!</definedName>
    <definedName name="MACROTM" localSheetId="32">#REF!</definedName>
    <definedName name="MACROTM" localSheetId="25">#REF!</definedName>
    <definedName name="MACROTM" localSheetId="21">#REF!</definedName>
    <definedName name="MACROTM" localSheetId="20">#REF!</definedName>
    <definedName name="MACROTM" localSheetId="18">#REF!</definedName>
    <definedName name="MACROTM" localSheetId="16">#REF!</definedName>
    <definedName name="MACROTM" localSheetId="12">#REF!</definedName>
    <definedName name="MACROTM" localSheetId="11">#REF!</definedName>
    <definedName name="MACROTM" localSheetId="10">#REF!</definedName>
    <definedName name="MACROTM" localSheetId="9">#REF!</definedName>
    <definedName name="MACROTM" localSheetId="8">#REF!</definedName>
    <definedName name="MACROTM" localSheetId="7">#REF!</definedName>
    <definedName name="MACROTM" localSheetId="5">#REF!</definedName>
    <definedName name="MACROTM" localSheetId="6">#REF!</definedName>
    <definedName name="MACROTM" localSheetId="4">#REF!</definedName>
    <definedName name="MACROTM" localSheetId="3">#REF!</definedName>
    <definedName name="MACROTM" localSheetId="2">#REF!</definedName>
    <definedName name="MACROTM" localSheetId="1">#REF!</definedName>
    <definedName name="MACROTM" localSheetId="0">#REF!</definedName>
    <definedName name="MACROTM">#REF!</definedName>
    <definedName name="markup_Dir_Proj" localSheetId="5">#REF!</definedName>
    <definedName name="markup_Dir_Proj">#REF!</definedName>
    <definedName name="markup_frais_Maroc" localSheetId="5">#REF!</definedName>
    <definedName name="markup_frais_Maroc">#REF!</definedName>
    <definedName name="markup_IVQL_Maroc" localSheetId="5">#REF!</definedName>
    <definedName name="markup_IVQL_Maroc">#REF!</definedName>
    <definedName name="markup_MO" localSheetId="5">#REF!</definedName>
    <definedName name="markup_MO">#REF!</definedName>
    <definedName name="markup_retenue" localSheetId="5">#REF!</definedName>
    <definedName name="markup_retenue">#REF!</definedName>
    <definedName name="membre_grpt" localSheetId="5">#REF!</definedName>
    <definedName name="membre_grpt">#REF!</definedName>
    <definedName name="OAC" localSheetId="5">#REF!</definedName>
    <definedName name="OAC">#REF!</definedName>
    <definedName name="P.U" localSheetId="20">#REF!</definedName>
    <definedName name="P.U" localSheetId="5">#REF!</definedName>
    <definedName name="P.U" localSheetId="4">#REF!</definedName>
    <definedName name="P.U" localSheetId="1">#REF!</definedName>
    <definedName name="P.U">#REF!</definedName>
    <definedName name="partage" localSheetId="77">#REF!</definedName>
    <definedName name="partage" localSheetId="76">#REF!</definedName>
    <definedName name="partage" localSheetId="73">'[14]Affaires partagées'!$A$2:$F$105</definedName>
    <definedName name="partage" localSheetId="67">#REF!</definedName>
    <definedName name="partage" localSheetId="63">#REF!</definedName>
    <definedName name="partage" localSheetId="62">#REF!</definedName>
    <definedName name="partage" localSheetId="61">#REF!</definedName>
    <definedName name="partage" localSheetId="60">#REF!</definedName>
    <definedName name="partage" localSheetId="59">#REF!</definedName>
    <definedName name="partage" localSheetId="58">#REF!</definedName>
    <definedName name="partage" localSheetId="57">#REF!</definedName>
    <definedName name="partage" localSheetId="56">#REF!</definedName>
    <definedName name="partage" localSheetId="54">#REF!</definedName>
    <definedName name="partage" localSheetId="53">#REF!</definedName>
    <definedName name="partage" localSheetId="52">#REF!</definedName>
    <definedName name="partage" localSheetId="51">#REF!</definedName>
    <definedName name="partage" localSheetId="50">#REF!</definedName>
    <definedName name="partage" localSheetId="48">#REF!</definedName>
    <definedName name="partage" localSheetId="47">#REF!</definedName>
    <definedName name="partage" localSheetId="46">#REF!</definedName>
    <definedName name="partage" localSheetId="45">#REF!</definedName>
    <definedName name="partage" localSheetId="44">#REF!</definedName>
    <definedName name="partage" localSheetId="43">#REF!</definedName>
    <definedName name="partage" localSheetId="42">#REF!</definedName>
    <definedName name="partage" localSheetId="41">#REF!</definedName>
    <definedName name="partage" localSheetId="40">#REF!</definedName>
    <definedName name="partage" localSheetId="39">#REF!</definedName>
    <definedName name="partage" localSheetId="33">#REF!</definedName>
    <definedName name="partage" localSheetId="32">#REF!</definedName>
    <definedName name="partage" localSheetId="25">#REF!</definedName>
    <definedName name="partage" localSheetId="21">#REF!</definedName>
    <definedName name="partage" localSheetId="20">#REF!</definedName>
    <definedName name="partage" localSheetId="16">#REF!</definedName>
    <definedName name="partage" localSheetId="12">#REF!</definedName>
    <definedName name="partage" localSheetId="11">#REF!</definedName>
    <definedName name="partage" localSheetId="10">#REF!</definedName>
    <definedName name="partage" localSheetId="9">#REF!</definedName>
    <definedName name="partage" localSheetId="8">#REF!</definedName>
    <definedName name="partage" localSheetId="7">#REF!</definedName>
    <definedName name="partage" localSheetId="5">#REF!</definedName>
    <definedName name="partage" localSheetId="6">#REF!</definedName>
    <definedName name="partage" localSheetId="4">#REF!</definedName>
    <definedName name="partage" localSheetId="3">#REF!</definedName>
    <definedName name="partage" localSheetId="2">#REF!</definedName>
    <definedName name="partage" localSheetId="1">#REF!</definedName>
    <definedName name="partage">#REF!</definedName>
    <definedName name="prix_LD_mois">'[18]CD LD'!$I$11</definedName>
    <definedName name="prix_MO">[18]MO!$C$57:$H$73</definedName>
    <definedName name="prix_MO_SYSTRA" localSheetId="5">#REF!</definedName>
    <definedName name="prix_MO_SYSTRA">#REF!</definedName>
    <definedName name="PUBAT" localSheetId="20">#REF!</definedName>
    <definedName name="PUBAT" localSheetId="5">#REF!</definedName>
    <definedName name="PUBAT" localSheetId="1">#REF!</definedName>
    <definedName name="PUBAT">#REF!</definedName>
    <definedName name="PUR" localSheetId="20">#REF!</definedName>
    <definedName name="PUR" localSheetId="5">#REF!</definedName>
    <definedName name="PUR" localSheetId="1">#REF!</definedName>
    <definedName name="PUR">#REF!</definedName>
    <definedName name="PUROUTE" localSheetId="20">#REF!</definedName>
    <definedName name="PUROUTE" localSheetId="5">#REF!</definedName>
    <definedName name="PUROUTE" localSheetId="1">#REF!</definedName>
    <definedName name="PUROUTE">#REF!</definedName>
    <definedName name="PUVRD" localSheetId="20">#REF!</definedName>
    <definedName name="PUVRD" localSheetId="5">#REF!</definedName>
    <definedName name="PUVRD" localSheetId="1">#REF!</definedName>
    <definedName name="PUVRD">#REF!</definedName>
    <definedName name="RARCH" localSheetId="26">#REF!</definedName>
    <definedName name="RARCH" localSheetId="24">#REF!</definedName>
    <definedName name="RARCH" localSheetId="20">#REF!</definedName>
    <definedName name="RARCH" localSheetId="14">#REF!</definedName>
    <definedName name="RARCH" localSheetId="13">#REF!</definedName>
    <definedName name="RARCH" localSheetId="10">#REF!</definedName>
    <definedName name="RARCH" localSheetId="9">#REF!</definedName>
    <definedName name="RARCH" localSheetId="8">#REF!</definedName>
    <definedName name="RARCH" localSheetId="7">#REF!</definedName>
    <definedName name="RARCH" localSheetId="5">#REF!</definedName>
    <definedName name="RARCH" localSheetId="4">#REF!</definedName>
    <definedName name="RARCH" localSheetId="3">#REF!</definedName>
    <definedName name="RARCH" localSheetId="2">#REF!</definedName>
    <definedName name="RARCH" localSheetId="1">#REF!</definedName>
    <definedName name="RARCH">#REF!</definedName>
    <definedName name="REPAR" localSheetId="20">#REF!</definedName>
    <definedName name="REPAR" localSheetId="5">#REF!</definedName>
    <definedName name="REPAR" localSheetId="1">#REF!</definedName>
    <definedName name="REPAR">#REF!</definedName>
    <definedName name="reserve_de_MO_projet">[18]FIN!$D$17</definedName>
    <definedName name="RET" localSheetId="26">#REF!</definedName>
    <definedName name="RET" localSheetId="24">#REF!</definedName>
    <definedName name="RET" localSheetId="20">#REF!</definedName>
    <definedName name="RET" localSheetId="14">#REF!</definedName>
    <definedName name="RET" localSheetId="13">#REF!</definedName>
    <definedName name="RET" localSheetId="10">#REF!</definedName>
    <definedName name="RET" localSheetId="9">#REF!</definedName>
    <definedName name="RET" localSheetId="8">#REF!</definedName>
    <definedName name="RET" localSheetId="7">#REF!</definedName>
    <definedName name="RET" localSheetId="5">#REF!</definedName>
    <definedName name="RET" localSheetId="4">#REF!</definedName>
    <definedName name="RET" localSheetId="3">#REF!</definedName>
    <definedName name="RET" localSheetId="2">#REF!</definedName>
    <definedName name="RET" localSheetId="1">#REF!</definedName>
    <definedName name="RET">#REF!</definedName>
    <definedName name="RGEO" localSheetId="26">#REF!</definedName>
    <definedName name="RGEO" localSheetId="24">#REF!</definedName>
    <definedName name="RGEO" localSheetId="20">#REF!</definedName>
    <definedName name="RGEO" localSheetId="14">#REF!</definedName>
    <definedName name="RGEO" localSheetId="13">#REF!</definedName>
    <definedName name="RGEO" localSheetId="10">#REF!</definedName>
    <definedName name="RGEO" localSheetId="9">#REF!</definedName>
    <definedName name="RGEO" localSheetId="8">#REF!</definedName>
    <definedName name="RGEO" localSheetId="7">#REF!</definedName>
    <definedName name="RGEO" localSheetId="5">#REF!</definedName>
    <definedName name="RGEO" localSheetId="4">#REF!</definedName>
    <definedName name="RGEO" localSheetId="3">#REF!</definedName>
    <definedName name="RGEO" localSheetId="2">#REF!</definedName>
    <definedName name="RGEO" localSheetId="1">#REF!</definedName>
    <definedName name="RGEO">#REF!</definedName>
    <definedName name="RSED" localSheetId="20">#REF!</definedName>
    <definedName name="RSED" localSheetId="5">#REF!</definedName>
    <definedName name="RSED" localSheetId="1">#REF!</definedName>
    <definedName name="RSED">#REF!</definedName>
    <definedName name="RTOPO" localSheetId="26">#REF!</definedName>
    <definedName name="RTOPO" localSheetId="24">#REF!</definedName>
    <definedName name="RTOPO" localSheetId="20">#REF!</definedName>
    <definedName name="RTOPO" localSheetId="14">#REF!</definedName>
    <definedName name="RTOPO" localSheetId="13">#REF!</definedName>
    <definedName name="RTOPO" localSheetId="10">#REF!</definedName>
    <definedName name="RTOPO" localSheetId="9">#REF!</definedName>
    <definedName name="RTOPO" localSheetId="8">#REF!</definedName>
    <definedName name="RTOPO" localSheetId="7">#REF!</definedName>
    <definedName name="RTOPO" localSheetId="5">#REF!</definedName>
    <definedName name="RTOPO" localSheetId="4">#REF!</definedName>
    <definedName name="RTOPO" localSheetId="3">#REF!</definedName>
    <definedName name="RTOPO" localSheetId="2">#REF!</definedName>
    <definedName name="RTOPO" localSheetId="1">#REF!</definedName>
    <definedName name="RTOPO">#REF!</definedName>
    <definedName name="SAH" localSheetId="77">#REF!</definedName>
    <definedName name="SAH" localSheetId="76">#REF!</definedName>
    <definedName name="SAH" localSheetId="73">'[15]93119'!$A$1:$O$36</definedName>
    <definedName name="SAH" localSheetId="67">#REF!</definedName>
    <definedName name="SAH" localSheetId="62">#REF!</definedName>
    <definedName name="SAH" localSheetId="59">#REF!</definedName>
    <definedName name="SAH" localSheetId="57">#REF!</definedName>
    <definedName name="SAH" localSheetId="54">#REF!</definedName>
    <definedName name="SAH" localSheetId="53">#REF!</definedName>
    <definedName name="SAH" localSheetId="52">#REF!</definedName>
    <definedName name="SAH" localSheetId="51">#REF!</definedName>
    <definedName name="SAH" localSheetId="50">#REF!</definedName>
    <definedName name="SAH" localSheetId="48">#REF!</definedName>
    <definedName name="SAH" localSheetId="47">#REF!</definedName>
    <definedName name="SAH" localSheetId="46">#REF!</definedName>
    <definedName name="SAH" localSheetId="45">#REF!</definedName>
    <definedName name="SAH" localSheetId="44">#REF!</definedName>
    <definedName name="SAH" localSheetId="43">#REF!</definedName>
    <definedName name="SAH" localSheetId="42">#REF!</definedName>
    <definedName name="SAH" localSheetId="41">#REF!</definedName>
    <definedName name="SAH" localSheetId="40">#REF!</definedName>
    <definedName name="SAH" localSheetId="39">#REF!</definedName>
    <definedName name="SAH" localSheetId="33">#REF!</definedName>
    <definedName name="SAH" localSheetId="32">#REF!</definedName>
    <definedName name="SAH" localSheetId="25">#REF!</definedName>
    <definedName name="SAH" localSheetId="21">#REF!</definedName>
    <definedName name="SAH" localSheetId="20">#REF!</definedName>
    <definedName name="SAH" localSheetId="18">#REF!</definedName>
    <definedName name="SAH" localSheetId="16">#REF!</definedName>
    <definedName name="SAH" localSheetId="12">#REF!</definedName>
    <definedName name="SAH" localSheetId="11">#REF!</definedName>
    <definedName name="SAH" localSheetId="10">#REF!</definedName>
    <definedName name="SAH" localSheetId="9">#REF!</definedName>
    <definedName name="SAH" localSheetId="8">#REF!</definedName>
    <definedName name="SAH" localSheetId="7">#REF!</definedName>
    <definedName name="SAH" localSheetId="5">#REF!</definedName>
    <definedName name="SAH" localSheetId="6">#REF!</definedName>
    <definedName name="SAH" localSheetId="4">#REF!</definedName>
    <definedName name="SAH" localSheetId="3">#REF!</definedName>
    <definedName name="SAH" localSheetId="2">#REF!</definedName>
    <definedName name="SAH" localSheetId="1">#REF!</definedName>
    <definedName name="SAH" localSheetId="0">#REF!</definedName>
    <definedName name="SAH">#REF!</definedName>
    <definedName name="SYNTHESE" localSheetId="77">#REF!</definedName>
    <definedName name="SYNTHESE" localSheetId="76">#REF!</definedName>
    <definedName name="SYNTHESE" localSheetId="73">#REF!</definedName>
    <definedName name="SYNTHESE" localSheetId="67">#REF!</definedName>
    <definedName name="SYNTHESE" localSheetId="62">#REF!</definedName>
    <definedName name="SYNTHESE" localSheetId="59">#REF!</definedName>
    <definedName name="SYNTHESE" localSheetId="57">#REF!</definedName>
    <definedName name="SYNTHESE" localSheetId="54">#REF!</definedName>
    <definedName name="SYNTHESE" localSheetId="53">#REF!</definedName>
    <definedName name="SYNTHESE" localSheetId="52">#REF!</definedName>
    <definedName name="SYNTHESE" localSheetId="51">#REF!</definedName>
    <definedName name="SYNTHESE" localSheetId="50">#REF!</definedName>
    <definedName name="SYNTHESE" localSheetId="48">#REF!</definedName>
    <definedName name="SYNTHESE" localSheetId="47">#REF!</definedName>
    <definedName name="SYNTHESE" localSheetId="46">#REF!</definedName>
    <definedName name="SYNTHESE" localSheetId="45">#REF!</definedName>
    <definedName name="SYNTHESE" localSheetId="44">#REF!</definedName>
    <definedName name="SYNTHESE" localSheetId="43">#REF!</definedName>
    <definedName name="SYNTHESE" localSheetId="42">#REF!</definedName>
    <definedName name="SYNTHESE" localSheetId="41">#REF!</definedName>
    <definedName name="SYNTHESE" localSheetId="40">#REF!</definedName>
    <definedName name="SYNTHESE" localSheetId="39">#REF!</definedName>
    <definedName name="SYNTHESE" localSheetId="33">#REF!</definedName>
    <definedName name="SYNTHESE" localSheetId="32">#REF!</definedName>
    <definedName name="SYNTHESE" localSheetId="25">#REF!</definedName>
    <definedName name="SYNTHESE" localSheetId="21">#REF!</definedName>
    <definedName name="SYNTHESE" localSheetId="20">#REF!</definedName>
    <definedName name="SYNTHESE" localSheetId="18">#REF!</definedName>
    <definedName name="SYNTHESE" localSheetId="16">#REF!</definedName>
    <definedName name="SYNTHESE" localSheetId="12">#REF!</definedName>
    <definedName name="SYNTHESE" localSheetId="11">#REF!</definedName>
    <definedName name="SYNTHESE" localSheetId="10">#REF!</definedName>
    <definedName name="SYNTHESE" localSheetId="9">#REF!</definedName>
    <definedName name="SYNTHESE" localSheetId="8">#REF!</definedName>
    <definedName name="SYNTHESE" localSheetId="7">#REF!</definedName>
    <definedName name="SYNTHESE" localSheetId="5">#REF!</definedName>
    <definedName name="SYNTHESE" localSheetId="6">#REF!</definedName>
    <definedName name="SYNTHESE" localSheetId="4">#REF!</definedName>
    <definedName name="SYNTHESE" localSheetId="3">#REF!</definedName>
    <definedName name="SYNTHESE" localSheetId="2">#REF!</definedName>
    <definedName name="SYNTHESE" localSheetId="1">#REF!</definedName>
    <definedName name="SYNTHESE" localSheetId="0">#REF!</definedName>
    <definedName name="SYNTHESE">#REF!</definedName>
    <definedName name="taux" localSheetId="80">#REF!</definedName>
    <definedName name="taux" localSheetId="21">#REF!</definedName>
    <definedName name="taux" localSheetId="20">#REF!</definedName>
    <definedName name="taux" localSheetId="18">#REF!</definedName>
    <definedName name="taux" localSheetId="5">#REF!</definedName>
    <definedName name="taux" localSheetId="1">#REF!</definedName>
    <definedName name="taux">#REF!</definedName>
    <definedName name="taux_eur_mad">[18]FIN!$D$6</definedName>
    <definedName name="taux_mad_dir" localSheetId="5">#REF!</definedName>
    <definedName name="taux_mad_dir">#REF!</definedName>
    <definedName name="TOUT" localSheetId="77">#REF!</definedName>
    <definedName name="TOUT" localSheetId="76">#REF!</definedName>
    <definedName name="TOUT" localSheetId="67">#REF!</definedName>
    <definedName name="TOUT" localSheetId="63">#REF!</definedName>
    <definedName name="TOUT" localSheetId="62">#REF!</definedName>
    <definedName name="TOUT" localSheetId="61">#REF!</definedName>
    <definedName name="TOUT" localSheetId="60">#REF!</definedName>
    <definedName name="TOUT" localSheetId="59">#REF!</definedName>
    <definedName name="TOUT" localSheetId="58">#REF!</definedName>
    <definedName name="TOUT" localSheetId="57">#REF!</definedName>
    <definedName name="TOUT" localSheetId="56">#REF!</definedName>
    <definedName name="TOUT" localSheetId="54">#REF!</definedName>
    <definedName name="TOUT" localSheetId="53">#REF!</definedName>
    <definedName name="TOUT" localSheetId="52">#REF!</definedName>
    <definedName name="TOUT" localSheetId="51">#REF!</definedName>
    <definedName name="TOUT" localSheetId="50">#REF!</definedName>
    <definedName name="TOUT" localSheetId="48">#REF!</definedName>
    <definedName name="TOUT" localSheetId="47">#REF!</definedName>
    <definedName name="TOUT" localSheetId="46">#REF!</definedName>
    <definedName name="TOUT" localSheetId="45">#REF!</definedName>
    <definedName name="TOUT" localSheetId="44">#REF!</definedName>
    <definedName name="TOUT" localSheetId="43">#REF!</definedName>
    <definedName name="TOUT" localSheetId="42">#REF!</definedName>
    <definedName name="TOUT" localSheetId="41">#REF!</definedName>
    <definedName name="TOUT" localSheetId="40">#REF!</definedName>
    <definedName name="TOUT" localSheetId="39">#REF!</definedName>
    <definedName name="TOUT" localSheetId="33">#REF!</definedName>
    <definedName name="TOUT" localSheetId="32">#REF!</definedName>
    <definedName name="TOUT" localSheetId="21">#REF!</definedName>
    <definedName name="TOUT" localSheetId="20">#REF!</definedName>
    <definedName name="TOUT" localSheetId="16">#REF!</definedName>
    <definedName name="TOUT" localSheetId="12">#REF!</definedName>
    <definedName name="TOUT" localSheetId="11">#REF!</definedName>
    <definedName name="TOUT" localSheetId="10">#REF!</definedName>
    <definedName name="TOUT" localSheetId="9">#REF!</definedName>
    <definedName name="TOUT" localSheetId="8">#REF!</definedName>
    <definedName name="TOUT" localSheetId="7">#REF!</definedName>
    <definedName name="TOUT" localSheetId="5">#REF!</definedName>
    <definedName name="TOUT" localSheetId="6">#REF!</definedName>
    <definedName name="TOUT" localSheetId="4">#REF!</definedName>
    <definedName name="TOUT" localSheetId="3">#REF!</definedName>
    <definedName name="TOUT" localSheetId="2">#REF!</definedName>
    <definedName name="TOUT" localSheetId="1">#REF!</definedName>
    <definedName name="TOUT">#REF!</definedName>
    <definedName name="var_MO_FR_TC" localSheetId="5">#REF!</definedName>
    <definedName name="var_MO_FR_TC">#REF!</definedName>
    <definedName name="var_MO_FR_TN" localSheetId="5">#REF!</definedName>
    <definedName name="var_MO_FR_TN">#REF!</definedName>
    <definedName name="var_MO_FR_TNTC" localSheetId="5">#REF!</definedName>
    <definedName name="var_MO_FR_TNTC">#REF!</definedName>
    <definedName name="var_MO_FR_TS" localSheetId="5">#REF!</definedName>
    <definedName name="var_MO_FR_TS">#REF!</definedName>
    <definedName name="var_MO_FR_TSTC" localSheetId="5">#REF!</definedName>
    <definedName name="var_MO_FR_TSTC">#REF!</definedName>
    <definedName name="var_MO_MA_TC" localSheetId="5">#REF!</definedName>
    <definedName name="var_MO_MA_TC">#REF!</definedName>
    <definedName name="var_MO_MA_TN" localSheetId="5">#REF!</definedName>
    <definedName name="var_MO_MA_TN">#REF!</definedName>
    <definedName name="var_MO_MA_TNTC" localSheetId="5">#REF!</definedName>
    <definedName name="var_MO_MA_TNTC">#REF!</definedName>
    <definedName name="var_MO_MA_TS" localSheetId="5">#REF!</definedName>
    <definedName name="var_MO_MA_TS">#REF!</definedName>
    <definedName name="var_MO_MA_TSTC" localSheetId="5">#REF!</definedName>
    <definedName name="var_MO_MA_TSTC">#REF!</definedName>
    <definedName name="_xlnm.Print_Area" localSheetId="81">'200800365_ET'!$A$1:$T$57</definedName>
    <definedName name="_xlnm.Print_Area" localSheetId="78">'200900027_ET'!$A$1:$T$57</definedName>
    <definedName name="_xlnm.Print_Area" localSheetId="77">'200900048-ET'!$A$1:$T$69</definedName>
    <definedName name="_xlnm.Print_Area" localSheetId="76">'200900140_ET'!$A$1:$W$57</definedName>
    <definedName name="_xlnm.Print_Area" localSheetId="73">'200900304_ET'!$A$1:$U$57</definedName>
    <definedName name="_xlnm.Print_Area" localSheetId="67">'201000713_ET'!$A$1:$T$55</definedName>
    <definedName name="_xlnm.Print_Area" localSheetId="62">'201000941_ET'!$A$1:$T$49</definedName>
    <definedName name="_xlnm.Print_Area" localSheetId="59">'201000973_ET'!$A$1:$T$57</definedName>
    <definedName name="_xlnm.Print_Area" localSheetId="57">'201001080_ET'!$A$1:$T$57</definedName>
    <definedName name="_xlnm.Print_Area" localSheetId="54">'201100435_ET'!$A$1:$T$49</definedName>
    <definedName name="_xlnm.Print_Area" localSheetId="53">'201100482_ET '!$A$1:$T$57</definedName>
    <definedName name="_xlnm.Print_Area" localSheetId="52">'201100483_ET'!$A$1:$T$57</definedName>
    <definedName name="_xlnm.Print_Area" localSheetId="51">'201100484_ET'!$A$1:$T$49</definedName>
    <definedName name="_xlnm.Print_Area" localSheetId="50">'201100504_ET'!$A$1:$T$57</definedName>
    <definedName name="_xlnm.Print_Area" localSheetId="48">'201100650_ET '!$A$1:$T$57</definedName>
    <definedName name="_xlnm.Print_Area" localSheetId="47">'201100722_ET'!$A$1:$T$49</definedName>
    <definedName name="_xlnm.Print_Area" localSheetId="46">'201100787_ET'!$A$1:$T$49</definedName>
    <definedName name="_xlnm.Print_Area" localSheetId="45">'201100788_ET'!$A$1:$T$57</definedName>
    <definedName name="_xlnm.Print_Area" localSheetId="44">'201100789_ET'!$A$1:$T$49</definedName>
    <definedName name="_xlnm.Print_Area" localSheetId="43">'201100790_ET'!$A$1:$T$49</definedName>
    <definedName name="_xlnm.Print_Area" localSheetId="42">'201100882_ET'!$A$1:$T$57</definedName>
    <definedName name="_xlnm.Print_Area" localSheetId="41">'201100883_ET'!$A$1:$T$49</definedName>
    <definedName name="_xlnm.Print_Area" localSheetId="40">'201100884_ET '!$A$1:$T$49</definedName>
    <definedName name="_xlnm.Print_Area" localSheetId="39">'201101061_ET'!$A$1:$T$49</definedName>
    <definedName name="_xlnm.Print_Area" localSheetId="33">'201200552_ET'!$A$1:$T$49</definedName>
    <definedName name="_xlnm.Print_Area" localSheetId="29">'201301121_ET'!$A$1:$AB$57</definedName>
    <definedName name="_xlnm.Print_Area" localSheetId="27">'201301585_ET'!$A$1:$AB$57</definedName>
    <definedName name="_xlnm.Print_Area" localSheetId="26">'201400007_ET'!$A$1:$T$57</definedName>
    <definedName name="_xlnm.Print_Area" localSheetId="25">'201400015_ET'!$A$1:$AB$57</definedName>
    <definedName name="_xlnm.Print_Area" localSheetId="21">'201400193_ET'!$A$1:$AB$62</definedName>
    <definedName name="_xlnm.Print_Area" localSheetId="20">'201400269-ET'!$A$1:$AF$57</definedName>
    <definedName name="_xlnm.Print_Area" localSheetId="19">'201400270-ET'!$A$1:$AB$57</definedName>
    <definedName name="_xlnm.Print_Area" localSheetId="18">'201400285_ET'!$A$1:$AB$57</definedName>
    <definedName name="_xlnm.Print_Area" localSheetId="17">'201400400_ET'!$A$1:$AB$57</definedName>
    <definedName name="_xlnm.Print_Area" localSheetId="16">'201400520_ET'!$A$1:$AB$56</definedName>
    <definedName name="_xlnm.Print_Area" localSheetId="15">'201400652_ET'!$A$1:$AB$57</definedName>
    <definedName name="_xlnm.Print_Area" localSheetId="12">'201401183_ET'!$A$1:$AB$55</definedName>
    <definedName name="_xlnm.Print_Area" localSheetId="11">'201401289_ET'!$A$1:$AB$54</definedName>
    <definedName name="_xlnm.Print_Area" localSheetId="10">'201401290_ET'!$A$1:$AB$60</definedName>
    <definedName name="_xlnm.Print_Area" localSheetId="9">'201401400_ET'!$A$1:$AB$60</definedName>
    <definedName name="_xlnm.Print_Area" localSheetId="8">'201401401 _ET'!$A$1:$AB$60</definedName>
    <definedName name="_xlnm.Print_Area" localSheetId="7">'201500266_ET'!$A$1:$AB$60</definedName>
    <definedName name="_xlnm.Print_Area" localSheetId="5">'201500445-DET'!$A$1:$AF$83</definedName>
    <definedName name="_xlnm.Print_Area" localSheetId="6">'201500468_ET'!$A$1:$AB$55</definedName>
    <definedName name="_xlnm.Print_Area" localSheetId="4">'201500563_ET'!$A$1:$AB$60</definedName>
    <definedName name="_xlnm.Print_Area" localSheetId="3">'201501266_ET'!$A$1:$AB$59</definedName>
    <definedName name="_xlnm.Print_Area" localSheetId="2">'201501292_ET'!$A$1:$AB$59</definedName>
    <definedName name="_xlnm.Print_Area" localSheetId="1">'201502000_ET'!$A$1:$AB$55</definedName>
    <definedName name="_xlnm.Print_Area" localSheetId="0">'Sythèse_Prod au 31-12-15'!$A$1:$O$88</definedName>
    <definedName name="Zonecombinée12_QuandChangement" localSheetId="80">[1]!Zonecombinée12_QuandChangement</definedName>
    <definedName name="Zonecombinée12_QuandChangement" localSheetId="26">[1]!Zonecombinée12_QuandChangement</definedName>
    <definedName name="Zonecombinée12_QuandChangement" localSheetId="24">[1]!Zonecombinée12_QuandChangement</definedName>
    <definedName name="Zonecombinée12_QuandChangement" localSheetId="14">[1]!Zonecombinée12_QuandChangement</definedName>
    <definedName name="Zonecombinée12_QuandChangement" localSheetId="13">[1]!Zonecombinée12_QuandChangement</definedName>
    <definedName name="Zonecombinée12_QuandChangement" localSheetId="5">[1]!Zonecombinée12_QuandChangement</definedName>
    <definedName name="Zonecombinée12_QuandChangement" localSheetId="1">[1]!Zonecombinée12_QuandChangement</definedName>
    <definedName name="Zonecombinée12_QuandChangement">[1]!Zonecombinée12_QuandChangement</definedName>
  </definedNames>
  <calcPr calcId="152511"/>
</workbook>
</file>

<file path=xl/calcChain.xml><?xml version="1.0" encoding="utf-8"?>
<calcChain xmlns="http://schemas.openxmlformats.org/spreadsheetml/2006/main">
  <c r="J89" i="107" l="1"/>
  <c r="J88" i="107"/>
  <c r="H89" i="107"/>
  <c r="H88" i="107"/>
  <c r="N16" i="285"/>
  <c r="J19" i="181"/>
  <c r="J18" i="175"/>
  <c r="J15" i="284"/>
  <c r="L16" i="297"/>
  <c r="L17" i="297"/>
  <c r="L18" i="297"/>
  <c r="L19" i="297"/>
  <c r="T19" i="297" s="1"/>
  <c r="L20" i="297"/>
  <c r="T20" i="297" s="1"/>
  <c r="L21" i="297"/>
  <c r="L22" i="297"/>
  <c r="L23" i="297"/>
  <c r="L24" i="297"/>
  <c r="T24" i="297" s="1"/>
  <c r="L25" i="297"/>
  <c r="L26" i="297"/>
  <c r="L27" i="297"/>
  <c r="L28" i="297"/>
  <c r="T28" i="297" s="1"/>
  <c r="L29" i="297"/>
  <c r="L30" i="297"/>
  <c r="L31" i="297"/>
  <c r="L32" i="297"/>
  <c r="T32" i="297" s="1"/>
  <c r="L33" i="297"/>
  <c r="L34" i="297"/>
  <c r="L35" i="297"/>
  <c r="L36" i="297"/>
  <c r="T36" i="297" s="1"/>
  <c r="L37" i="297"/>
  <c r="L38" i="297"/>
  <c r="L39" i="297"/>
  <c r="L40" i="297"/>
  <c r="T40" i="297" s="1"/>
  <c r="L41" i="297"/>
  <c r="L42" i="297"/>
  <c r="L43" i="297"/>
  <c r="L44" i="297"/>
  <c r="T44" i="297" s="1"/>
  <c r="L45" i="297"/>
  <c r="L46" i="297"/>
  <c r="L47" i="297"/>
  <c r="L48" i="297"/>
  <c r="T48" i="297" s="1"/>
  <c r="L49" i="297"/>
  <c r="L50" i="297"/>
  <c r="T50" i="297" s="1"/>
  <c r="L51" i="297"/>
  <c r="L52" i="297"/>
  <c r="L53" i="297"/>
  <c r="L54" i="297"/>
  <c r="L55" i="297"/>
  <c r="L56" i="297"/>
  <c r="T56" i="297" s="1"/>
  <c r="L57" i="297"/>
  <c r="L58" i="297"/>
  <c r="T58" i="297" s="1"/>
  <c r="L59" i="297"/>
  <c r="L60" i="297"/>
  <c r="L61" i="297"/>
  <c r="L62" i="297"/>
  <c r="L63" i="297"/>
  <c r="L64" i="297"/>
  <c r="T64" i="297" s="1"/>
  <c r="L65" i="297"/>
  <c r="L66" i="297"/>
  <c r="T66" i="297" s="1"/>
  <c r="L67" i="297"/>
  <c r="L68" i="297"/>
  <c r="L69" i="297"/>
  <c r="L70" i="297"/>
  <c r="L71" i="297"/>
  <c r="L72" i="297"/>
  <c r="T72" i="297" s="1"/>
  <c r="L73" i="297"/>
  <c r="L74" i="297"/>
  <c r="T74" i="297" s="1"/>
  <c r="L75" i="297"/>
  <c r="L76" i="297"/>
  <c r="L77" i="297"/>
  <c r="L78" i="297"/>
  <c r="L79" i="297"/>
  <c r="L80" i="297"/>
  <c r="L81" i="297"/>
  <c r="L82" i="297"/>
  <c r="T82" i="297" s="1"/>
  <c r="L15" i="297"/>
  <c r="K27" i="297"/>
  <c r="K26" i="297"/>
  <c r="N27" i="297"/>
  <c r="N26" i="297"/>
  <c r="P86" i="107"/>
  <c r="N86" i="107"/>
  <c r="M86" i="107"/>
  <c r="F86" i="107"/>
  <c r="E86" i="107"/>
  <c r="D86" i="107"/>
  <c r="V85" i="107"/>
  <c r="T85" i="107"/>
  <c r="R85" i="107"/>
  <c r="Q85" i="107"/>
  <c r="O85" i="107"/>
  <c r="N85" i="107"/>
  <c r="M85" i="107"/>
  <c r="L85" i="107"/>
  <c r="K85" i="107"/>
  <c r="J85" i="107"/>
  <c r="I85" i="107"/>
  <c r="H85" i="107"/>
  <c r="G85" i="107"/>
  <c r="F85" i="107"/>
  <c r="E85" i="107"/>
  <c r="D85" i="107"/>
  <c r="C85" i="107"/>
  <c r="B85" i="107"/>
  <c r="V84" i="107"/>
  <c r="T84" i="107"/>
  <c r="R84" i="107"/>
  <c r="Q84" i="107"/>
  <c r="O84" i="107"/>
  <c r="N84" i="107"/>
  <c r="M84" i="107"/>
  <c r="L84" i="107"/>
  <c r="K84" i="107"/>
  <c r="J84" i="107"/>
  <c r="I84" i="107"/>
  <c r="H84" i="107"/>
  <c r="G84" i="107"/>
  <c r="F84" i="107"/>
  <c r="E84" i="107"/>
  <c r="D84" i="107"/>
  <c r="C84" i="107"/>
  <c r="B84" i="107"/>
  <c r="V83" i="107"/>
  <c r="T83" i="107"/>
  <c r="R83" i="107"/>
  <c r="Q83" i="107"/>
  <c r="O83" i="107"/>
  <c r="N83" i="107"/>
  <c r="M83" i="107"/>
  <c r="L83" i="107"/>
  <c r="K83" i="107"/>
  <c r="J83" i="107"/>
  <c r="I83" i="107"/>
  <c r="H83" i="107"/>
  <c r="G83" i="107"/>
  <c r="F83" i="107"/>
  <c r="E83" i="107"/>
  <c r="D83" i="107"/>
  <c r="C83" i="107"/>
  <c r="B83" i="107"/>
  <c r="V82" i="107"/>
  <c r="T82" i="107"/>
  <c r="R82" i="107"/>
  <c r="Q82" i="107"/>
  <c r="O82" i="107"/>
  <c r="N82" i="107"/>
  <c r="M82" i="107"/>
  <c r="L82" i="107"/>
  <c r="K82" i="107"/>
  <c r="J82" i="107"/>
  <c r="I82" i="107"/>
  <c r="H82" i="107"/>
  <c r="G82" i="107"/>
  <c r="F82" i="107"/>
  <c r="E82" i="107"/>
  <c r="D82" i="107"/>
  <c r="C82" i="107"/>
  <c r="B82" i="107"/>
  <c r="V81" i="107"/>
  <c r="T81" i="107"/>
  <c r="R81" i="107"/>
  <c r="Q81" i="107"/>
  <c r="O81" i="107"/>
  <c r="N81" i="107"/>
  <c r="M81" i="107"/>
  <c r="L81" i="107"/>
  <c r="K81" i="107"/>
  <c r="J81" i="107"/>
  <c r="I81" i="107"/>
  <c r="H81" i="107"/>
  <c r="G81" i="107"/>
  <c r="F81" i="107"/>
  <c r="E81" i="107"/>
  <c r="D81" i="107"/>
  <c r="C81" i="107"/>
  <c r="B81" i="107"/>
  <c r="V80" i="107"/>
  <c r="T80" i="107"/>
  <c r="R80" i="107"/>
  <c r="Q80" i="107"/>
  <c r="O80" i="107"/>
  <c r="N80" i="107"/>
  <c r="M80" i="107"/>
  <c r="L80" i="107"/>
  <c r="K80" i="107"/>
  <c r="J80" i="107"/>
  <c r="I80" i="107"/>
  <c r="H80" i="107"/>
  <c r="G80" i="107"/>
  <c r="F80" i="107"/>
  <c r="E80" i="107"/>
  <c r="D80" i="107"/>
  <c r="C80" i="107"/>
  <c r="B80" i="107"/>
  <c r="V79" i="107"/>
  <c r="T79" i="107"/>
  <c r="R79" i="107"/>
  <c r="Q79" i="107"/>
  <c r="O79" i="107"/>
  <c r="N79" i="107"/>
  <c r="M79" i="107"/>
  <c r="L79" i="107"/>
  <c r="K79" i="107"/>
  <c r="J79" i="107"/>
  <c r="I79" i="107"/>
  <c r="H79" i="107"/>
  <c r="G79" i="107"/>
  <c r="F79" i="107"/>
  <c r="E79" i="107"/>
  <c r="D79" i="107"/>
  <c r="C79" i="107"/>
  <c r="B79" i="107"/>
  <c r="V78" i="107"/>
  <c r="T78" i="107"/>
  <c r="R78" i="107"/>
  <c r="Q78" i="107"/>
  <c r="O78" i="107"/>
  <c r="N78" i="107"/>
  <c r="M78" i="107"/>
  <c r="L78" i="107"/>
  <c r="K78" i="107"/>
  <c r="J78" i="107"/>
  <c r="I78" i="107"/>
  <c r="H78" i="107"/>
  <c r="G78" i="107"/>
  <c r="F78" i="107"/>
  <c r="E78" i="107"/>
  <c r="D78" i="107"/>
  <c r="C78" i="107"/>
  <c r="B78" i="107"/>
  <c r="V77" i="107"/>
  <c r="T77" i="107"/>
  <c r="R77" i="107"/>
  <c r="Q77" i="107"/>
  <c r="O77" i="107"/>
  <c r="N77" i="107"/>
  <c r="M77" i="107"/>
  <c r="L77" i="107"/>
  <c r="K77" i="107"/>
  <c r="J77" i="107"/>
  <c r="I77" i="107"/>
  <c r="H77" i="107"/>
  <c r="G77" i="107"/>
  <c r="F77" i="107"/>
  <c r="E77" i="107"/>
  <c r="D77" i="107"/>
  <c r="C77" i="107"/>
  <c r="B77" i="107"/>
  <c r="V76" i="107"/>
  <c r="T76" i="107"/>
  <c r="R76" i="107"/>
  <c r="Q76" i="107"/>
  <c r="O76" i="107"/>
  <c r="N76" i="107"/>
  <c r="M76" i="107"/>
  <c r="L76" i="107"/>
  <c r="K76" i="107"/>
  <c r="J76" i="107"/>
  <c r="I76" i="107"/>
  <c r="H76" i="107"/>
  <c r="G76" i="107"/>
  <c r="F76" i="107"/>
  <c r="E76" i="107"/>
  <c r="D76" i="107"/>
  <c r="C76" i="107"/>
  <c r="B76" i="107"/>
  <c r="V75" i="107"/>
  <c r="T75" i="107"/>
  <c r="R75" i="107"/>
  <c r="Q75" i="107"/>
  <c r="O75" i="107"/>
  <c r="N75" i="107"/>
  <c r="M75" i="107"/>
  <c r="L75" i="107"/>
  <c r="K75" i="107"/>
  <c r="J75" i="107"/>
  <c r="I75" i="107"/>
  <c r="H75" i="107"/>
  <c r="G75" i="107"/>
  <c r="F75" i="107"/>
  <c r="E75" i="107"/>
  <c r="D75" i="107"/>
  <c r="C75" i="107"/>
  <c r="B75" i="107"/>
  <c r="V74" i="107"/>
  <c r="T74" i="107"/>
  <c r="R74" i="107"/>
  <c r="Q74" i="107"/>
  <c r="O74" i="107"/>
  <c r="N74" i="107"/>
  <c r="M74" i="107"/>
  <c r="L74" i="107"/>
  <c r="K74" i="107"/>
  <c r="J74" i="107"/>
  <c r="I74" i="107"/>
  <c r="H74" i="107"/>
  <c r="G74" i="107"/>
  <c r="F74" i="107"/>
  <c r="E74" i="107"/>
  <c r="D74" i="107"/>
  <c r="C74" i="107"/>
  <c r="B74" i="107"/>
  <c r="V73" i="107"/>
  <c r="T73" i="107"/>
  <c r="R73" i="107"/>
  <c r="Q73" i="107"/>
  <c r="O73" i="107"/>
  <c r="N73" i="107"/>
  <c r="M73" i="107"/>
  <c r="L73" i="107"/>
  <c r="K73" i="107"/>
  <c r="J73" i="107"/>
  <c r="I73" i="107"/>
  <c r="H73" i="107"/>
  <c r="G73" i="107"/>
  <c r="F73" i="107"/>
  <c r="E73" i="107"/>
  <c r="D73" i="107"/>
  <c r="C73" i="107"/>
  <c r="B73" i="107"/>
  <c r="V72" i="107"/>
  <c r="T72" i="107"/>
  <c r="R72" i="107"/>
  <c r="Q72" i="107"/>
  <c r="O72" i="107"/>
  <c r="N72" i="107"/>
  <c r="M72" i="107"/>
  <c r="L72" i="107"/>
  <c r="K72" i="107"/>
  <c r="J72" i="107"/>
  <c r="I72" i="107"/>
  <c r="H72" i="107"/>
  <c r="G72" i="107"/>
  <c r="F72" i="107"/>
  <c r="E72" i="107"/>
  <c r="D72" i="107"/>
  <c r="C72" i="107"/>
  <c r="B72" i="107"/>
  <c r="V71" i="107"/>
  <c r="T71" i="107"/>
  <c r="R71" i="107"/>
  <c r="Q71" i="107"/>
  <c r="O71" i="107"/>
  <c r="N71" i="107"/>
  <c r="M71" i="107"/>
  <c r="L71" i="107"/>
  <c r="K71" i="107"/>
  <c r="J71" i="107"/>
  <c r="I71" i="107"/>
  <c r="H71" i="107"/>
  <c r="G71" i="107"/>
  <c r="F71" i="107"/>
  <c r="E71" i="107"/>
  <c r="D71" i="107"/>
  <c r="C71" i="107"/>
  <c r="B71" i="107"/>
  <c r="V70" i="107"/>
  <c r="T70" i="107"/>
  <c r="R70" i="107"/>
  <c r="Q70" i="107"/>
  <c r="O70" i="107"/>
  <c r="N70" i="107"/>
  <c r="M70" i="107"/>
  <c r="L70" i="107"/>
  <c r="K70" i="107"/>
  <c r="J70" i="107"/>
  <c r="I70" i="107"/>
  <c r="H70" i="107"/>
  <c r="G70" i="107"/>
  <c r="F70" i="107"/>
  <c r="E70" i="107"/>
  <c r="D70" i="107"/>
  <c r="C70" i="107"/>
  <c r="B70" i="107"/>
  <c r="V69" i="107"/>
  <c r="T69" i="107"/>
  <c r="R69" i="107"/>
  <c r="Q69" i="107"/>
  <c r="O69" i="107"/>
  <c r="N69" i="107"/>
  <c r="M69" i="107"/>
  <c r="L69" i="107"/>
  <c r="K69" i="107"/>
  <c r="J69" i="107"/>
  <c r="I69" i="107"/>
  <c r="H69" i="107"/>
  <c r="G69" i="107"/>
  <c r="F69" i="107"/>
  <c r="E69" i="107"/>
  <c r="D69" i="107"/>
  <c r="C69" i="107"/>
  <c r="B69" i="107"/>
  <c r="V68" i="107"/>
  <c r="T68" i="107"/>
  <c r="R68" i="107"/>
  <c r="Q68" i="107"/>
  <c r="O68" i="107"/>
  <c r="N68" i="107"/>
  <c r="M68" i="107"/>
  <c r="L68" i="107"/>
  <c r="K68" i="107"/>
  <c r="J68" i="107"/>
  <c r="I68" i="107"/>
  <c r="H68" i="107"/>
  <c r="G68" i="107"/>
  <c r="F68" i="107"/>
  <c r="E68" i="107"/>
  <c r="D68" i="107"/>
  <c r="C68" i="107"/>
  <c r="B68" i="107"/>
  <c r="V67" i="107"/>
  <c r="T67" i="107"/>
  <c r="R67" i="107"/>
  <c r="Q67" i="107"/>
  <c r="O67" i="107"/>
  <c r="N67" i="107"/>
  <c r="M67" i="107"/>
  <c r="L67" i="107"/>
  <c r="K67" i="107"/>
  <c r="J67" i="107"/>
  <c r="I67" i="107"/>
  <c r="H67" i="107"/>
  <c r="G67" i="107"/>
  <c r="F67" i="107"/>
  <c r="E67" i="107"/>
  <c r="D67" i="107"/>
  <c r="C67" i="107"/>
  <c r="B67" i="107"/>
  <c r="V66" i="107"/>
  <c r="T66" i="107"/>
  <c r="R66" i="107"/>
  <c r="Q66" i="107"/>
  <c r="O66" i="107"/>
  <c r="N66" i="107"/>
  <c r="M66" i="107"/>
  <c r="L66" i="107"/>
  <c r="K66" i="107"/>
  <c r="J66" i="107"/>
  <c r="I66" i="107"/>
  <c r="H66" i="107"/>
  <c r="G66" i="107"/>
  <c r="F66" i="107"/>
  <c r="E66" i="107"/>
  <c r="D66" i="107"/>
  <c r="C66" i="107"/>
  <c r="B66" i="107"/>
  <c r="V65" i="107"/>
  <c r="T65" i="107"/>
  <c r="R65" i="107"/>
  <c r="Q65" i="107"/>
  <c r="O65" i="107"/>
  <c r="N65" i="107"/>
  <c r="M65" i="107"/>
  <c r="L65" i="107"/>
  <c r="K65" i="107"/>
  <c r="J65" i="107"/>
  <c r="I65" i="107"/>
  <c r="H65" i="107"/>
  <c r="G65" i="107"/>
  <c r="F65" i="107"/>
  <c r="E65" i="107"/>
  <c r="D65" i="107"/>
  <c r="C65" i="107"/>
  <c r="B65" i="107"/>
  <c r="V64" i="107"/>
  <c r="T64" i="107"/>
  <c r="R64" i="107"/>
  <c r="Q64" i="107"/>
  <c r="O64" i="107"/>
  <c r="N64" i="107"/>
  <c r="M64" i="107"/>
  <c r="L64" i="107"/>
  <c r="K64" i="107"/>
  <c r="J64" i="107"/>
  <c r="I64" i="107"/>
  <c r="H64" i="107"/>
  <c r="G64" i="107"/>
  <c r="F64" i="107"/>
  <c r="E64" i="107"/>
  <c r="D64" i="107"/>
  <c r="C64" i="107"/>
  <c r="B64" i="107"/>
  <c r="V63" i="107"/>
  <c r="T63" i="107"/>
  <c r="R63" i="107"/>
  <c r="Q63" i="107"/>
  <c r="O63" i="107"/>
  <c r="N63" i="107"/>
  <c r="M63" i="107"/>
  <c r="L63" i="107"/>
  <c r="K63" i="107"/>
  <c r="J63" i="107"/>
  <c r="I63" i="107"/>
  <c r="H63" i="107"/>
  <c r="G63" i="107"/>
  <c r="F63" i="107"/>
  <c r="E63" i="107"/>
  <c r="D63" i="107"/>
  <c r="C63" i="107"/>
  <c r="B63" i="107"/>
  <c r="V62" i="107"/>
  <c r="T62" i="107"/>
  <c r="R62" i="107"/>
  <c r="Q62" i="107"/>
  <c r="O62" i="107"/>
  <c r="N62" i="107"/>
  <c r="M62" i="107"/>
  <c r="L62" i="107"/>
  <c r="K62" i="107"/>
  <c r="J62" i="107"/>
  <c r="I62" i="107"/>
  <c r="H62" i="107"/>
  <c r="G62" i="107"/>
  <c r="F62" i="107"/>
  <c r="E62" i="107"/>
  <c r="D62" i="107"/>
  <c r="C62" i="107"/>
  <c r="B62" i="107"/>
  <c r="V61" i="107"/>
  <c r="T61" i="107"/>
  <c r="R61" i="107"/>
  <c r="Q61" i="107"/>
  <c r="O61" i="107"/>
  <c r="N61" i="107"/>
  <c r="M61" i="107"/>
  <c r="L61" i="107"/>
  <c r="K61" i="107"/>
  <c r="J61" i="107"/>
  <c r="I61" i="107"/>
  <c r="H61" i="107"/>
  <c r="G61" i="107"/>
  <c r="F61" i="107"/>
  <c r="E61" i="107"/>
  <c r="D61" i="107"/>
  <c r="C61" i="107"/>
  <c r="B61" i="107"/>
  <c r="V60" i="107"/>
  <c r="T60" i="107"/>
  <c r="R60" i="107"/>
  <c r="Q60" i="107"/>
  <c r="O60" i="107"/>
  <c r="N60" i="107"/>
  <c r="M60" i="107"/>
  <c r="L60" i="107"/>
  <c r="K60" i="107"/>
  <c r="J60" i="107"/>
  <c r="I60" i="107"/>
  <c r="H60" i="107"/>
  <c r="G60" i="107"/>
  <c r="F60" i="107"/>
  <c r="E60" i="107"/>
  <c r="D60" i="107"/>
  <c r="C60" i="107"/>
  <c r="B60" i="107"/>
  <c r="V59" i="107"/>
  <c r="T59" i="107"/>
  <c r="R59" i="107"/>
  <c r="Q59" i="107"/>
  <c r="O59" i="107"/>
  <c r="N59" i="107"/>
  <c r="M59" i="107"/>
  <c r="L59" i="107"/>
  <c r="K59" i="107"/>
  <c r="J59" i="107"/>
  <c r="I59" i="107"/>
  <c r="H59" i="107"/>
  <c r="G59" i="107"/>
  <c r="F59" i="107"/>
  <c r="E59" i="107"/>
  <c r="D59" i="107"/>
  <c r="C59" i="107"/>
  <c r="B59" i="107"/>
  <c r="V58" i="107"/>
  <c r="T58" i="107"/>
  <c r="R58" i="107"/>
  <c r="Q58" i="107"/>
  <c r="O58" i="107"/>
  <c r="N58" i="107"/>
  <c r="M58" i="107"/>
  <c r="L58" i="107"/>
  <c r="K58" i="107"/>
  <c r="J58" i="107"/>
  <c r="I58" i="107"/>
  <c r="H58" i="107"/>
  <c r="G58" i="107"/>
  <c r="F58" i="107"/>
  <c r="E58" i="107"/>
  <c r="D58" i="107"/>
  <c r="C58" i="107"/>
  <c r="B58" i="107"/>
  <c r="V57" i="107"/>
  <c r="T57" i="107"/>
  <c r="R57" i="107"/>
  <c r="Q57" i="107"/>
  <c r="O57" i="107"/>
  <c r="N57" i="107"/>
  <c r="M57" i="107"/>
  <c r="L57" i="107"/>
  <c r="K57" i="107"/>
  <c r="J57" i="107"/>
  <c r="I57" i="107"/>
  <c r="H57" i="107"/>
  <c r="G57" i="107"/>
  <c r="F57" i="107"/>
  <c r="E57" i="107"/>
  <c r="D57" i="107"/>
  <c r="C57" i="107"/>
  <c r="B57" i="107"/>
  <c r="V56" i="107"/>
  <c r="T56" i="107"/>
  <c r="R56" i="107"/>
  <c r="Q56" i="107"/>
  <c r="O56" i="107"/>
  <c r="N56" i="107"/>
  <c r="M56" i="107"/>
  <c r="L56" i="107"/>
  <c r="K56" i="107"/>
  <c r="J56" i="107"/>
  <c r="I56" i="107"/>
  <c r="H56" i="107"/>
  <c r="G56" i="107"/>
  <c r="F56" i="107"/>
  <c r="E56" i="107"/>
  <c r="D56" i="107"/>
  <c r="C56" i="107"/>
  <c r="B56" i="107"/>
  <c r="V55" i="107"/>
  <c r="T55" i="107"/>
  <c r="R55" i="107"/>
  <c r="Q55" i="107"/>
  <c r="O55" i="107"/>
  <c r="N55" i="107"/>
  <c r="M55" i="107"/>
  <c r="L55" i="107"/>
  <c r="K55" i="107"/>
  <c r="J55" i="107"/>
  <c r="I55" i="107"/>
  <c r="H55" i="107"/>
  <c r="G55" i="107"/>
  <c r="F55" i="107"/>
  <c r="E55" i="107"/>
  <c r="D55" i="107"/>
  <c r="C55" i="107"/>
  <c r="B55" i="107"/>
  <c r="V54" i="107"/>
  <c r="T54" i="107"/>
  <c r="R54" i="107"/>
  <c r="Q54" i="107"/>
  <c r="O54" i="107"/>
  <c r="N54" i="107"/>
  <c r="M54" i="107"/>
  <c r="L54" i="107"/>
  <c r="K54" i="107"/>
  <c r="J54" i="107"/>
  <c r="I54" i="107"/>
  <c r="H54" i="107"/>
  <c r="G54" i="107"/>
  <c r="F54" i="107"/>
  <c r="E54" i="107"/>
  <c r="D54" i="107"/>
  <c r="C54" i="107"/>
  <c r="B54" i="107"/>
  <c r="V53" i="107"/>
  <c r="T53" i="107"/>
  <c r="R53" i="107"/>
  <c r="Q53" i="107"/>
  <c r="N53" i="107"/>
  <c r="M53" i="107"/>
  <c r="L53" i="107"/>
  <c r="K53" i="107"/>
  <c r="J53" i="107"/>
  <c r="I53" i="107"/>
  <c r="F53" i="107"/>
  <c r="E53" i="107"/>
  <c r="D53" i="107"/>
  <c r="C53" i="107"/>
  <c r="B53" i="107"/>
  <c r="V52" i="107"/>
  <c r="T52" i="107"/>
  <c r="R52" i="107"/>
  <c r="Q52" i="107"/>
  <c r="O52" i="107"/>
  <c r="N52" i="107"/>
  <c r="M52" i="107"/>
  <c r="L52" i="107"/>
  <c r="K52" i="107"/>
  <c r="J52" i="107"/>
  <c r="I52" i="107"/>
  <c r="H52" i="107"/>
  <c r="G52" i="107"/>
  <c r="F52" i="107"/>
  <c r="E52" i="107"/>
  <c r="D52" i="107"/>
  <c r="C52" i="107"/>
  <c r="B52" i="107"/>
  <c r="V51" i="107"/>
  <c r="T51" i="107"/>
  <c r="R51" i="107"/>
  <c r="Q51" i="107"/>
  <c r="O51" i="107"/>
  <c r="N51" i="107"/>
  <c r="M51" i="107"/>
  <c r="L51" i="107"/>
  <c r="K51" i="107"/>
  <c r="J51" i="107"/>
  <c r="I51" i="107"/>
  <c r="H51" i="107"/>
  <c r="G51" i="107"/>
  <c r="F51" i="107"/>
  <c r="E51" i="107"/>
  <c r="D51" i="107"/>
  <c r="C51" i="107"/>
  <c r="B51" i="107"/>
  <c r="V50" i="107"/>
  <c r="T50" i="107"/>
  <c r="R50" i="107"/>
  <c r="Q50" i="107"/>
  <c r="N50" i="107"/>
  <c r="M50" i="107"/>
  <c r="J50" i="107"/>
  <c r="I50" i="107"/>
  <c r="F50" i="107"/>
  <c r="E50" i="107"/>
  <c r="D50" i="107"/>
  <c r="C50" i="107"/>
  <c r="B50" i="107"/>
  <c r="V49" i="107"/>
  <c r="T49" i="107"/>
  <c r="R49" i="107"/>
  <c r="Q49" i="107"/>
  <c r="O49" i="107"/>
  <c r="N49" i="107"/>
  <c r="M49" i="107"/>
  <c r="L49" i="107"/>
  <c r="K49" i="107"/>
  <c r="J49" i="107"/>
  <c r="I49" i="107"/>
  <c r="H49" i="107"/>
  <c r="G49" i="107"/>
  <c r="F49" i="107"/>
  <c r="E49" i="107"/>
  <c r="D49" i="107"/>
  <c r="C49" i="107"/>
  <c r="B49" i="107"/>
  <c r="V48" i="107"/>
  <c r="T48" i="107"/>
  <c r="R48" i="107"/>
  <c r="Q48" i="107"/>
  <c r="O48" i="107"/>
  <c r="N48" i="107"/>
  <c r="M48" i="107"/>
  <c r="L48" i="107"/>
  <c r="K48" i="107"/>
  <c r="J48" i="107"/>
  <c r="I48" i="107"/>
  <c r="H48" i="107"/>
  <c r="G48" i="107"/>
  <c r="F48" i="107"/>
  <c r="E48" i="107"/>
  <c r="D48" i="107"/>
  <c r="C48" i="107"/>
  <c r="B48" i="107"/>
  <c r="V47" i="107"/>
  <c r="T47" i="107"/>
  <c r="R47" i="107"/>
  <c r="Q47" i="107"/>
  <c r="O47" i="107"/>
  <c r="N47" i="107"/>
  <c r="M47" i="107"/>
  <c r="L47" i="107"/>
  <c r="K47" i="107"/>
  <c r="J47" i="107"/>
  <c r="I47" i="107"/>
  <c r="H47" i="107"/>
  <c r="G47" i="107"/>
  <c r="F47" i="107"/>
  <c r="E47" i="107"/>
  <c r="D47" i="107"/>
  <c r="C47" i="107"/>
  <c r="B47" i="107"/>
  <c r="V46" i="107"/>
  <c r="T46" i="107"/>
  <c r="R46" i="107"/>
  <c r="Q46" i="107"/>
  <c r="O46" i="107"/>
  <c r="N46" i="107"/>
  <c r="M46" i="107"/>
  <c r="L46" i="107"/>
  <c r="K46" i="107"/>
  <c r="J46" i="107"/>
  <c r="I46" i="107"/>
  <c r="H46" i="107"/>
  <c r="G46" i="107"/>
  <c r="F46" i="107"/>
  <c r="E46" i="107"/>
  <c r="D46" i="107"/>
  <c r="C46" i="107"/>
  <c r="B46" i="107"/>
  <c r="V45" i="107"/>
  <c r="T45" i="107"/>
  <c r="R45" i="107"/>
  <c r="Q45" i="107"/>
  <c r="O45" i="107"/>
  <c r="N45" i="107"/>
  <c r="M45" i="107"/>
  <c r="L45" i="107"/>
  <c r="K45" i="107"/>
  <c r="J45" i="107"/>
  <c r="I45" i="107"/>
  <c r="H45" i="107"/>
  <c r="G45" i="107"/>
  <c r="F45" i="107"/>
  <c r="E45" i="107"/>
  <c r="D45" i="107"/>
  <c r="C45" i="107"/>
  <c r="B45" i="107"/>
  <c r="V44" i="107"/>
  <c r="T44" i="107"/>
  <c r="R44" i="107"/>
  <c r="Q44" i="107"/>
  <c r="O44" i="107"/>
  <c r="N44" i="107"/>
  <c r="M44" i="107"/>
  <c r="L44" i="107"/>
  <c r="K44" i="107"/>
  <c r="J44" i="107"/>
  <c r="I44" i="107"/>
  <c r="H44" i="107"/>
  <c r="G44" i="107"/>
  <c r="F44" i="107"/>
  <c r="E44" i="107"/>
  <c r="D44" i="107"/>
  <c r="C44" i="107"/>
  <c r="B44" i="107"/>
  <c r="V43" i="107"/>
  <c r="T43" i="107"/>
  <c r="R43" i="107"/>
  <c r="Q43" i="107"/>
  <c r="O43" i="107"/>
  <c r="N43" i="107"/>
  <c r="M43" i="107"/>
  <c r="L43" i="107"/>
  <c r="K43" i="107"/>
  <c r="J43" i="107"/>
  <c r="I43" i="107"/>
  <c r="H43" i="107"/>
  <c r="G43" i="107"/>
  <c r="F43" i="107"/>
  <c r="E43" i="107"/>
  <c r="D43" i="107"/>
  <c r="C43" i="107"/>
  <c r="B43" i="107"/>
  <c r="V42" i="107"/>
  <c r="T42" i="107"/>
  <c r="R42" i="107"/>
  <c r="Q42" i="107"/>
  <c r="O42" i="107"/>
  <c r="N42" i="107"/>
  <c r="M42" i="107"/>
  <c r="L42" i="107"/>
  <c r="K42" i="107"/>
  <c r="J42" i="107"/>
  <c r="I42" i="107"/>
  <c r="H42" i="107"/>
  <c r="G42" i="107"/>
  <c r="F42" i="107"/>
  <c r="E42" i="107"/>
  <c r="D42" i="107"/>
  <c r="C42" i="107"/>
  <c r="B42" i="107"/>
  <c r="V41" i="107"/>
  <c r="T41" i="107"/>
  <c r="R41" i="107"/>
  <c r="Q41" i="107"/>
  <c r="O41" i="107"/>
  <c r="N41" i="107"/>
  <c r="M41" i="107"/>
  <c r="L41" i="107"/>
  <c r="K41" i="107"/>
  <c r="J41" i="107"/>
  <c r="I41" i="107"/>
  <c r="H41" i="107"/>
  <c r="G41" i="107"/>
  <c r="F41" i="107"/>
  <c r="E41" i="107"/>
  <c r="D41" i="107"/>
  <c r="C41" i="107"/>
  <c r="B41" i="107"/>
  <c r="V40" i="107"/>
  <c r="T40" i="107"/>
  <c r="R40" i="107"/>
  <c r="Q40" i="107"/>
  <c r="O40" i="107"/>
  <c r="N40" i="107"/>
  <c r="M40" i="107"/>
  <c r="L40" i="107"/>
  <c r="K40" i="107"/>
  <c r="J40" i="107"/>
  <c r="I40" i="107"/>
  <c r="H40" i="107"/>
  <c r="G40" i="107"/>
  <c r="F40" i="107"/>
  <c r="E40" i="107"/>
  <c r="D40" i="107"/>
  <c r="C40" i="107"/>
  <c r="B40" i="107"/>
  <c r="V39" i="107"/>
  <c r="T39" i="107"/>
  <c r="R39" i="107"/>
  <c r="Q39" i="107"/>
  <c r="O39" i="107"/>
  <c r="N39" i="107"/>
  <c r="M39" i="107"/>
  <c r="L39" i="107"/>
  <c r="K39" i="107"/>
  <c r="J39" i="107"/>
  <c r="I39" i="107"/>
  <c r="H39" i="107"/>
  <c r="G39" i="107"/>
  <c r="F39" i="107"/>
  <c r="E39" i="107"/>
  <c r="D39" i="107"/>
  <c r="C39" i="107"/>
  <c r="B39" i="107"/>
  <c r="V38" i="107"/>
  <c r="T38" i="107"/>
  <c r="R38" i="107"/>
  <c r="Q38" i="107"/>
  <c r="N38" i="107"/>
  <c r="M38" i="107"/>
  <c r="L38" i="107"/>
  <c r="K38" i="107"/>
  <c r="J38" i="107"/>
  <c r="I38" i="107"/>
  <c r="F38" i="107"/>
  <c r="E38" i="107"/>
  <c r="D38" i="107"/>
  <c r="C38" i="107"/>
  <c r="B38" i="107"/>
  <c r="V37" i="107"/>
  <c r="T37" i="107"/>
  <c r="R37" i="107"/>
  <c r="Q37" i="107"/>
  <c r="O37" i="107"/>
  <c r="N37" i="107"/>
  <c r="M37" i="107"/>
  <c r="L37" i="107"/>
  <c r="K37" i="107"/>
  <c r="J37" i="107"/>
  <c r="I37" i="107"/>
  <c r="H37" i="107"/>
  <c r="G37" i="107"/>
  <c r="F37" i="107"/>
  <c r="E37" i="107"/>
  <c r="D37" i="107"/>
  <c r="C37" i="107"/>
  <c r="B37" i="107"/>
  <c r="V36" i="107"/>
  <c r="T36" i="107"/>
  <c r="R36" i="107"/>
  <c r="Q36" i="107"/>
  <c r="O36" i="107"/>
  <c r="N36" i="107"/>
  <c r="M36" i="107"/>
  <c r="L36" i="107"/>
  <c r="K36" i="107"/>
  <c r="J36" i="107"/>
  <c r="I36" i="107"/>
  <c r="H36" i="107"/>
  <c r="G36" i="107"/>
  <c r="F36" i="107"/>
  <c r="E36" i="107"/>
  <c r="D36" i="107"/>
  <c r="C36" i="107"/>
  <c r="B36" i="107"/>
  <c r="V35" i="107"/>
  <c r="T35" i="107"/>
  <c r="R35" i="107"/>
  <c r="Q35" i="107"/>
  <c r="O35" i="107"/>
  <c r="N35" i="107"/>
  <c r="M35" i="107"/>
  <c r="L35" i="107"/>
  <c r="K35" i="107"/>
  <c r="J35" i="107"/>
  <c r="I35" i="107"/>
  <c r="H35" i="107"/>
  <c r="G35" i="107"/>
  <c r="F35" i="107"/>
  <c r="E35" i="107"/>
  <c r="D35" i="107"/>
  <c r="C35" i="107"/>
  <c r="B35" i="107"/>
  <c r="V34" i="107"/>
  <c r="T34" i="107"/>
  <c r="R34" i="107"/>
  <c r="Q34" i="107"/>
  <c r="O34" i="107"/>
  <c r="N34" i="107"/>
  <c r="M34" i="107"/>
  <c r="L34" i="107"/>
  <c r="K34" i="107"/>
  <c r="J34" i="107"/>
  <c r="I34" i="107"/>
  <c r="H34" i="107"/>
  <c r="G34" i="107"/>
  <c r="F34" i="107"/>
  <c r="E34" i="107"/>
  <c r="D34" i="107"/>
  <c r="C34" i="107"/>
  <c r="B34" i="107"/>
  <c r="V33" i="107"/>
  <c r="T33" i="107"/>
  <c r="R33" i="107"/>
  <c r="Q33" i="107"/>
  <c r="O33" i="107"/>
  <c r="N33" i="107"/>
  <c r="M33" i="107"/>
  <c r="L33" i="107"/>
  <c r="K33" i="107"/>
  <c r="J33" i="107"/>
  <c r="I33" i="107"/>
  <c r="H33" i="107"/>
  <c r="G33" i="107"/>
  <c r="F33" i="107"/>
  <c r="E33" i="107"/>
  <c r="D33" i="107"/>
  <c r="C33" i="107"/>
  <c r="B33" i="107"/>
  <c r="V32" i="107"/>
  <c r="T32" i="107"/>
  <c r="R32" i="107"/>
  <c r="Q32" i="107"/>
  <c r="O32" i="107"/>
  <c r="N32" i="107"/>
  <c r="M32" i="107"/>
  <c r="L32" i="107"/>
  <c r="K32" i="107"/>
  <c r="J32" i="107"/>
  <c r="I32" i="107"/>
  <c r="H32" i="107"/>
  <c r="G32" i="107"/>
  <c r="F32" i="107"/>
  <c r="E32" i="107"/>
  <c r="D32" i="107"/>
  <c r="C32" i="107"/>
  <c r="B32" i="107"/>
  <c r="V31" i="107"/>
  <c r="T31" i="107"/>
  <c r="R31" i="107"/>
  <c r="Q31" i="107"/>
  <c r="O31" i="107"/>
  <c r="N31" i="107"/>
  <c r="M31" i="107"/>
  <c r="L31" i="107"/>
  <c r="K31" i="107"/>
  <c r="J31" i="107"/>
  <c r="I31" i="107"/>
  <c r="H31" i="107"/>
  <c r="G31" i="107"/>
  <c r="F31" i="107"/>
  <c r="E31" i="107"/>
  <c r="D31" i="107"/>
  <c r="C31" i="107"/>
  <c r="B31" i="107"/>
  <c r="V30" i="107"/>
  <c r="T30" i="107"/>
  <c r="R30" i="107"/>
  <c r="Q30" i="107"/>
  <c r="O30" i="107"/>
  <c r="N30" i="107"/>
  <c r="M30" i="107"/>
  <c r="L30" i="107"/>
  <c r="K30" i="107"/>
  <c r="J30" i="107"/>
  <c r="I30" i="107"/>
  <c r="H30" i="107"/>
  <c r="G30" i="107"/>
  <c r="F30" i="107"/>
  <c r="E30" i="107"/>
  <c r="D30" i="107"/>
  <c r="C30" i="107"/>
  <c r="B30" i="107"/>
  <c r="V29" i="107"/>
  <c r="T29" i="107"/>
  <c r="R29" i="107"/>
  <c r="Q29" i="107"/>
  <c r="O29" i="107"/>
  <c r="N29" i="107"/>
  <c r="M29" i="107"/>
  <c r="L29" i="107"/>
  <c r="K29" i="107"/>
  <c r="J29" i="107"/>
  <c r="I29" i="107"/>
  <c r="H29" i="107"/>
  <c r="G29" i="107"/>
  <c r="F29" i="107"/>
  <c r="E29" i="107"/>
  <c r="D29" i="107"/>
  <c r="C29" i="107"/>
  <c r="B29" i="107"/>
  <c r="V28" i="107"/>
  <c r="T28" i="107"/>
  <c r="R28" i="107"/>
  <c r="Q28" i="107"/>
  <c r="N28" i="107"/>
  <c r="M28" i="107"/>
  <c r="L28" i="107"/>
  <c r="K28" i="107"/>
  <c r="F28" i="107"/>
  <c r="E28" i="107"/>
  <c r="D28" i="107"/>
  <c r="C28" i="107"/>
  <c r="B28" i="107"/>
  <c r="V27" i="107"/>
  <c r="T27" i="107"/>
  <c r="R27" i="107"/>
  <c r="Q27" i="107"/>
  <c r="O27" i="107"/>
  <c r="N27" i="107"/>
  <c r="M27" i="107"/>
  <c r="L27" i="107"/>
  <c r="K27" i="107"/>
  <c r="J27" i="107"/>
  <c r="I27" i="107"/>
  <c r="H27" i="107"/>
  <c r="G27" i="107"/>
  <c r="F27" i="107"/>
  <c r="E27" i="107"/>
  <c r="D27" i="107"/>
  <c r="C27" i="107"/>
  <c r="B27" i="107"/>
  <c r="V26" i="107"/>
  <c r="T26" i="107"/>
  <c r="R26" i="107"/>
  <c r="Q26" i="107"/>
  <c r="O26" i="107"/>
  <c r="N26" i="107"/>
  <c r="M26" i="107"/>
  <c r="L26" i="107"/>
  <c r="K26" i="107"/>
  <c r="J26" i="107"/>
  <c r="I26" i="107"/>
  <c r="H26" i="107"/>
  <c r="G26" i="107"/>
  <c r="F26" i="107"/>
  <c r="E26" i="107"/>
  <c r="D26" i="107"/>
  <c r="C26" i="107"/>
  <c r="B26" i="107"/>
  <c r="V25" i="107"/>
  <c r="T25" i="107"/>
  <c r="R25" i="107"/>
  <c r="Q25" i="107"/>
  <c r="O25" i="107"/>
  <c r="N25" i="107"/>
  <c r="M25" i="107"/>
  <c r="L25" i="107"/>
  <c r="K25" i="107"/>
  <c r="J25" i="107"/>
  <c r="I25" i="107"/>
  <c r="H25" i="107"/>
  <c r="G25" i="107"/>
  <c r="F25" i="107"/>
  <c r="E25" i="107"/>
  <c r="D25" i="107"/>
  <c r="C25" i="107"/>
  <c r="B25" i="107"/>
  <c r="V24" i="107"/>
  <c r="T24" i="107"/>
  <c r="R24" i="107"/>
  <c r="Q24" i="107"/>
  <c r="O24" i="107"/>
  <c r="N24" i="107"/>
  <c r="M24" i="107"/>
  <c r="L24" i="107"/>
  <c r="K24" i="107"/>
  <c r="J24" i="107"/>
  <c r="I24" i="107"/>
  <c r="H24" i="107"/>
  <c r="G24" i="107"/>
  <c r="F24" i="107"/>
  <c r="E24" i="107"/>
  <c r="D24" i="107"/>
  <c r="C24" i="107"/>
  <c r="B24" i="107"/>
  <c r="V23" i="107"/>
  <c r="T23" i="107"/>
  <c r="R23" i="107"/>
  <c r="Q23" i="107"/>
  <c r="O23" i="107"/>
  <c r="N23" i="107"/>
  <c r="M23" i="107"/>
  <c r="L23" i="107"/>
  <c r="K23" i="107"/>
  <c r="J23" i="107"/>
  <c r="I23" i="107"/>
  <c r="H23" i="107"/>
  <c r="G23" i="107"/>
  <c r="F23" i="107"/>
  <c r="E23" i="107"/>
  <c r="D23" i="107"/>
  <c r="C23" i="107"/>
  <c r="B23" i="107"/>
  <c r="V22" i="107"/>
  <c r="T22" i="107"/>
  <c r="R22" i="107"/>
  <c r="Q22" i="107"/>
  <c r="O22" i="107"/>
  <c r="N22" i="107"/>
  <c r="M22" i="107"/>
  <c r="L22" i="107"/>
  <c r="K22" i="107"/>
  <c r="J22" i="107"/>
  <c r="I22" i="107"/>
  <c r="H22" i="107"/>
  <c r="G22" i="107"/>
  <c r="F22" i="107"/>
  <c r="E22" i="107"/>
  <c r="D22" i="107"/>
  <c r="C22" i="107"/>
  <c r="B22" i="107"/>
  <c r="V21" i="107"/>
  <c r="T21" i="107"/>
  <c r="R21" i="107"/>
  <c r="Q21" i="107"/>
  <c r="O21" i="107"/>
  <c r="N21" i="107"/>
  <c r="M21" i="107"/>
  <c r="L21" i="107"/>
  <c r="K21" i="107"/>
  <c r="J21" i="107"/>
  <c r="I21" i="107"/>
  <c r="H21" i="107"/>
  <c r="G21" i="107"/>
  <c r="F21" i="107"/>
  <c r="E21" i="107"/>
  <c r="D21" i="107"/>
  <c r="C21" i="107"/>
  <c r="B21" i="107"/>
  <c r="V20" i="107"/>
  <c r="T20" i="107"/>
  <c r="R20" i="107"/>
  <c r="Q20" i="107"/>
  <c r="O20" i="107"/>
  <c r="N20" i="107"/>
  <c r="M20" i="107"/>
  <c r="L20" i="107"/>
  <c r="K20" i="107"/>
  <c r="J20" i="107"/>
  <c r="I20" i="107"/>
  <c r="H20" i="107"/>
  <c r="G20" i="107"/>
  <c r="F20" i="107"/>
  <c r="E20" i="107"/>
  <c r="D20" i="107"/>
  <c r="C20" i="107"/>
  <c r="B20" i="107"/>
  <c r="V19" i="107"/>
  <c r="T19" i="107"/>
  <c r="R19" i="107"/>
  <c r="Q19" i="107"/>
  <c r="O19" i="107"/>
  <c r="N19" i="107"/>
  <c r="M19" i="107"/>
  <c r="L19" i="107"/>
  <c r="K19" i="107"/>
  <c r="J19" i="107"/>
  <c r="I19" i="107"/>
  <c r="H19" i="107"/>
  <c r="G19" i="107"/>
  <c r="F19" i="107"/>
  <c r="E19" i="107"/>
  <c r="D19" i="107"/>
  <c r="C19" i="107"/>
  <c r="B19" i="107"/>
  <c r="V18" i="107"/>
  <c r="T18" i="107"/>
  <c r="R18" i="107"/>
  <c r="Q18" i="107"/>
  <c r="O18" i="107"/>
  <c r="N18" i="107"/>
  <c r="M18" i="107"/>
  <c r="L18" i="107"/>
  <c r="K18" i="107"/>
  <c r="J18" i="107"/>
  <c r="I18" i="107"/>
  <c r="H18" i="107"/>
  <c r="G18" i="107"/>
  <c r="F18" i="107"/>
  <c r="E18" i="107"/>
  <c r="D18" i="107"/>
  <c r="C18" i="107"/>
  <c r="B18" i="107"/>
  <c r="V17" i="107"/>
  <c r="T17" i="107"/>
  <c r="R17" i="107"/>
  <c r="Q17" i="107"/>
  <c r="O17" i="107"/>
  <c r="N17" i="107"/>
  <c r="M17" i="107"/>
  <c r="L17" i="107"/>
  <c r="K17" i="107"/>
  <c r="J17" i="107"/>
  <c r="I17" i="107"/>
  <c r="H17" i="107"/>
  <c r="G17" i="107"/>
  <c r="F17" i="107"/>
  <c r="E17" i="107"/>
  <c r="D17" i="107"/>
  <c r="C17" i="107"/>
  <c r="B17" i="107"/>
  <c r="V16" i="107"/>
  <c r="T16" i="107"/>
  <c r="R16" i="107"/>
  <c r="Q16" i="107"/>
  <c r="O16" i="107"/>
  <c r="N16" i="107"/>
  <c r="M16" i="107"/>
  <c r="L16" i="107"/>
  <c r="K16" i="107"/>
  <c r="J16" i="107"/>
  <c r="I16" i="107"/>
  <c r="H16" i="107"/>
  <c r="G16" i="107"/>
  <c r="F16" i="107"/>
  <c r="E16" i="107"/>
  <c r="D16" i="107"/>
  <c r="C16" i="107"/>
  <c r="B16" i="107"/>
  <c r="V15" i="107"/>
  <c r="T15" i="107"/>
  <c r="R15" i="107"/>
  <c r="Q15" i="107"/>
  <c r="O15" i="107"/>
  <c r="N15" i="107"/>
  <c r="M15" i="107"/>
  <c r="L15" i="107"/>
  <c r="K15" i="107"/>
  <c r="J15" i="107"/>
  <c r="I15" i="107"/>
  <c r="H15" i="107"/>
  <c r="G15" i="107"/>
  <c r="F15" i="107"/>
  <c r="E15" i="107"/>
  <c r="D15" i="107"/>
  <c r="C15" i="107"/>
  <c r="B15" i="107"/>
  <c r="V14" i="107"/>
  <c r="T14" i="107"/>
  <c r="R14" i="107"/>
  <c r="Q14" i="107"/>
  <c r="O14" i="107"/>
  <c r="N14" i="107"/>
  <c r="M14" i="107"/>
  <c r="L14" i="107"/>
  <c r="K14" i="107"/>
  <c r="J14" i="107"/>
  <c r="I14" i="107"/>
  <c r="H14" i="107"/>
  <c r="G14" i="107"/>
  <c r="F14" i="107"/>
  <c r="E14" i="107"/>
  <c r="D14" i="107"/>
  <c r="C14" i="107"/>
  <c r="B14" i="107"/>
  <c r="V13" i="107"/>
  <c r="T13" i="107"/>
  <c r="R13" i="107"/>
  <c r="Q13" i="107"/>
  <c r="O13" i="107"/>
  <c r="N13" i="107"/>
  <c r="M13" i="107"/>
  <c r="L13" i="107"/>
  <c r="K13" i="107"/>
  <c r="J13" i="107"/>
  <c r="I13" i="107"/>
  <c r="H13" i="107"/>
  <c r="G13" i="107"/>
  <c r="F13" i="107"/>
  <c r="E13" i="107"/>
  <c r="D13" i="107"/>
  <c r="C13" i="107"/>
  <c r="B13" i="107"/>
  <c r="V12" i="107"/>
  <c r="T12" i="107"/>
  <c r="R12" i="107"/>
  <c r="Q12" i="107"/>
  <c r="O12" i="107"/>
  <c r="N12" i="107"/>
  <c r="M12" i="107"/>
  <c r="L12" i="107"/>
  <c r="K12" i="107"/>
  <c r="J12" i="107"/>
  <c r="I12" i="107"/>
  <c r="H12" i="107"/>
  <c r="G12" i="107"/>
  <c r="F12" i="107"/>
  <c r="E12" i="107"/>
  <c r="D12" i="107"/>
  <c r="C12" i="107"/>
  <c r="B12" i="107"/>
  <c r="V11" i="107"/>
  <c r="T11" i="107"/>
  <c r="R11" i="107"/>
  <c r="Q11" i="107"/>
  <c r="O11" i="107"/>
  <c r="N11" i="107"/>
  <c r="M11" i="107"/>
  <c r="L11" i="107"/>
  <c r="K11" i="107"/>
  <c r="J11" i="107"/>
  <c r="I11" i="107"/>
  <c r="H11" i="107"/>
  <c r="G11" i="107"/>
  <c r="F11" i="107"/>
  <c r="E11" i="107"/>
  <c r="D11" i="107"/>
  <c r="C11" i="107"/>
  <c r="B11" i="107"/>
  <c r="V10" i="107"/>
  <c r="T10" i="107"/>
  <c r="R10" i="107"/>
  <c r="Q10" i="107"/>
  <c r="O10" i="107"/>
  <c r="N10" i="107"/>
  <c r="M10" i="107"/>
  <c r="L10" i="107"/>
  <c r="K10" i="107"/>
  <c r="J10" i="107"/>
  <c r="I10" i="107"/>
  <c r="H10" i="107"/>
  <c r="G10" i="107"/>
  <c r="F10" i="107"/>
  <c r="E10" i="107"/>
  <c r="D10" i="107"/>
  <c r="C10" i="107"/>
  <c r="B10" i="107"/>
  <c r="V9" i="107"/>
  <c r="T9" i="107"/>
  <c r="R9" i="107"/>
  <c r="Q9" i="107"/>
  <c r="N9" i="107"/>
  <c r="M9" i="107"/>
  <c r="L9" i="107"/>
  <c r="K9" i="107"/>
  <c r="J9" i="107"/>
  <c r="I9" i="107"/>
  <c r="F9" i="107"/>
  <c r="E9" i="107"/>
  <c r="D9" i="107"/>
  <c r="C9" i="107"/>
  <c r="B9" i="107"/>
  <c r="V8" i="107"/>
  <c r="T8" i="107"/>
  <c r="R8" i="107"/>
  <c r="Q8" i="107"/>
  <c r="N8" i="107"/>
  <c r="M8" i="107"/>
  <c r="L8" i="107"/>
  <c r="K8" i="107"/>
  <c r="F8" i="107"/>
  <c r="E8" i="107"/>
  <c r="D8" i="107"/>
  <c r="C8" i="107"/>
  <c r="B8" i="107"/>
  <c r="V7" i="107"/>
  <c r="T7" i="107"/>
  <c r="R7" i="107"/>
  <c r="Q7" i="107"/>
  <c r="O7" i="107"/>
  <c r="N7" i="107"/>
  <c r="M7" i="107"/>
  <c r="L7" i="107"/>
  <c r="K7" i="107"/>
  <c r="J7" i="107"/>
  <c r="I7" i="107"/>
  <c r="H7" i="107"/>
  <c r="G7" i="107"/>
  <c r="F7" i="107"/>
  <c r="E7" i="107"/>
  <c r="D7" i="107"/>
  <c r="C7" i="107"/>
  <c r="B7" i="107"/>
  <c r="V6" i="107"/>
  <c r="T6" i="107"/>
  <c r="R6" i="107"/>
  <c r="Q6" i="107"/>
  <c r="O6" i="107"/>
  <c r="N6" i="107"/>
  <c r="M6" i="107"/>
  <c r="L6" i="107"/>
  <c r="K6" i="107"/>
  <c r="J6" i="107"/>
  <c r="I6" i="107"/>
  <c r="H6" i="107"/>
  <c r="G6" i="107"/>
  <c r="F6" i="107"/>
  <c r="E6" i="107"/>
  <c r="D6" i="107"/>
  <c r="C6" i="107"/>
  <c r="B6" i="107"/>
  <c r="V5" i="107"/>
  <c r="T5" i="107"/>
  <c r="R5" i="107"/>
  <c r="Q5" i="107"/>
  <c r="O5" i="107"/>
  <c r="N5" i="107"/>
  <c r="M5" i="107"/>
  <c r="L5" i="107"/>
  <c r="K5" i="107"/>
  <c r="J5" i="107"/>
  <c r="I5" i="107"/>
  <c r="H5" i="107"/>
  <c r="G5" i="107"/>
  <c r="F5" i="107"/>
  <c r="E5" i="107"/>
  <c r="D5" i="107"/>
  <c r="C5" i="107"/>
  <c r="B5" i="107"/>
  <c r="V4" i="107"/>
  <c r="T4" i="107"/>
  <c r="R4" i="107"/>
  <c r="Q4" i="107"/>
  <c r="N4" i="107"/>
  <c r="M4" i="107"/>
  <c r="L4" i="107"/>
  <c r="K4" i="107"/>
  <c r="J4" i="107"/>
  <c r="I4" i="107"/>
  <c r="F4" i="107"/>
  <c r="E4" i="107"/>
  <c r="D4" i="107"/>
  <c r="C4" i="107"/>
  <c r="B4" i="107"/>
  <c r="AB83" i="297"/>
  <c r="AA83" i="297"/>
  <c r="Z83" i="297"/>
  <c r="Y83" i="297"/>
  <c r="X83" i="297"/>
  <c r="K83" i="297"/>
  <c r="J83" i="297"/>
  <c r="I83" i="297"/>
  <c r="H83" i="297"/>
  <c r="G83" i="297"/>
  <c r="F82" i="297"/>
  <c r="C82" i="297"/>
  <c r="C83" i="297" s="1"/>
  <c r="T81" i="297"/>
  <c r="W80" i="297"/>
  <c r="W79" i="297"/>
  <c r="W78" i="297"/>
  <c r="T78" i="297" s="1"/>
  <c r="W77" i="297"/>
  <c r="T77" i="297" s="1"/>
  <c r="W76" i="297"/>
  <c r="F76" i="297"/>
  <c r="W75" i="297"/>
  <c r="T75" i="297"/>
  <c r="R75" i="297"/>
  <c r="R83" i="297" s="1"/>
  <c r="P75" i="297"/>
  <c r="P83" i="297" s="1"/>
  <c r="F75" i="297"/>
  <c r="W74" i="297"/>
  <c r="F74" i="297"/>
  <c r="W73" i="297"/>
  <c r="T73" i="297" s="1"/>
  <c r="F73" i="297"/>
  <c r="W72" i="297"/>
  <c r="F72" i="297"/>
  <c r="W71" i="297"/>
  <c r="T71" i="297" s="1"/>
  <c r="F71" i="297"/>
  <c r="W70" i="297"/>
  <c r="T70" i="297"/>
  <c r="F70" i="297"/>
  <c r="W69" i="297"/>
  <c r="T69" i="297" s="1"/>
  <c r="F69" i="297"/>
  <c r="W68" i="297"/>
  <c r="T68" i="297"/>
  <c r="F68" i="297"/>
  <c r="W67" i="297"/>
  <c r="F67" i="297"/>
  <c r="W66" i="297"/>
  <c r="F66" i="297"/>
  <c r="W65" i="297"/>
  <c r="T65" i="297" s="1"/>
  <c r="F65" i="297"/>
  <c r="W64" i="297"/>
  <c r="F64" i="297"/>
  <c r="W63" i="297"/>
  <c r="T63" i="297" s="1"/>
  <c r="F63" i="297"/>
  <c r="W62" i="297"/>
  <c r="T62" i="297"/>
  <c r="F62" i="297"/>
  <c r="W61" i="297"/>
  <c r="T61" i="297" s="1"/>
  <c r="F61" i="297"/>
  <c r="W60" i="297"/>
  <c r="T60" i="297"/>
  <c r="F60" i="297"/>
  <c r="W59" i="297"/>
  <c r="F59" i="297"/>
  <c r="W58" i="297"/>
  <c r="F58" i="297"/>
  <c r="W57" i="297"/>
  <c r="T57" i="297" s="1"/>
  <c r="F57" i="297"/>
  <c r="W56" i="297"/>
  <c r="F56" i="297"/>
  <c r="W55" i="297"/>
  <c r="T55" i="297" s="1"/>
  <c r="F55" i="297"/>
  <c r="W54" i="297"/>
  <c r="T54" i="297"/>
  <c r="F54" i="297"/>
  <c r="W53" i="297"/>
  <c r="T53" i="297" s="1"/>
  <c r="F53" i="297"/>
  <c r="W52" i="297"/>
  <c r="T52" i="297"/>
  <c r="F52" i="297"/>
  <c r="W51" i="297"/>
  <c r="F51" i="297"/>
  <c r="W50" i="297"/>
  <c r="F50" i="297"/>
  <c r="W49" i="297"/>
  <c r="T49" i="297" s="1"/>
  <c r="F49" i="297"/>
  <c r="W48" i="297"/>
  <c r="W47" i="297"/>
  <c r="T47" i="297"/>
  <c r="W46" i="297"/>
  <c r="T46" i="297"/>
  <c r="W45" i="297"/>
  <c r="T45" i="297"/>
  <c r="W44" i="297"/>
  <c r="W43" i="297"/>
  <c r="T43" i="297"/>
  <c r="W42" i="297"/>
  <c r="T42" i="297"/>
  <c r="F42" i="297"/>
  <c r="W41" i="297"/>
  <c r="T41" i="297" s="1"/>
  <c r="F41" i="297"/>
  <c r="W40" i="297"/>
  <c r="F40" i="297"/>
  <c r="W39" i="297"/>
  <c r="F39" i="297"/>
  <c r="W38" i="297"/>
  <c r="T38" i="297"/>
  <c r="F38" i="297"/>
  <c r="W37" i="297"/>
  <c r="T37" i="297" s="1"/>
  <c r="F37" i="297"/>
  <c r="W36" i="297"/>
  <c r="F36" i="297"/>
  <c r="W35" i="297"/>
  <c r="T35" i="297" s="1"/>
  <c r="F35" i="297"/>
  <c r="W34" i="297"/>
  <c r="T34" i="297"/>
  <c r="F34" i="297"/>
  <c r="W33" i="297"/>
  <c r="T33" i="297" s="1"/>
  <c r="F33" i="297"/>
  <c r="W32" i="297"/>
  <c r="F32" i="297"/>
  <c r="W31" i="297"/>
  <c r="F31" i="297"/>
  <c r="W30" i="297"/>
  <c r="T30" i="297"/>
  <c r="F30" i="297"/>
  <c r="W29" i="297"/>
  <c r="T29" i="297" s="1"/>
  <c r="F29" i="297"/>
  <c r="W28" i="297"/>
  <c r="F28" i="297"/>
  <c r="W27" i="297"/>
  <c r="T27" i="297" s="1"/>
  <c r="F27" i="297"/>
  <c r="W26" i="297"/>
  <c r="T26" i="297"/>
  <c r="F26" i="297"/>
  <c r="W25" i="297"/>
  <c r="T25" i="297" s="1"/>
  <c r="F25" i="297"/>
  <c r="W24" i="297"/>
  <c r="F24" i="297"/>
  <c r="W23" i="297"/>
  <c r="F23" i="297"/>
  <c r="W22" i="297"/>
  <c r="T22" i="297"/>
  <c r="F22" i="297"/>
  <c r="W21" i="297"/>
  <c r="T21" i="297" s="1"/>
  <c r="F21" i="297"/>
  <c r="W20" i="297"/>
  <c r="S20" i="297"/>
  <c r="F20" i="297"/>
  <c r="W19" i="297"/>
  <c r="F19" i="297"/>
  <c r="W18" i="297"/>
  <c r="T18" i="297" s="1"/>
  <c r="F18" i="297"/>
  <c r="W17" i="297"/>
  <c r="T17" i="297"/>
  <c r="M17" i="297"/>
  <c r="M83" i="297" s="1"/>
  <c r="F17" i="297"/>
  <c r="W16" i="297"/>
  <c r="N16" i="297"/>
  <c r="N17" i="297" s="1"/>
  <c r="F16" i="297"/>
  <c r="W15" i="297"/>
  <c r="W83" i="297" s="1"/>
  <c r="F15" i="297"/>
  <c r="F83" i="297" s="1"/>
  <c r="R14" i="297"/>
  <c r="P14" i="297"/>
  <c r="AA8" i="297"/>
  <c r="Z8" i="297"/>
  <c r="Y8" i="297"/>
  <c r="X8" i="297"/>
  <c r="L83" i="297" l="1"/>
  <c r="G8" i="107" s="1"/>
  <c r="H8" i="107" s="1"/>
  <c r="T51" i="297"/>
  <c r="T59" i="297"/>
  <c r="T67" i="297"/>
  <c r="T79" i="297"/>
  <c r="T16" i="297"/>
  <c r="T23" i="297"/>
  <c r="T31" i="297"/>
  <c r="T39" i="297"/>
  <c r="T76" i="297"/>
  <c r="T80" i="297"/>
  <c r="W85" i="297"/>
  <c r="S83" i="297"/>
  <c r="N83" i="297"/>
  <c r="I8" i="107" s="1"/>
  <c r="T15" i="297"/>
  <c r="S75" i="297"/>
  <c r="T83" i="297" l="1"/>
  <c r="O8" i="107" s="1"/>
  <c r="J8" i="107"/>
  <c r="D15" i="293" l="1"/>
  <c r="L60" i="294"/>
  <c r="L20" i="294"/>
  <c r="L21" i="294"/>
  <c r="L16" i="294"/>
  <c r="L17" i="294"/>
  <c r="L18" i="294"/>
  <c r="L19" i="294"/>
  <c r="L15" i="294"/>
  <c r="J60" i="294"/>
  <c r="L59" i="296"/>
  <c r="L16" i="296"/>
  <c r="L17" i="296"/>
  <c r="L15" i="296"/>
  <c r="I16" i="296"/>
  <c r="I59" i="296" s="1"/>
  <c r="I17" i="296"/>
  <c r="I15" i="296"/>
  <c r="W17" i="296"/>
  <c r="U17" i="296"/>
  <c r="U15" i="296"/>
  <c r="W15" i="296" s="1"/>
  <c r="L59" i="295"/>
  <c r="L15" i="295"/>
  <c r="I15" i="295"/>
  <c r="U15" i="295"/>
  <c r="W15" i="295" s="1"/>
  <c r="W59" i="295" s="1"/>
  <c r="AB59" i="296"/>
  <c r="Z59" i="296"/>
  <c r="Y59" i="296"/>
  <c r="X59" i="296"/>
  <c r="S59" i="296"/>
  <c r="R59" i="296"/>
  <c r="Q59" i="296"/>
  <c r="P59" i="296"/>
  <c r="O59" i="296"/>
  <c r="N59" i="296"/>
  <c r="M59" i="296"/>
  <c r="J59" i="296"/>
  <c r="H59" i="296"/>
  <c r="G59" i="296"/>
  <c r="W58" i="296"/>
  <c r="F58" i="296"/>
  <c r="C58" i="296"/>
  <c r="W57" i="296"/>
  <c r="F57" i="296"/>
  <c r="C57" i="296"/>
  <c r="W56" i="296"/>
  <c r="F56" i="296"/>
  <c r="C56" i="296"/>
  <c r="W55" i="296"/>
  <c r="F55" i="296"/>
  <c r="C55" i="296"/>
  <c r="W54" i="296"/>
  <c r="F54" i="296"/>
  <c r="C54" i="296"/>
  <c r="W53" i="296"/>
  <c r="F53" i="296"/>
  <c r="C53" i="296"/>
  <c r="W52" i="296"/>
  <c r="W51" i="296"/>
  <c r="F51" i="296"/>
  <c r="C51" i="296"/>
  <c r="W50" i="296"/>
  <c r="F50" i="296"/>
  <c r="C50" i="296"/>
  <c r="W49" i="296"/>
  <c r="F49" i="296"/>
  <c r="C49" i="296"/>
  <c r="W35" i="296"/>
  <c r="F35" i="296"/>
  <c r="C35" i="296"/>
  <c r="W34" i="296"/>
  <c r="F34" i="296"/>
  <c r="C34" i="296"/>
  <c r="W33" i="296"/>
  <c r="K33" i="296"/>
  <c r="F33" i="296"/>
  <c r="C33" i="296"/>
  <c r="W32" i="296"/>
  <c r="K32" i="296"/>
  <c r="F32" i="296"/>
  <c r="C32" i="296"/>
  <c r="W31" i="296"/>
  <c r="K31" i="296"/>
  <c r="F31" i="296"/>
  <c r="C31" i="296"/>
  <c r="W30" i="296"/>
  <c r="K30" i="296"/>
  <c r="K59" i="296" s="1"/>
  <c r="D17" i="296"/>
  <c r="F17" i="296" s="1"/>
  <c r="C17" i="296"/>
  <c r="D15" i="296"/>
  <c r="F15" i="296" s="1"/>
  <c r="F59" i="296" s="1"/>
  <c r="C15" i="296"/>
  <c r="C59" i="296" s="1"/>
  <c r="AA8" i="296"/>
  <c r="Z8" i="296"/>
  <c r="Y8" i="296"/>
  <c r="X8" i="296"/>
  <c r="AB59" i="295"/>
  <c r="Z59" i="295"/>
  <c r="Y59" i="295"/>
  <c r="X59" i="295"/>
  <c r="S59" i="295"/>
  <c r="R59" i="295"/>
  <c r="Q59" i="295"/>
  <c r="P59" i="295"/>
  <c r="O59" i="295"/>
  <c r="N59" i="295"/>
  <c r="M59" i="295"/>
  <c r="J59" i="295"/>
  <c r="I59" i="295"/>
  <c r="H59" i="295"/>
  <c r="G59" i="295"/>
  <c r="W58" i="295"/>
  <c r="F58" i="295"/>
  <c r="C58" i="295"/>
  <c r="W57" i="295"/>
  <c r="F57" i="295"/>
  <c r="C57" i="295"/>
  <c r="W56" i="295"/>
  <c r="F56" i="295"/>
  <c r="C56" i="295"/>
  <c r="W55" i="295"/>
  <c r="F55" i="295"/>
  <c r="C55" i="295"/>
  <c r="W54" i="295"/>
  <c r="F54" i="295"/>
  <c r="C54" i="295"/>
  <c r="W53" i="295"/>
  <c r="F53" i="295"/>
  <c r="C53" i="295"/>
  <c r="W52" i="295"/>
  <c r="W51" i="295"/>
  <c r="F51" i="295"/>
  <c r="C51" i="295"/>
  <c r="W50" i="295"/>
  <c r="F50" i="295"/>
  <c r="C50" i="295"/>
  <c r="W49" i="295"/>
  <c r="F49" i="295"/>
  <c r="C49" i="295"/>
  <c r="W35" i="295"/>
  <c r="F35" i="295"/>
  <c r="C35" i="295"/>
  <c r="W34" i="295"/>
  <c r="F34" i="295"/>
  <c r="C34" i="295"/>
  <c r="W33" i="295"/>
  <c r="K33" i="295" s="1"/>
  <c r="F33" i="295"/>
  <c r="C33" i="295"/>
  <c r="W32" i="295"/>
  <c r="K32" i="295" s="1"/>
  <c r="F32" i="295"/>
  <c r="C32" i="295"/>
  <c r="W31" i="295"/>
  <c r="K31" i="295" s="1"/>
  <c r="F31" i="295"/>
  <c r="C31" i="295"/>
  <c r="W30" i="295"/>
  <c r="K30" i="295" s="1"/>
  <c r="K59" i="295" s="1"/>
  <c r="L16" i="295"/>
  <c r="F15" i="295"/>
  <c r="F59" i="295" s="1"/>
  <c r="D15" i="295"/>
  <c r="C15" i="295"/>
  <c r="C59" i="295" s="1"/>
  <c r="AA8" i="295"/>
  <c r="Z8" i="295"/>
  <c r="Y8" i="295"/>
  <c r="X8" i="295"/>
  <c r="W59" i="296" l="1"/>
  <c r="T59" i="295"/>
  <c r="T59" i="296" l="1"/>
  <c r="I19" i="294"/>
  <c r="J19" i="294" s="1"/>
  <c r="J15" i="294"/>
  <c r="I15" i="294"/>
  <c r="U20" i="294"/>
  <c r="W20" i="294" s="1"/>
  <c r="U16" i="294"/>
  <c r="W16" i="294" s="1"/>
  <c r="U21" i="294"/>
  <c r="W21" i="294" s="1"/>
  <c r="U19" i="294"/>
  <c r="W19" i="294" s="1"/>
  <c r="U17" i="294"/>
  <c r="W17" i="294" s="1"/>
  <c r="U15" i="294"/>
  <c r="W15" i="294" s="1"/>
  <c r="AB60" i="294"/>
  <c r="Z60" i="294"/>
  <c r="Y60" i="294"/>
  <c r="X60" i="294"/>
  <c r="S60" i="294"/>
  <c r="R60" i="294"/>
  <c r="Q60" i="294"/>
  <c r="P60" i="294"/>
  <c r="O60" i="294"/>
  <c r="N60" i="294"/>
  <c r="M60" i="294"/>
  <c r="I60" i="294"/>
  <c r="H60" i="294"/>
  <c r="G60" i="294"/>
  <c r="W59" i="294"/>
  <c r="F59" i="294"/>
  <c r="C59" i="294"/>
  <c r="W58" i="294"/>
  <c r="F58" i="294"/>
  <c r="C58" i="294"/>
  <c r="W57" i="294"/>
  <c r="F57" i="294"/>
  <c r="C57" i="294"/>
  <c r="W56" i="294"/>
  <c r="F56" i="294"/>
  <c r="C56" i="294"/>
  <c r="W55" i="294"/>
  <c r="F55" i="294"/>
  <c r="C55" i="294"/>
  <c r="W54" i="294"/>
  <c r="F54" i="294"/>
  <c r="C54" i="294"/>
  <c r="W53" i="294"/>
  <c r="W52" i="294"/>
  <c r="F52" i="294"/>
  <c r="C52" i="294"/>
  <c r="W51" i="294"/>
  <c r="F51" i="294"/>
  <c r="C51" i="294"/>
  <c r="W50" i="294"/>
  <c r="F50" i="294"/>
  <c r="C50" i="294"/>
  <c r="W36" i="294"/>
  <c r="F36" i="294"/>
  <c r="C36" i="294"/>
  <c r="W35" i="294"/>
  <c r="F35" i="294"/>
  <c r="C35" i="294"/>
  <c r="W34" i="294"/>
  <c r="K34" i="294"/>
  <c r="F34" i="294"/>
  <c r="C34" i="294"/>
  <c r="W33" i="294"/>
  <c r="K33" i="294"/>
  <c r="F33" i="294"/>
  <c r="C33" i="294"/>
  <c r="W32" i="294"/>
  <c r="K32" i="294"/>
  <c r="F32" i="294"/>
  <c r="C32" i="294"/>
  <c r="W31" i="294"/>
  <c r="K31" i="294"/>
  <c r="K60" i="294" s="1"/>
  <c r="D21" i="294"/>
  <c r="F21" i="294" s="1"/>
  <c r="C21" i="294"/>
  <c r="F20" i="294"/>
  <c r="D20" i="294"/>
  <c r="C20" i="294"/>
  <c r="D19" i="294"/>
  <c r="C19" i="294" s="1"/>
  <c r="D17" i="294"/>
  <c r="F17" i="294" s="1"/>
  <c r="C17" i="294"/>
  <c r="D16" i="294"/>
  <c r="F16" i="294" s="1"/>
  <c r="C16" i="294"/>
  <c r="D15" i="294"/>
  <c r="F15" i="294" s="1"/>
  <c r="C15" i="294"/>
  <c r="C60" i="294" s="1"/>
  <c r="AA8" i="294"/>
  <c r="Z8" i="294"/>
  <c r="Y8" i="294"/>
  <c r="X8" i="294"/>
  <c r="W60" i="294" l="1"/>
  <c r="T60" i="294" s="1"/>
  <c r="F19" i="294"/>
  <c r="F60" i="294" s="1"/>
  <c r="N18" i="250" l="1"/>
  <c r="N16" i="251"/>
  <c r="G16" i="251"/>
  <c r="N17" i="254"/>
  <c r="G17" i="254"/>
  <c r="G15" i="290"/>
  <c r="N15" i="290"/>
  <c r="N15" i="291"/>
  <c r="G15" i="291"/>
  <c r="N18" i="252"/>
  <c r="P16" i="250"/>
  <c r="S16" i="250" s="1"/>
  <c r="P16" i="249"/>
  <c r="S16" i="249" s="1"/>
  <c r="S20" i="249"/>
  <c r="S20" i="250"/>
  <c r="P53" i="275" l="1"/>
  <c r="S20" i="262" l="1"/>
  <c r="S21" i="262"/>
  <c r="S17" i="262"/>
  <c r="S18" i="262"/>
  <c r="S19" i="262"/>
  <c r="S16" i="262"/>
  <c r="S17" i="175"/>
  <c r="S18" i="175"/>
  <c r="S17" i="261"/>
  <c r="S18" i="261"/>
  <c r="S16" i="261"/>
  <c r="S17" i="264" l="1"/>
  <c r="S18" i="264"/>
  <c r="S19" i="264"/>
  <c r="S16" i="264"/>
  <c r="S21" i="278"/>
  <c r="P21" i="276"/>
  <c r="P20" i="188"/>
  <c r="P17" i="277"/>
  <c r="P18" i="277"/>
  <c r="P19" i="277"/>
  <c r="S21" i="257"/>
  <c r="S22" i="257"/>
  <c r="S23" i="257"/>
  <c r="S16" i="257"/>
  <c r="S17" i="257"/>
  <c r="S18" i="257"/>
  <c r="S19" i="257"/>
  <c r="P20" i="189"/>
  <c r="S18" i="177"/>
  <c r="S19" i="177"/>
  <c r="S17" i="177"/>
  <c r="P17" i="176"/>
  <c r="P18" i="176"/>
  <c r="AB55" i="293" l="1"/>
  <c r="Z55" i="293"/>
  <c r="Y55" i="293"/>
  <c r="X55" i="293"/>
  <c r="S55" i="293"/>
  <c r="R55" i="293"/>
  <c r="Q55" i="293"/>
  <c r="P55" i="293"/>
  <c r="O55" i="293"/>
  <c r="N55" i="293"/>
  <c r="M55" i="293"/>
  <c r="J55" i="293"/>
  <c r="I55" i="293"/>
  <c r="H55" i="293"/>
  <c r="G55" i="293"/>
  <c r="W54" i="293"/>
  <c r="F54" i="293"/>
  <c r="C54" i="293"/>
  <c r="W53" i="293"/>
  <c r="F53" i="293"/>
  <c r="C53" i="293"/>
  <c r="W52" i="293"/>
  <c r="F52" i="293"/>
  <c r="C52" i="293"/>
  <c r="W51" i="293"/>
  <c r="F51" i="293"/>
  <c r="C51" i="293"/>
  <c r="W50" i="293"/>
  <c r="F50" i="293"/>
  <c r="C50" i="293"/>
  <c r="W49" i="293"/>
  <c r="F49" i="293"/>
  <c r="C49" i="293"/>
  <c r="W48" i="293"/>
  <c r="W47" i="293"/>
  <c r="F47" i="293"/>
  <c r="C47" i="293"/>
  <c r="W46" i="293"/>
  <c r="F46" i="293"/>
  <c r="C46" i="293"/>
  <c r="W45" i="293"/>
  <c r="F45" i="293"/>
  <c r="F55" i="293" s="1"/>
  <c r="C45" i="293"/>
  <c r="W31" i="293"/>
  <c r="F31" i="293"/>
  <c r="C31" i="293"/>
  <c r="W30" i="293"/>
  <c r="F30" i="293"/>
  <c r="C30" i="293"/>
  <c r="W29" i="293"/>
  <c r="K29" i="293" s="1"/>
  <c r="F29" i="293"/>
  <c r="C29" i="293"/>
  <c r="W28" i="293"/>
  <c r="K28" i="293" s="1"/>
  <c r="F28" i="293"/>
  <c r="C28" i="293"/>
  <c r="W27" i="293"/>
  <c r="K27" i="293" s="1"/>
  <c r="F27" i="293"/>
  <c r="C27" i="293"/>
  <c r="C55" i="293" s="1"/>
  <c r="W26" i="293"/>
  <c r="K26" i="293" s="1"/>
  <c r="W15" i="293"/>
  <c r="W55" i="293" s="1"/>
  <c r="F15" i="293"/>
  <c r="AA8" i="293"/>
  <c r="Z8" i="293"/>
  <c r="Y8" i="293"/>
  <c r="X8" i="293"/>
  <c r="K55" i="293" l="1"/>
  <c r="I15" i="293"/>
  <c r="L15" i="293" s="1"/>
  <c r="L55" i="293" s="1"/>
  <c r="G4" i="107" s="1"/>
  <c r="H4" i="107" s="1"/>
  <c r="T55" i="293" l="1"/>
  <c r="O4" i="107" s="1"/>
  <c r="T15" i="293"/>
  <c r="N25" i="220" l="1"/>
  <c r="N56" i="288" l="1"/>
  <c r="S17" i="274" l="1"/>
  <c r="S18" i="274"/>
  <c r="S19" i="274"/>
  <c r="S20" i="274"/>
  <c r="S21" i="274"/>
  <c r="T49" i="263" l="1"/>
  <c r="X49" i="262"/>
  <c r="S49" i="262"/>
  <c r="P49" i="262"/>
  <c r="L49" i="262"/>
  <c r="W51" i="270"/>
  <c r="F51" i="270"/>
  <c r="C51" i="270"/>
  <c r="O17" i="185"/>
  <c r="S20" i="182"/>
  <c r="S20" i="270"/>
  <c r="S19" i="270"/>
  <c r="S18" i="270"/>
  <c r="S17" i="270"/>
  <c r="T16" i="251"/>
  <c r="T17" i="251"/>
  <c r="T18" i="251"/>
  <c r="S16" i="251"/>
  <c r="O25" i="220"/>
  <c r="O22" i="220"/>
  <c r="O16" i="220"/>
  <c r="N15" i="288" l="1"/>
  <c r="U16" i="289" l="1"/>
  <c r="U17" i="289"/>
  <c r="U18" i="289"/>
  <c r="U15" i="289"/>
  <c r="C16" i="289"/>
  <c r="C17" i="289"/>
  <c r="C18" i="289"/>
  <c r="C15" i="289"/>
  <c r="K60" i="289"/>
  <c r="L16" i="289"/>
  <c r="L17" i="289"/>
  <c r="L18" i="289"/>
  <c r="J21" i="252" l="1"/>
  <c r="J18" i="252"/>
  <c r="J15" i="252"/>
  <c r="I15" i="252"/>
  <c r="I18" i="252"/>
  <c r="I21" i="252"/>
  <c r="D16" i="292" l="1"/>
  <c r="D17" i="292"/>
  <c r="U16" i="292"/>
  <c r="U17" i="292"/>
  <c r="U15" i="292"/>
  <c r="D15" i="292"/>
  <c r="L60" i="291" l="1"/>
  <c r="L60" i="290"/>
  <c r="I16" i="290"/>
  <c r="J16" i="290" s="1"/>
  <c r="I16" i="291"/>
  <c r="J16" i="291"/>
  <c r="I15" i="291"/>
  <c r="J15" i="291" s="1"/>
  <c r="L15" i="290"/>
  <c r="L15" i="289"/>
  <c r="L60" i="289" s="1"/>
  <c r="J15" i="290"/>
  <c r="I15" i="290"/>
  <c r="AB60" i="292"/>
  <c r="Z60" i="292"/>
  <c r="Y60" i="292"/>
  <c r="X60" i="292"/>
  <c r="S60" i="292"/>
  <c r="R60" i="292"/>
  <c r="Q60" i="292"/>
  <c r="P60" i="292"/>
  <c r="O60" i="292"/>
  <c r="N60" i="292"/>
  <c r="M60" i="292"/>
  <c r="K60" i="292"/>
  <c r="J60" i="292"/>
  <c r="H60" i="292"/>
  <c r="G60" i="292"/>
  <c r="W59" i="292"/>
  <c r="F59" i="292"/>
  <c r="C59" i="292"/>
  <c r="W58" i="292"/>
  <c r="F58" i="292"/>
  <c r="C58" i="292"/>
  <c r="W57" i="292"/>
  <c r="F57" i="292"/>
  <c r="C57" i="292"/>
  <c r="W56" i="292"/>
  <c r="F56" i="292"/>
  <c r="C56" i="292"/>
  <c r="W55" i="292"/>
  <c r="F55" i="292"/>
  <c r="C55" i="292"/>
  <c r="W54" i="292"/>
  <c r="F54" i="292"/>
  <c r="C54" i="292"/>
  <c r="W53" i="292"/>
  <c r="W52" i="292"/>
  <c r="F52" i="292"/>
  <c r="C52" i="292"/>
  <c r="W51" i="292"/>
  <c r="F51" i="292"/>
  <c r="C51" i="292"/>
  <c r="W50" i="292"/>
  <c r="F50" i="292"/>
  <c r="C50" i="292"/>
  <c r="W36" i="292"/>
  <c r="F36" i="292"/>
  <c r="C36" i="292"/>
  <c r="W35" i="292"/>
  <c r="F35" i="292"/>
  <c r="C35" i="292"/>
  <c r="W34" i="292"/>
  <c r="K34" i="292"/>
  <c r="F34" i="292"/>
  <c r="C34" i="292"/>
  <c r="W33" i="292"/>
  <c r="K33" i="292"/>
  <c r="F33" i="292"/>
  <c r="C33" i="292"/>
  <c r="W32" i="292"/>
  <c r="K32" i="292"/>
  <c r="F32" i="292"/>
  <c r="C32" i="292"/>
  <c r="W31" i="292"/>
  <c r="K31" i="292"/>
  <c r="F16" i="292"/>
  <c r="F15" i="292"/>
  <c r="W15" i="292" s="1"/>
  <c r="I15" i="292" s="1"/>
  <c r="AA8" i="292"/>
  <c r="Z8" i="292"/>
  <c r="Y8" i="292"/>
  <c r="X8" i="292"/>
  <c r="AB60" i="291"/>
  <c r="Z60" i="291"/>
  <c r="Y60" i="291"/>
  <c r="X60" i="291"/>
  <c r="S60" i="291"/>
  <c r="R60" i="291"/>
  <c r="Q60" i="291"/>
  <c r="P60" i="291"/>
  <c r="O60" i="291"/>
  <c r="N60" i="291"/>
  <c r="M60" i="291"/>
  <c r="J60" i="291"/>
  <c r="I60" i="291"/>
  <c r="H60" i="291"/>
  <c r="G60" i="291"/>
  <c r="W59" i="291"/>
  <c r="F59" i="291"/>
  <c r="C59" i="291"/>
  <c r="W58" i="291"/>
  <c r="F58" i="291"/>
  <c r="C58" i="291"/>
  <c r="W57" i="291"/>
  <c r="F57" i="291"/>
  <c r="C57" i="291"/>
  <c r="W56" i="291"/>
  <c r="F56" i="291"/>
  <c r="C56" i="291"/>
  <c r="W55" i="291"/>
  <c r="F55" i="291"/>
  <c r="C55" i="291"/>
  <c r="W54" i="291"/>
  <c r="F54" i="291"/>
  <c r="C54" i="291"/>
  <c r="W53" i="291"/>
  <c r="W52" i="291"/>
  <c r="F52" i="291"/>
  <c r="C52" i="291"/>
  <c r="W51" i="291"/>
  <c r="F51" i="291"/>
  <c r="C51" i="291"/>
  <c r="W50" i="291"/>
  <c r="F50" i="291"/>
  <c r="C50" i="291"/>
  <c r="W36" i="291"/>
  <c r="F36" i="291"/>
  <c r="C36" i="291"/>
  <c r="W35" i="291"/>
  <c r="F35" i="291"/>
  <c r="C35" i="291"/>
  <c r="W34" i="291"/>
  <c r="K34" i="291" s="1"/>
  <c r="F34" i="291"/>
  <c r="C34" i="291"/>
  <c r="W33" i="291"/>
  <c r="K33" i="291" s="1"/>
  <c r="F33" i="291"/>
  <c r="C33" i="291"/>
  <c r="W32" i="291"/>
  <c r="K32" i="291" s="1"/>
  <c r="F32" i="291"/>
  <c r="C32" i="291"/>
  <c r="W31" i="291"/>
  <c r="K31" i="291" s="1"/>
  <c r="U16" i="291"/>
  <c r="W16" i="291" s="1"/>
  <c r="L16" i="291"/>
  <c r="D16" i="291"/>
  <c r="F16" i="291" s="1"/>
  <c r="C16" i="291"/>
  <c r="D15" i="291"/>
  <c r="U15" i="291" s="1"/>
  <c r="W15" i="291" s="1"/>
  <c r="W60" i="291" s="1"/>
  <c r="C15" i="291"/>
  <c r="C60" i="291" s="1"/>
  <c r="AA8" i="291"/>
  <c r="Z8" i="291"/>
  <c r="Y8" i="291"/>
  <c r="X8" i="291"/>
  <c r="AB60" i="290"/>
  <c r="Z60" i="290"/>
  <c r="Y60" i="290"/>
  <c r="X60" i="290"/>
  <c r="S60" i="290"/>
  <c r="R60" i="290"/>
  <c r="Q60" i="290"/>
  <c r="P60" i="290"/>
  <c r="O60" i="290"/>
  <c r="N60" i="290"/>
  <c r="M60" i="290"/>
  <c r="I60" i="290"/>
  <c r="H60" i="290"/>
  <c r="G60" i="290"/>
  <c r="W59" i="290"/>
  <c r="F59" i="290"/>
  <c r="C59" i="290"/>
  <c r="W58" i="290"/>
  <c r="F58" i="290"/>
  <c r="C58" i="290"/>
  <c r="W57" i="290"/>
  <c r="F57" i="290"/>
  <c r="C57" i="290"/>
  <c r="W56" i="290"/>
  <c r="F56" i="290"/>
  <c r="C56" i="290"/>
  <c r="W55" i="290"/>
  <c r="F55" i="290"/>
  <c r="C55" i="290"/>
  <c r="W54" i="290"/>
  <c r="F54" i="290"/>
  <c r="C54" i="290"/>
  <c r="W53" i="290"/>
  <c r="W52" i="290"/>
  <c r="F52" i="290"/>
  <c r="C52" i="290"/>
  <c r="W51" i="290"/>
  <c r="F51" i="290"/>
  <c r="C51" i="290"/>
  <c r="W50" i="290"/>
  <c r="F50" i="290"/>
  <c r="C50" i="290"/>
  <c r="W36" i="290"/>
  <c r="F36" i="290"/>
  <c r="C36" i="290"/>
  <c r="W35" i="290"/>
  <c r="F35" i="290"/>
  <c r="C35" i="290"/>
  <c r="W34" i="290"/>
  <c r="K34" i="290" s="1"/>
  <c r="F34" i="290"/>
  <c r="C34" i="290"/>
  <c r="W33" i="290"/>
  <c r="K33" i="290" s="1"/>
  <c r="F33" i="290"/>
  <c r="C33" i="290"/>
  <c r="W32" i="290"/>
  <c r="K32" i="290" s="1"/>
  <c r="F32" i="290"/>
  <c r="C32" i="290"/>
  <c r="W31" i="290"/>
  <c r="K31" i="290" s="1"/>
  <c r="U16" i="290"/>
  <c r="W16" i="290" s="1"/>
  <c r="D16" i="290"/>
  <c r="F16" i="290" s="1"/>
  <c r="C16" i="290"/>
  <c r="D15" i="290"/>
  <c r="U15" i="290" s="1"/>
  <c r="W15" i="290" s="1"/>
  <c r="W60" i="290" s="1"/>
  <c r="C15" i="290"/>
  <c r="C60" i="290" s="1"/>
  <c r="AA8" i="290"/>
  <c r="Z8" i="290"/>
  <c r="Y8" i="290"/>
  <c r="X8" i="290"/>
  <c r="AB60" i="289"/>
  <c r="Z60" i="289"/>
  <c r="Y60" i="289"/>
  <c r="X60" i="289"/>
  <c r="S60" i="289"/>
  <c r="R60" i="289"/>
  <c r="Q60" i="289"/>
  <c r="P60" i="289"/>
  <c r="O60" i="289"/>
  <c r="N60" i="289"/>
  <c r="M60" i="289"/>
  <c r="J60" i="289"/>
  <c r="I60" i="289"/>
  <c r="H60" i="289"/>
  <c r="G60" i="289"/>
  <c r="W59" i="289"/>
  <c r="F59" i="289"/>
  <c r="C59" i="289"/>
  <c r="W58" i="289"/>
  <c r="F58" i="289"/>
  <c r="C58" i="289"/>
  <c r="W57" i="289"/>
  <c r="F57" i="289"/>
  <c r="C57" i="289"/>
  <c r="W56" i="289"/>
  <c r="F56" i="289"/>
  <c r="C56" i="289"/>
  <c r="W55" i="289"/>
  <c r="F55" i="289"/>
  <c r="C55" i="289"/>
  <c r="W54" i="289"/>
  <c r="F54" i="289"/>
  <c r="C54" i="289"/>
  <c r="W53" i="289"/>
  <c r="W52" i="289"/>
  <c r="F52" i="289"/>
  <c r="C52" i="289"/>
  <c r="W51" i="289"/>
  <c r="F51" i="289"/>
  <c r="C51" i="289"/>
  <c r="W50" i="289"/>
  <c r="F50" i="289"/>
  <c r="C50" i="289"/>
  <c r="W36" i="289"/>
  <c r="F36" i="289"/>
  <c r="C36" i="289"/>
  <c r="W35" i="289"/>
  <c r="F35" i="289"/>
  <c r="C35" i="289"/>
  <c r="W34" i="289"/>
  <c r="K34" i="289" s="1"/>
  <c r="F34" i="289"/>
  <c r="C34" i="289"/>
  <c r="W33" i="289"/>
  <c r="K33" i="289" s="1"/>
  <c r="F33" i="289"/>
  <c r="C33" i="289"/>
  <c r="W32" i="289"/>
  <c r="K32" i="289" s="1"/>
  <c r="F32" i="289"/>
  <c r="C32" i="289"/>
  <c r="W31" i="289"/>
  <c r="K31" i="289" s="1"/>
  <c r="W19" i="289"/>
  <c r="W18" i="289"/>
  <c r="F18" i="289"/>
  <c r="W17" i="289"/>
  <c r="W16" i="289"/>
  <c r="F16" i="289"/>
  <c r="W15" i="289"/>
  <c r="F15" i="289"/>
  <c r="AA8" i="289"/>
  <c r="Z8" i="289"/>
  <c r="Y8" i="289"/>
  <c r="X8" i="289"/>
  <c r="C60" i="289" l="1"/>
  <c r="L15" i="292"/>
  <c r="L16" i="290"/>
  <c r="T60" i="290" s="1"/>
  <c r="J60" i="290"/>
  <c r="L15" i="291"/>
  <c r="W60" i="289"/>
  <c r="K60" i="290"/>
  <c r="T60" i="291"/>
  <c r="K60" i="291"/>
  <c r="C60" i="292"/>
  <c r="W16" i="292"/>
  <c r="F17" i="292"/>
  <c r="W17" i="292" s="1"/>
  <c r="I17" i="292" s="1"/>
  <c r="L17" i="292" s="1"/>
  <c r="F17" i="289"/>
  <c r="F60" i="289" s="1"/>
  <c r="F15" i="290"/>
  <c r="F60" i="290" s="1"/>
  <c r="F15" i="291"/>
  <c r="F60" i="291" s="1"/>
  <c r="T60" i="289" l="1"/>
  <c r="F60" i="292"/>
  <c r="W60" i="292"/>
  <c r="I16" i="292"/>
  <c r="J18" i="261"/>
  <c r="J22" i="250"/>
  <c r="J20" i="250"/>
  <c r="I22" i="250"/>
  <c r="I20" i="250"/>
  <c r="J22" i="249"/>
  <c r="J20" i="249"/>
  <c r="I22" i="249"/>
  <c r="I20" i="249"/>
  <c r="I17" i="287"/>
  <c r="J19" i="220"/>
  <c r="I16" i="287"/>
  <c r="I15" i="287"/>
  <c r="J20" i="262"/>
  <c r="I20" i="262"/>
  <c r="K19" i="251"/>
  <c r="AB25" i="254"/>
  <c r="I55" i="254"/>
  <c r="W25" i="254"/>
  <c r="I25" i="254"/>
  <c r="L25" i="254" s="1"/>
  <c r="F25" i="254"/>
  <c r="L16" i="292" l="1"/>
  <c r="I60" i="292"/>
  <c r="I17" i="181"/>
  <c r="I18" i="181"/>
  <c r="I19" i="181"/>
  <c r="L54" i="286"/>
  <c r="L16" i="286"/>
  <c r="L17" i="286"/>
  <c r="L18" i="286"/>
  <c r="L19" i="286"/>
  <c r="L20" i="286"/>
  <c r="L21" i="286"/>
  <c r="L22" i="286"/>
  <c r="L23" i="286"/>
  <c r="L15" i="286"/>
  <c r="I19" i="266"/>
  <c r="I17" i="266"/>
  <c r="I18" i="266"/>
  <c r="J20" i="264"/>
  <c r="I54" i="286"/>
  <c r="I16" i="286"/>
  <c r="I17" i="286"/>
  <c r="U15" i="286"/>
  <c r="I18" i="286"/>
  <c r="I19" i="286"/>
  <c r="I20" i="286"/>
  <c r="I21" i="286"/>
  <c r="L60" i="292" l="1"/>
  <c r="T60" i="292" s="1"/>
  <c r="T17" i="285"/>
  <c r="T18" i="285"/>
  <c r="T19" i="285"/>
  <c r="T20" i="285"/>
  <c r="U20" i="285"/>
  <c r="W20" i="285" s="1"/>
  <c r="U18" i="285"/>
  <c r="W18" i="285" s="1"/>
  <c r="U16" i="285"/>
  <c r="W16" i="285" s="1"/>
  <c r="T19" i="286" l="1"/>
  <c r="T20" i="286"/>
  <c r="T21" i="286"/>
  <c r="T18" i="286"/>
  <c r="T16" i="277" l="1"/>
  <c r="T17" i="277"/>
  <c r="T18" i="277"/>
  <c r="T19" i="277"/>
  <c r="T20" i="277"/>
  <c r="T25" i="186"/>
  <c r="T26" i="186"/>
  <c r="T27" i="186"/>
  <c r="T28" i="186"/>
  <c r="T29" i="186"/>
  <c r="T30" i="186"/>
  <c r="T31" i="186"/>
  <c r="T32" i="186"/>
  <c r="T33" i="186"/>
  <c r="T17" i="275"/>
  <c r="T18" i="275"/>
  <c r="T19" i="275"/>
  <c r="T20" i="275"/>
  <c r="T16" i="275"/>
  <c r="T17" i="274"/>
  <c r="T18" i="274"/>
  <c r="T19" i="274"/>
  <c r="T16" i="274"/>
  <c r="T17" i="272"/>
  <c r="T18" i="272"/>
  <c r="T19" i="272"/>
  <c r="T20" i="272"/>
  <c r="T21" i="272"/>
  <c r="T22" i="272"/>
  <c r="T16" i="272"/>
  <c r="T17" i="269"/>
  <c r="T18" i="269"/>
  <c r="T19" i="269"/>
  <c r="T20" i="269"/>
  <c r="T16" i="269"/>
  <c r="T17" i="267"/>
  <c r="T18" i="267"/>
  <c r="T19" i="267"/>
  <c r="T20" i="267"/>
  <c r="T16" i="267"/>
  <c r="T20" i="266"/>
  <c r="T16" i="266"/>
  <c r="T17" i="265"/>
  <c r="T18" i="265"/>
  <c r="T19" i="265"/>
  <c r="T16" i="265"/>
  <c r="T17" i="177"/>
  <c r="T18" i="177"/>
  <c r="T19" i="177"/>
  <c r="T20" i="177"/>
  <c r="T16" i="177"/>
  <c r="T17" i="264"/>
  <c r="T18" i="264"/>
  <c r="T19" i="264"/>
  <c r="T16" i="264"/>
  <c r="T17" i="261"/>
  <c r="T19" i="261"/>
  <c r="T20" i="261"/>
  <c r="T16" i="261"/>
  <c r="T20" i="250"/>
  <c r="T22" i="250"/>
  <c r="T18" i="249"/>
  <c r="T20" i="249"/>
  <c r="T22" i="249"/>
  <c r="T30" i="260"/>
  <c r="T17" i="248"/>
  <c r="T18" i="248"/>
  <c r="T19" i="248"/>
  <c r="T20" i="248"/>
  <c r="T21" i="248"/>
  <c r="T22" i="248"/>
  <c r="U24" i="288" l="1"/>
  <c r="W24" i="288" s="1"/>
  <c r="U23" i="288"/>
  <c r="W23" i="288" s="1"/>
  <c r="U21" i="288"/>
  <c r="W21" i="288" s="1"/>
  <c r="U20" i="288"/>
  <c r="W20" i="288" s="1"/>
  <c r="U18" i="288"/>
  <c r="W18" i="288" s="1"/>
  <c r="U17" i="288"/>
  <c r="W17" i="288" s="1"/>
  <c r="U15" i="288"/>
  <c r="W15" i="288" s="1"/>
  <c r="W17" i="287"/>
  <c r="U17" i="287"/>
  <c r="U16" i="287"/>
  <c r="W16" i="287" s="1"/>
  <c r="W15" i="287"/>
  <c r="U15" i="287"/>
  <c r="W21" i="286"/>
  <c r="U21" i="286"/>
  <c r="U18" i="286"/>
  <c r="W18" i="286" s="1"/>
  <c r="W15" i="284"/>
  <c r="I15" i="284" s="1"/>
  <c r="L15" i="287"/>
  <c r="L55" i="287" s="1"/>
  <c r="L15" i="288"/>
  <c r="L15" i="284"/>
  <c r="L55" i="284" s="1"/>
  <c r="G9" i="107" s="1"/>
  <c r="L16" i="288"/>
  <c r="L17" i="288"/>
  <c r="L18" i="288"/>
  <c r="L19" i="288"/>
  <c r="L20" i="288"/>
  <c r="L21" i="288"/>
  <c r="L22" i="288"/>
  <c r="L23" i="288"/>
  <c r="L24" i="288"/>
  <c r="L25" i="288"/>
  <c r="AB56" i="288"/>
  <c r="Z56" i="288"/>
  <c r="Y56" i="288"/>
  <c r="S56" i="288"/>
  <c r="R56" i="288"/>
  <c r="Q56" i="288"/>
  <c r="P56" i="288"/>
  <c r="O56" i="288"/>
  <c r="M56" i="288"/>
  <c r="J56" i="288"/>
  <c r="I56" i="288"/>
  <c r="H56" i="288"/>
  <c r="G56" i="288"/>
  <c r="W55" i="288"/>
  <c r="F55" i="288"/>
  <c r="C55" i="288"/>
  <c r="W54" i="288"/>
  <c r="F54" i="288"/>
  <c r="C54" i="288"/>
  <c r="W53" i="288"/>
  <c r="F53" i="288"/>
  <c r="C53" i="288"/>
  <c r="W52" i="288"/>
  <c r="F52" i="288"/>
  <c r="C52" i="288"/>
  <c r="W51" i="288"/>
  <c r="F51" i="288"/>
  <c r="C51" i="288"/>
  <c r="W50" i="288"/>
  <c r="F50" i="288"/>
  <c r="C50" i="288"/>
  <c r="W49" i="288"/>
  <c r="W48" i="288"/>
  <c r="F48" i="288"/>
  <c r="C48" i="288"/>
  <c r="W47" i="288"/>
  <c r="F47" i="288"/>
  <c r="C47" i="288"/>
  <c r="W46" i="288"/>
  <c r="F46" i="288"/>
  <c r="C46" i="288"/>
  <c r="W32" i="288"/>
  <c r="F32" i="288"/>
  <c r="C32" i="288"/>
  <c r="W31" i="288"/>
  <c r="F31" i="288"/>
  <c r="C31" i="288"/>
  <c r="W30" i="288"/>
  <c r="K30" i="288" s="1"/>
  <c r="F30" i="288"/>
  <c r="C30" i="288"/>
  <c r="W29" i="288"/>
  <c r="K29" i="288" s="1"/>
  <c r="F29" i="288"/>
  <c r="C29" i="288"/>
  <c r="W28" i="288"/>
  <c r="K28" i="288" s="1"/>
  <c r="F28" i="288"/>
  <c r="C28" i="288"/>
  <c r="W27" i="288"/>
  <c r="K27" i="288" s="1"/>
  <c r="K56" i="288" s="1"/>
  <c r="D24" i="288"/>
  <c r="F24" i="288" s="1"/>
  <c r="C24" i="288"/>
  <c r="F23" i="288"/>
  <c r="D23" i="288"/>
  <c r="C23" i="288"/>
  <c r="F21" i="288"/>
  <c r="D21" i="288"/>
  <c r="C21" i="288" s="1"/>
  <c r="D20" i="288"/>
  <c r="C20" i="288" s="1"/>
  <c r="D18" i="288"/>
  <c r="F18" i="288" s="1"/>
  <c r="C18" i="288"/>
  <c r="F17" i="288"/>
  <c r="D17" i="288"/>
  <c r="C17" i="288"/>
  <c r="F15" i="288"/>
  <c r="D15" i="288"/>
  <c r="C15" i="288"/>
  <c r="AA8" i="288"/>
  <c r="Z8" i="288"/>
  <c r="Y8" i="288"/>
  <c r="X8" i="288"/>
  <c r="AB55" i="287"/>
  <c r="Z55" i="287"/>
  <c r="Y55" i="287"/>
  <c r="X55" i="287"/>
  <c r="S55" i="287"/>
  <c r="R55" i="287"/>
  <c r="Q55" i="287"/>
  <c r="P55" i="287"/>
  <c r="O55" i="287"/>
  <c r="N55" i="287"/>
  <c r="M55" i="287"/>
  <c r="J55" i="287"/>
  <c r="I55" i="287"/>
  <c r="H55" i="287"/>
  <c r="G55" i="287"/>
  <c r="W54" i="287"/>
  <c r="F54" i="287"/>
  <c r="C54" i="287"/>
  <c r="W53" i="287"/>
  <c r="F53" i="287"/>
  <c r="C53" i="287"/>
  <c r="W52" i="287"/>
  <c r="F52" i="287"/>
  <c r="C52" i="287"/>
  <c r="W51" i="287"/>
  <c r="F51" i="287"/>
  <c r="C51" i="287"/>
  <c r="W50" i="287"/>
  <c r="F50" i="287"/>
  <c r="C50" i="287"/>
  <c r="W49" i="287"/>
  <c r="F49" i="287"/>
  <c r="C49" i="287"/>
  <c r="W48" i="287"/>
  <c r="W47" i="287"/>
  <c r="F47" i="287"/>
  <c r="C47" i="287"/>
  <c r="W46" i="287"/>
  <c r="F46" i="287"/>
  <c r="C46" i="287"/>
  <c r="W45" i="287"/>
  <c r="F45" i="287"/>
  <c r="C45" i="287"/>
  <c r="W31" i="287"/>
  <c r="F31" i="287"/>
  <c r="C31" i="287"/>
  <c r="W30" i="287"/>
  <c r="F30" i="287"/>
  <c r="C30" i="287"/>
  <c r="W29" i="287"/>
  <c r="K29" i="287"/>
  <c r="F29" i="287"/>
  <c r="C29" i="287"/>
  <c r="W28" i="287"/>
  <c r="K28" i="287"/>
  <c r="F28" i="287"/>
  <c r="C28" i="287"/>
  <c r="W27" i="287"/>
  <c r="K27" i="287"/>
  <c r="F27" i="287"/>
  <c r="C27" i="287"/>
  <c r="W26" i="287"/>
  <c r="K26" i="287"/>
  <c r="K55" i="287" s="1"/>
  <c r="F17" i="287"/>
  <c r="D17" i="287"/>
  <c r="C17" i="287"/>
  <c r="F16" i="287"/>
  <c r="D16" i="287"/>
  <c r="C16" i="287" s="1"/>
  <c r="F15" i="287"/>
  <c r="F55" i="287" s="1"/>
  <c r="D15" i="287"/>
  <c r="C15" i="287" s="1"/>
  <c r="C55" i="287" s="1"/>
  <c r="AA8" i="287"/>
  <c r="Z8" i="287"/>
  <c r="Y8" i="287"/>
  <c r="X8" i="287"/>
  <c r="AB54" i="286"/>
  <c r="Z54" i="286"/>
  <c r="Y54" i="286"/>
  <c r="X54" i="286"/>
  <c r="S54" i="286"/>
  <c r="R54" i="286"/>
  <c r="Q54" i="286"/>
  <c r="P54" i="286"/>
  <c r="O54" i="286"/>
  <c r="N54" i="286"/>
  <c r="M54" i="286"/>
  <c r="K54" i="286"/>
  <c r="J54" i="286"/>
  <c r="H54" i="286"/>
  <c r="G54" i="286"/>
  <c r="W53" i="286"/>
  <c r="F53" i="286"/>
  <c r="C53" i="286"/>
  <c r="W52" i="286"/>
  <c r="F52" i="286"/>
  <c r="C52" i="286"/>
  <c r="W51" i="286"/>
  <c r="F51" i="286"/>
  <c r="C51" i="286"/>
  <c r="W50" i="286"/>
  <c r="F50" i="286"/>
  <c r="C50" i="286"/>
  <c r="W49" i="286"/>
  <c r="F49" i="286"/>
  <c r="C49" i="286"/>
  <c r="W48" i="286"/>
  <c r="F48" i="286"/>
  <c r="C48" i="286"/>
  <c r="W47" i="286"/>
  <c r="W46" i="286"/>
  <c r="F46" i="286"/>
  <c r="C46" i="286"/>
  <c r="W45" i="286"/>
  <c r="F45" i="286"/>
  <c r="C45" i="286"/>
  <c r="W44" i="286"/>
  <c r="F44" i="286"/>
  <c r="C44" i="286"/>
  <c r="W30" i="286"/>
  <c r="F30" i="286"/>
  <c r="C30" i="286"/>
  <c r="W29" i="286"/>
  <c r="F29" i="286"/>
  <c r="C29" i="286"/>
  <c r="W28" i="286"/>
  <c r="K28" i="286"/>
  <c r="F28" i="286"/>
  <c r="C28" i="286"/>
  <c r="W27" i="286"/>
  <c r="K27" i="286"/>
  <c r="F27" i="286"/>
  <c r="C27" i="286"/>
  <c r="W26" i="286"/>
  <c r="K26" i="286"/>
  <c r="F26" i="286"/>
  <c r="C26" i="286"/>
  <c r="W25" i="286"/>
  <c r="K25" i="286"/>
  <c r="F20" i="286"/>
  <c r="D20" i="286"/>
  <c r="C20" i="286" s="1"/>
  <c r="D17" i="286"/>
  <c r="C17" i="286" s="1"/>
  <c r="W15" i="286"/>
  <c r="I15" i="286" s="1"/>
  <c r="D15" i="286"/>
  <c r="C15" i="286" s="1"/>
  <c r="AA8" i="286"/>
  <c r="Z8" i="286"/>
  <c r="Y8" i="286"/>
  <c r="X8" i="286"/>
  <c r="AB57" i="285"/>
  <c r="AA57" i="285"/>
  <c r="Z57" i="285"/>
  <c r="Y57" i="285"/>
  <c r="P57" i="285"/>
  <c r="M57" i="285"/>
  <c r="K57" i="285"/>
  <c r="J57" i="285"/>
  <c r="I57" i="285"/>
  <c r="H57" i="285"/>
  <c r="G57" i="285"/>
  <c r="W56" i="285"/>
  <c r="L56" i="285"/>
  <c r="F56" i="285"/>
  <c r="C56" i="285"/>
  <c r="L55" i="285"/>
  <c r="L54" i="285"/>
  <c r="L52" i="285"/>
  <c r="L51" i="285"/>
  <c r="L50" i="285"/>
  <c r="X49" i="285"/>
  <c r="X57" i="285" s="1"/>
  <c r="S49" i="285"/>
  <c r="S57" i="285" s="1"/>
  <c r="R49" i="285"/>
  <c r="R57" i="285" s="1"/>
  <c r="P49" i="285"/>
  <c r="L49" i="285"/>
  <c r="L48" i="285"/>
  <c r="L47" i="285"/>
  <c r="L46" i="285"/>
  <c r="L43" i="285"/>
  <c r="L42" i="285"/>
  <c r="L41" i="285"/>
  <c r="L40" i="285"/>
  <c r="L39" i="285"/>
  <c r="L38" i="285"/>
  <c r="L37" i="285"/>
  <c r="L36" i="285"/>
  <c r="L35" i="285"/>
  <c r="L34" i="285"/>
  <c r="L33" i="285"/>
  <c r="L32" i="285"/>
  <c r="L31" i="285"/>
  <c r="L30" i="285"/>
  <c r="L29" i="285"/>
  <c r="L28" i="285"/>
  <c r="L27" i="285"/>
  <c r="L26" i="285"/>
  <c r="L25" i="285"/>
  <c r="L24" i="285"/>
  <c r="L23" i="285"/>
  <c r="L22" i="285"/>
  <c r="W21" i="285"/>
  <c r="W57" i="285" s="1"/>
  <c r="L21" i="285"/>
  <c r="S20" i="285"/>
  <c r="L20" i="285"/>
  <c r="F20" i="285"/>
  <c r="C20" i="285" s="1"/>
  <c r="D20" i="285"/>
  <c r="L19" i="285"/>
  <c r="L18" i="285"/>
  <c r="D18" i="285"/>
  <c r="F18" i="285" s="1"/>
  <c r="M17" i="285"/>
  <c r="N57" i="285"/>
  <c r="I28" i="107" s="1"/>
  <c r="L16" i="285"/>
  <c r="F16" i="285"/>
  <c r="C16" i="285" s="1"/>
  <c r="D16" i="285"/>
  <c r="W15" i="285"/>
  <c r="F15" i="285"/>
  <c r="R14" i="285"/>
  <c r="P14" i="285"/>
  <c r="AA8" i="285"/>
  <c r="Z8" i="285"/>
  <c r="Y8" i="285"/>
  <c r="X8" i="285"/>
  <c r="AB55" i="284"/>
  <c r="Z55" i="284"/>
  <c r="Y55" i="284"/>
  <c r="X55" i="284"/>
  <c r="S55" i="284"/>
  <c r="R55" i="284"/>
  <c r="Q55" i="284"/>
  <c r="P55" i="284"/>
  <c r="O55" i="284"/>
  <c r="N55" i="284"/>
  <c r="M55" i="284"/>
  <c r="J55" i="284"/>
  <c r="I55" i="284"/>
  <c r="H55" i="284"/>
  <c r="G55" i="284"/>
  <c r="W54" i="284"/>
  <c r="F54" i="284"/>
  <c r="C54" i="284"/>
  <c r="W53" i="284"/>
  <c r="F53" i="284"/>
  <c r="C53" i="284"/>
  <c r="W52" i="284"/>
  <c r="F52" i="284"/>
  <c r="C52" i="284"/>
  <c r="W51" i="284"/>
  <c r="F51" i="284"/>
  <c r="C51" i="284"/>
  <c r="W50" i="284"/>
  <c r="F50" i="284"/>
  <c r="C50" i="284"/>
  <c r="W49" i="284"/>
  <c r="F49" i="284"/>
  <c r="C49" i="284"/>
  <c r="W48" i="284"/>
  <c r="W47" i="284"/>
  <c r="F47" i="284"/>
  <c r="C47" i="284"/>
  <c r="W46" i="284"/>
  <c r="F46" i="284"/>
  <c r="C46" i="284"/>
  <c r="W45" i="284"/>
  <c r="F45" i="284"/>
  <c r="C45" i="284"/>
  <c r="W31" i="284"/>
  <c r="F31" i="284"/>
  <c r="C31" i="284"/>
  <c r="W30" i="284"/>
  <c r="F30" i="284"/>
  <c r="C30" i="284"/>
  <c r="W29" i="284"/>
  <c r="K29" i="284"/>
  <c r="F29" i="284"/>
  <c r="C29" i="284"/>
  <c r="W28" i="284"/>
  <c r="K28" i="284"/>
  <c r="F28" i="284"/>
  <c r="C28" i="284"/>
  <c r="W27" i="284"/>
  <c r="K27" i="284"/>
  <c r="F27" i="284"/>
  <c r="C27" i="284"/>
  <c r="W26" i="284"/>
  <c r="K26" i="284"/>
  <c r="K55" i="284" s="1"/>
  <c r="D15" i="284"/>
  <c r="F15" i="284" s="1"/>
  <c r="F55" i="284" s="1"/>
  <c r="C15" i="284"/>
  <c r="C55" i="284" s="1"/>
  <c r="AA8" i="284"/>
  <c r="Z8" i="284"/>
  <c r="Y8" i="284"/>
  <c r="X8" i="284"/>
  <c r="J28" i="107" l="1"/>
  <c r="J86" i="107" s="1"/>
  <c r="I86" i="107"/>
  <c r="H9" i="107"/>
  <c r="T15" i="284"/>
  <c r="L57" i="285"/>
  <c r="G28" i="107" s="1"/>
  <c r="H28" i="107" s="1"/>
  <c r="T16" i="285"/>
  <c r="W56" i="288"/>
  <c r="X56" i="288"/>
  <c r="W55" i="287"/>
  <c r="W54" i="286"/>
  <c r="W55" i="284"/>
  <c r="L56" i="288"/>
  <c r="T56" i="288"/>
  <c r="C54" i="286"/>
  <c r="C56" i="288"/>
  <c r="C57" i="285"/>
  <c r="F57" i="285"/>
  <c r="C18" i="285"/>
  <c r="F56" i="288"/>
  <c r="F15" i="286"/>
  <c r="F54" i="286" s="1"/>
  <c r="F17" i="286"/>
  <c r="F20" i="288"/>
  <c r="I20" i="264"/>
  <c r="J20" i="272"/>
  <c r="K19" i="263"/>
  <c r="I16" i="250"/>
  <c r="I16" i="249"/>
  <c r="I19" i="220"/>
  <c r="I22" i="220"/>
  <c r="I25" i="220"/>
  <c r="I16" i="220"/>
  <c r="I27" i="260"/>
  <c r="I22" i="260"/>
  <c r="I17" i="260"/>
  <c r="I28" i="259"/>
  <c r="I23" i="259"/>
  <c r="I18" i="259"/>
  <c r="I19" i="254"/>
  <c r="I22" i="254"/>
  <c r="I16" i="254"/>
  <c r="T57" i="285" l="1"/>
  <c r="O28" i="107" s="1"/>
  <c r="T55" i="287"/>
  <c r="T54" i="286"/>
  <c r="T55" i="284"/>
  <c r="O9" i="107" s="1"/>
  <c r="J20" i="275"/>
  <c r="I17" i="261"/>
  <c r="I18" i="261"/>
  <c r="L19" i="261" l="1"/>
  <c r="L18" i="261"/>
  <c r="T18" i="261" s="1"/>
  <c r="L16" i="261"/>
  <c r="L20" i="275" l="1"/>
  <c r="L16" i="262"/>
  <c r="L17" i="262"/>
  <c r="L18" i="262"/>
  <c r="L16" i="275" l="1"/>
  <c r="S49" i="282" l="1"/>
  <c r="T49" i="282"/>
  <c r="O23" i="257" l="1"/>
  <c r="O20" i="257"/>
  <c r="O18" i="257"/>
  <c r="O16" i="257"/>
  <c r="X8" i="283" l="1"/>
  <c r="Y8" i="283"/>
  <c r="Z8" i="283"/>
  <c r="AA8" i="283"/>
  <c r="C16" i="283"/>
  <c r="D16" i="283"/>
  <c r="F16" i="283" s="1"/>
  <c r="I16" i="283"/>
  <c r="L16" i="283" s="1"/>
  <c r="P16" i="283"/>
  <c r="S16" i="283" s="1"/>
  <c r="AB16" i="283"/>
  <c r="C17" i="283"/>
  <c r="C54" i="283" s="1"/>
  <c r="D17" i="283"/>
  <c r="F17" i="283" s="1"/>
  <c r="AE17" i="283" s="1"/>
  <c r="I17" i="283"/>
  <c r="L17" i="283" s="1"/>
  <c r="T17" i="283" s="1"/>
  <c r="N17" i="283"/>
  <c r="P17" i="283"/>
  <c r="AB17" i="283"/>
  <c r="C18" i="283"/>
  <c r="D18" i="283"/>
  <c r="F18" i="283" s="1"/>
  <c r="AE18" i="283" s="1"/>
  <c r="I18" i="283"/>
  <c r="L18" i="283" s="1"/>
  <c r="T18" i="283" s="1"/>
  <c r="P18" i="283"/>
  <c r="S18" i="283" s="1"/>
  <c r="AB18" i="283"/>
  <c r="C19" i="283"/>
  <c r="D19" i="283"/>
  <c r="F19" i="283" s="1"/>
  <c r="AE19" i="283" s="1"/>
  <c r="I19" i="283"/>
  <c r="L19" i="283" s="1"/>
  <c r="T19" i="283" s="1"/>
  <c r="P19" i="283"/>
  <c r="S19" i="283" s="1"/>
  <c r="AB19" i="283"/>
  <c r="T20" i="283"/>
  <c r="T21" i="283"/>
  <c r="AE21" i="283"/>
  <c r="T22" i="283"/>
  <c r="T23" i="283"/>
  <c r="T24" i="283"/>
  <c r="AE24" i="283"/>
  <c r="T25" i="283"/>
  <c r="T26" i="283"/>
  <c r="T27" i="283"/>
  <c r="T28" i="283"/>
  <c r="T29" i="283"/>
  <c r="T30" i="283"/>
  <c r="T31" i="283"/>
  <c r="T32" i="283"/>
  <c r="T33" i="283"/>
  <c r="T34" i="283"/>
  <c r="T35" i="283"/>
  <c r="T36" i="283"/>
  <c r="T37" i="283"/>
  <c r="T38" i="283"/>
  <c r="T39" i="283"/>
  <c r="T40" i="283"/>
  <c r="T41" i="283"/>
  <c r="T42" i="283"/>
  <c r="T43" i="283"/>
  <c r="T44" i="283"/>
  <c r="T45" i="283"/>
  <c r="T46" i="283"/>
  <c r="T47" i="283"/>
  <c r="T48" i="283"/>
  <c r="T49" i="283"/>
  <c r="T50" i="283"/>
  <c r="S51" i="283"/>
  <c r="T51" i="283"/>
  <c r="S52" i="283"/>
  <c r="T52" i="283"/>
  <c r="T53" i="283"/>
  <c r="D54" i="283"/>
  <c r="G54" i="283"/>
  <c r="H54" i="283"/>
  <c r="J54" i="283"/>
  <c r="K54" i="283"/>
  <c r="M54" i="283"/>
  <c r="N54" i="283"/>
  <c r="P54" i="283"/>
  <c r="Q54" i="283"/>
  <c r="R54" i="283"/>
  <c r="W54" i="283"/>
  <c r="X54" i="283"/>
  <c r="Y54" i="283"/>
  <c r="Z54" i="283"/>
  <c r="AA54" i="283"/>
  <c r="AB54" i="283"/>
  <c r="X8" i="282"/>
  <c r="Y8" i="282"/>
  <c r="D17" i="282"/>
  <c r="F17" i="282" s="1"/>
  <c r="V17" i="282"/>
  <c r="D18" i="282"/>
  <c r="F18" i="282" s="1"/>
  <c r="AB18" i="282" s="1"/>
  <c r="U18" i="282"/>
  <c r="P18" i="282" s="1"/>
  <c r="S18" i="282" s="1"/>
  <c r="V18" i="282"/>
  <c r="W18" i="282"/>
  <c r="I18" i="282" s="1"/>
  <c r="L18" i="282" s="1"/>
  <c r="D19" i="282"/>
  <c r="F19" i="282" s="1"/>
  <c r="AB19" i="282" s="1"/>
  <c r="V19" i="282"/>
  <c r="D20" i="282"/>
  <c r="F20" i="282"/>
  <c r="AB20" i="282" s="1"/>
  <c r="U20" i="282"/>
  <c r="P20" i="282" s="1"/>
  <c r="S20" i="282" s="1"/>
  <c r="V20" i="282"/>
  <c r="W20" i="282" s="1"/>
  <c r="I20" i="282" s="1"/>
  <c r="L20" i="282" s="1"/>
  <c r="D21" i="282"/>
  <c r="F21" i="282" s="1"/>
  <c r="AB21" i="282" s="1"/>
  <c r="V21" i="282"/>
  <c r="T22" i="282"/>
  <c r="S23" i="282"/>
  <c r="T23" i="282"/>
  <c r="S24" i="282"/>
  <c r="T24" i="282"/>
  <c r="S25" i="282"/>
  <c r="T25" i="282"/>
  <c r="S26" i="282"/>
  <c r="T26" i="282"/>
  <c r="S27" i="282"/>
  <c r="T27" i="282"/>
  <c r="S28" i="282"/>
  <c r="T28" i="282"/>
  <c r="S29" i="282"/>
  <c r="T29" i="282"/>
  <c r="S30" i="282"/>
  <c r="T30" i="282"/>
  <c r="S31" i="282"/>
  <c r="T31" i="282"/>
  <c r="S32" i="282"/>
  <c r="T32" i="282"/>
  <c r="S33" i="282"/>
  <c r="T33" i="282"/>
  <c r="S34" i="282"/>
  <c r="T34" i="282"/>
  <c r="S35" i="282"/>
  <c r="T35" i="282"/>
  <c r="S36" i="282"/>
  <c r="T36" i="282"/>
  <c r="S37" i="282"/>
  <c r="T37" i="282"/>
  <c r="S38" i="282"/>
  <c r="T38" i="282"/>
  <c r="S39" i="282"/>
  <c r="T39" i="282"/>
  <c r="S40" i="282"/>
  <c r="T40" i="282"/>
  <c r="S41" i="282"/>
  <c r="T41" i="282"/>
  <c r="S42" i="282"/>
  <c r="T42" i="282"/>
  <c r="S43" i="282"/>
  <c r="S44" i="282"/>
  <c r="S45" i="282"/>
  <c r="S46" i="282"/>
  <c r="S47" i="282"/>
  <c r="T47" i="282"/>
  <c r="S48" i="282"/>
  <c r="T48" i="282"/>
  <c r="T50" i="282"/>
  <c r="T51" i="282"/>
  <c r="T52" i="282"/>
  <c r="T53" i="282"/>
  <c r="T54" i="282"/>
  <c r="L56" i="282"/>
  <c r="T56" i="282" s="1"/>
  <c r="C57" i="282"/>
  <c r="C66" i="282" s="1"/>
  <c r="H57" i="282"/>
  <c r="J57" i="282"/>
  <c r="K57" i="282"/>
  <c r="M57" i="282"/>
  <c r="N57" i="282"/>
  <c r="O57" i="282"/>
  <c r="Q57" i="282"/>
  <c r="R57" i="282"/>
  <c r="X57" i="282"/>
  <c r="Y57" i="282"/>
  <c r="Z57" i="282"/>
  <c r="AA57" i="282"/>
  <c r="S60" i="282"/>
  <c r="S61" i="282"/>
  <c r="S62" i="282"/>
  <c r="S63" i="282"/>
  <c r="S64" i="282"/>
  <c r="C67" i="282"/>
  <c r="X8" i="281"/>
  <c r="Y8" i="281"/>
  <c r="Z8" i="281"/>
  <c r="AA8" i="281"/>
  <c r="F14" i="281"/>
  <c r="L14" i="281"/>
  <c r="F15" i="281"/>
  <c r="L15" i="281"/>
  <c r="F16" i="281"/>
  <c r="L16" i="281"/>
  <c r="F17" i="281"/>
  <c r="L17" i="281"/>
  <c r="F18" i="281"/>
  <c r="L18" i="281"/>
  <c r="F19" i="281"/>
  <c r="L19" i="281"/>
  <c r="F20" i="281"/>
  <c r="L20" i="281"/>
  <c r="C21" i="281"/>
  <c r="D21" i="281"/>
  <c r="F21" i="281" s="1"/>
  <c r="V21" i="281"/>
  <c r="F22" i="281"/>
  <c r="L22" i="281"/>
  <c r="F23" i="281"/>
  <c r="L23" i="281"/>
  <c r="F24" i="281"/>
  <c r="L24" i="281"/>
  <c r="F25" i="281"/>
  <c r="L25" i="281"/>
  <c r="F26" i="281"/>
  <c r="L26" i="281"/>
  <c r="F27" i="281"/>
  <c r="L27" i="281"/>
  <c r="F28" i="281"/>
  <c r="L28" i="281"/>
  <c r="F29" i="281"/>
  <c r="L29" i="281"/>
  <c r="F30" i="281"/>
  <c r="L30" i="281"/>
  <c r="F31" i="281"/>
  <c r="L31" i="281"/>
  <c r="F32" i="281"/>
  <c r="L32" i="281"/>
  <c r="F33" i="281"/>
  <c r="L33" i="281"/>
  <c r="F34" i="281"/>
  <c r="L34" i="281"/>
  <c r="F35" i="281"/>
  <c r="L35" i="281"/>
  <c r="F36" i="281"/>
  <c r="L36" i="281"/>
  <c r="F37" i="281"/>
  <c r="L37" i="281"/>
  <c r="F38" i="281"/>
  <c r="L38" i="281"/>
  <c r="F39" i="281"/>
  <c r="L39" i="281"/>
  <c r="F40" i="281"/>
  <c r="L40" i="281"/>
  <c r="F41" i="281"/>
  <c r="L41" i="281"/>
  <c r="F42" i="281"/>
  <c r="L42" i="281"/>
  <c r="F43" i="281"/>
  <c r="L43" i="281"/>
  <c r="F44" i="281"/>
  <c r="L44" i="281"/>
  <c r="F45" i="281"/>
  <c r="L45" i="281"/>
  <c r="F46" i="281"/>
  <c r="L46" i="281"/>
  <c r="F47" i="281"/>
  <c r="L47" i="281"/>
  <c r="F48" i="281"/>
  <c r="L48" i="281"/>
  <c r="F49" i="281"/>
  <c r="L49" i="281"/>
  <c r="F50" i="281"/>
  <c r="L50" i="281"/>
  <c r="F51" i="281"/>
  <c r="L51" i="281"/>
  <c r="F52" i="281"/>
  <c r="L52" i="281"/>
  <c r="F53" i="281"/>
  <c r="L53" i="281"/>
  <c r="W53" i="281" s="1"/>
  <c r="P53" i="281"/>
  <c r="R53" i="281"/>
  <c r="S53" i="281" s="1"/>
  <c r="S69" i="281" s="1"/>
  <c r="F54" i="281"/>
  <c r="L54" i="281"/>
  <c r="F55" i="281"/>
  <c r="L55" i="281"/>
  <c r="F56" i="281"/>
  <c r="L56" i="281"/>
  <c r="F57" i="281"/>
  <c r="L57" i="281"/>
  <c r="F58" i="281"/>
  <c r="L58" i="281"/>
  <c r="F59" i="281"/>
  <c r="L59" i="281"/>
  <c r="F60" i="281"/>
  <c r="L60" i="281"/>
  <c r="F61" i="281"/>
  <c r="L61" i="281"/>
  <c r="F62" i="281"/>
  <c r="L62" i="281"/>
  <c r="F63" i="281"/>
  <c r="L63" i="281"/>
  <c r="F64" i="281"/>
  <c r="L64" i="281"/>
  <c r="F65" i="281"/>
  <c r="L65" i="281"/>
  <c r="F66" i="281"/>
  <c r="L66" i="281"/>
  <c r="F67" i="281"/>
  <c r="L67" i="281"/>
  <c r="F68" i="281"/>
  <c r="L68" i="281"/>
  <c r="C69" i="281"/>
  <c r="G69" i="281"/>
  <c r="H69" i="281"/>
  <c r="J69" i="281"/>
  <c r="K69" i="281"/>
  <c r="M69" i="281"/>
  <c r="N69" i="281"/>
  <c r="P69" i="281"/>
  <c r="R69" i="281"/>
  <c r="X69" i="281"/>
  <c r="Y69" i="281"/>
  <c r="Z69" i="281"/>
  <c r="AA69" i="281"/>
  <c r="AB69" i="281"/>
  <c r="X8" i="280"/>
  <c r="Y8" i="280"/>
  <c r="Z8" i="280"/>
  <c r="AA8" i="280"/>
  <c r="F15" i="280"/>
  <c r="F16" i="280"/>
  <c r="D18" i="280"/>
  <c r="C18" i="280" s="1"/>
  <c r="N18" i="280"/>
  <c r="N55" i="280" s="1"/>
  <c r="Q18" i="280"/>
  <c r="R18" i="280" s="1"/>
  <c r="U18" i="280"/>
  <c r="W18" i="280" s="1"/>
  <c r="D19" i="280"/>
  <c r="C19" i="280" s="1"/>
  <c r="F19" i="280"/>
  <c r="N19" i="280"/>
  <c r="P19" i="280"/>
  <c r="Q19" i="280"/>
  <c r="R19" i="280"/>
  <c r="S19" i="280" s="1"/>
  <c r="U19" i="280"/>
  <c r="W19" i="280" s="1"/>
  <c r="I19" i="280" s="1"/>
  <c r="L19" i="280" s="1"/>
  <c r="C20" i="280"/>
  <c r="D20" i="280"/>
  <c r="F20" i="280"/>
  <c r="N20" i="280"/>
  <c r="P20" i="280"/>
  <c r="R20" i="280"/>
  <c r="U20" i="280"/>
  <c r="W20" i="280" s="1"/>
  <c r="I20" i="280" s="1"/>
  <c r="L20" i="280" s="1"/>
  <c r="I21" i="280"/>
  <c r="S21" i="280"/>
  <c r="I22" i="280"/>
  <c r="S22" i="280"/>
  <c r="I23" i="280"/>
  <c r="S23" i="280"/>
  <c r="I24" i="280"/>
  <c r="S24" i="280"/>
  <c r="I25" i="280"/>
  <c r="S25" i="280"/>
  <c r="I26" i="280"/>
  <c r="S26" i="280"/>
  <c r="I27" i="280"/>
  <c r="F28" i="280"/>
  <c r="I28" i="280"/>
  <c r="I29" i="280"/>
  <c r="F30" i="280"/>
  <c r="F36" i="280"/>
  <c r="F38" i="280"/>
  <c r="F40" i="280"/>
  <c r="L53" i="280"/>
  <c r="S53" i="280"/>
  <c r="L54" i="280"/>
  <c r="S54" i="280"/>
  <c r="G55" i="280"/>
  <c r="H55" i="280"/>
  <c r="J55" i="280"/>
  <c r="K55" i="280"/>
  <c r="M55" i="280"/>
  <c r="O55" i="280"/>
  <c r="Q55" i="280"/>
  <c r="X55" i="280"/>
  <c r="Y55" i="280"/>
  <c r="Z55" i="280"/>
  <c r="AA55" i="280"/>
  <c r="AB55" i="280"/>
  <c r="X8" i="279"/>
  <c r="Y8" i="279"/>
  <c r="Z8" i="279"/>
  <c r="AA8" i="279"/>
  <c r="C16" i="279"/>
  <c r="D16" i="279"/>
  <c r="F16" i="279"/>
  <c r="R16" i="279"/>
  <c r="U16" i="279"/>
  <c r="P16" i="279" s="1"/>
  <c r="L17" i="279"/>
  <c r="R17" i="279"/>
  <c r="S17" i="279" s="1"/>
  <c r="L18" i="279"/>
  <c r="R18" i="279"/>
  <c r="S18" i="279" s="1"/>
  <c r="C19" i="279"/>
  <c r="D19" i="279"/>
  <c r="F19" i="279"/>
  <c r="R19" i="279"/>
  <c r="U19" i="279"/>
  <c r="P19" i="279" s="1"/>
  <c r="S19" i="279" s="1"/>
  <c r="D20" i="279"/>
  <c r="C20" i="279" s="1"/>
  <c r="R20" i="279"/>
  <c r="U20" i="279"/>
  <c r="P20" i="279" s="1"/>
  <c r="C21" i="279"/>
  <c r="F21" i="279"/>
  <c r="L21" i="279"/>
  <c r="S21" i="279"/>
  <c r="W21" i="279"/>
  <c r="C22" i="279"/>
  <c r="F22" i="279"/>
  <c r="L22" i="279"/>
  <c r="W22" i="279"/>
  <c r="C23" i="279"/>
  <c r="F23" i="279"/>
  <c r="L23" i="279"/>
  <c r="W23" i="279"/>
  <c r="C24" i="279"/>
  <c r="F24" i="279"/>
  <c r="L24" i="279"/>
  <c r="S24" i="279"/>
  <c r="W24" i="279"/>
  <c r="C25" i="279"/>
  <c r="F25" i="279"/>
  <c r="L25" i="279"/>
  <c r="S25" i="279"/>
  <c r="W25" i="279"/>
  <c r="C26" i="279"/>
  <c r="F26" i="279"/>
  <c r="L26" i="279"/>
  <c r="W26" i="279"/>
  <c r="C27" i="279"/>
  <c r="F27" i="279"/>
  <c r="W27" i="279"/>
  <c r="C28" i="279"/>
  <c r="F28" i="279"/>
  <c r="W28" i="279"/>
  <c r="C29" i="279"/>
  <c r="F29" i="279"/>
  <c r="W29" i="279"/>
  <c r="C30" i="279"/>
  <c r="F30" i="279"/>
  <c r="W30" i="279"/>
  <c r="C31" i="279"/>
  <c r="F31" i="279"/>
  <c r="W31" i="279"/>
  <c r="C32" i="279"/>
  <c r="F32" i="279"/>
  <c r="W32" i="279"/>
  <c r="C33" i="279"/>
  <c r="F33" i="279"/>
  <c r="W33" i="279"/>
  <c r="C34" i="279"/>
  <c r="F34" i="279"/>
  <c r="W34" i="279"/>
  <c r="C35" i="279"/>
  <c r="F35" i="279"/>
  <c r="W35" i="279"/>
  <c r="C36" i="279"/>
  <c r="F36" i="279"/>
  <c r="W36" i="279"/>
  <c r="C37" i="279"/>
  <c r="F37" i="279"/>
  <c r="W37" i="279"/>
  <c r="C38" i="279"/>
  <c r="F38" i="279"/>
  <c r="W38" i="279"/>
  <c r="C39" i="279"/>
  <c r="F39" i="279"/>
  <c r="W39" i="279"/>
  <c r="C40" i="279"/>
  <c r="F40" i="279"/>
  <c r="W40" i="279"/>
  <c r="C41" i="279"/>
  <c r="F41" i="279"/>
  <c r="W41" i="279"/>
  <c r="C42" i="279"/>
  <c r="F42" i="279"/>
  <c r="W42" i="279"/>
  <c r="C43" i="279"/>
  <c r="F43" i="279"/>
  <c r="W43" i="279"/>
  <c r="C44" i="279"/>
  <c r="F44" i="279"/>
  <c r="W44" i="279"/>
  <c r="C45" i="279"/>
  <c r="F45" i="279"/>
  <c r="W45" i="279"/>
  <c r="C46" i="279"/>
  <c r="F46" i="279"/>
  <c r="W46" i="279"/>
  <c r="C47" i="279"/>
  <c r="F47" i="279"/>
  <c r="W47" i="279"/>
  <c r="C48" i="279"/>
  <c r="F48" i="279"/>
  <c r="W48" i="279"/>
  <c r="G49" i="279"/>
  <c r="H49" i="279"/>
  <c r="J49" i="279"/>
  <c r="K49" i="279"/>
  <c r="M49" i="279"/>
  <c r="N49" i="279"/>
  <c r="O49" i="279"/>
  <c r="Q49" i="279"/>
  <c r="X49" i="279"/>
  <c r="Y49" i="279"/>
  <c r="Z49" i="279"/>
  <c r="AA49" i="279"/>
  <c r="AB49" i="279"/>
  <c r="P53" i="279"/>
  <c r="X8" i="278"/>
  <c r="Y8" i="278"/>
  <c r="Z8" i="278"/>
  <c r="AA8" i="278"/>
  <c r="C15" i="278"/>
  <c r="F15" i="278"/>
  <c r="W15" i="278"/>
  <c r="C16" i="278"/>
  <c r="F16" i="278"/>
  <c r="W16" i="278"/>
  <c r="C17" i="278"/>
  <c r="D17" i="278"/>
  <c r="F17" i="278"/>
  <c r="N17" i="278"/>
  <c r="S17" i="278"/>
  <c r="U17" i="278"/>
  <c r="W17" i="278"/>
  <c r="I17" i="278" s="1"/>
  <c r="L18" i="278"/>
  <c r="S18" i="278"/>
  <c r="L19" i="278"/>
  <c r="S19" i="278"/>
  <c r="D20" i="278"/>
  <c r="C20" i="278" s="1"/>
  <c r="N20" i="278"/>
  <c r="N50" i="278" s="1"/>
  <c r="S20" i="278"/>
  <c r="U20" i="278"/>
  <c r="W20" i="278" s="1"/>
  <c r="D21" i="278"/>
  <c r="C21" i="278" s="1"/>
  <c r="N21" i="278"/>
  <c r="U21" i="278"/>
  <c r="W21" i="278"/>
  <c r="I21" i="278" s="1"/>
  <c r="C22" i="278"/>
  <c r="F22" i="278"/>
  <c r="W22" i="278"/>
  <c r="C23" i="278"/>
  <c r="F23" i="278"/>
  <c r="W23" i="278"/>
  <c r="C24" i="278"/>
  <c r="F24" i="278"/>
  <c r="W24" i="278"/>
  <c r="C25" i="278"/>
  <c r="F25" i="278"/>
  <c r="S25" i="278"/>
  <c r="W25" i="278"/>
  <c r="C26" i="278"/>
  <c r="F26" i="278"/>
  <c r="S26" i="278"/>
  <c r="W26" i="278"/>
  <c r="C27" i="278"/>
  <c r="F27" i="278"/>
  <c r="W27" i="278"/>
  <c r="C28" i="278"/>
  <c r="F28" i="278"/>
  <c r="W28" i="278"/>
  <c r="C29" i="278"/>
  <c r="F29" i="278"/>
  <c r="W29" i="278"/>
  <c r="C30" i="278"/>
  <c r="F30" i="278"/>
  <c r="W30" i="278"/>
  <c r="C31" i="278"/>
  <c r="F31" i="278"/>
  <c r="W31" i="278"/>
  <c r="C32" i="278"/>
  <c r="F32" i="278"/>
  <c r="W32" i="278"/>
  <c r="C33" i="278"/>
  <c r="F33" i="278"/>
  <c r="W33" i="278"/>
  <c r="C34" i="278"/>
  <c r="F34" i="278"/>
  <c r="W34" i="278"/>
  <c r="C35" i="278"/>
  <c r="F35" i="278"/>
  <c r="W35" i="278"/>
  <c r="C36" i="278"/>
  <c r="F36" i="278"/>
  <c r="W36" i="278"/>
  <c r="C37" i="278"/>
  <c r="F37" i="278"/>
  <c r="W37" i="278"/>
  <c r="C38" i="278"/>
  <c r="F38" i="278"/>
  <c r="W38" i="278"/>
  <c r="C39" i="278"/>
  <c r="F39" i="278"/>
  <c r="W39" i="278"/>
  <c r="C40" i="278"/>
  <c r="F40" i="278"/>
  <c r="W40" i="278"/>
  <c r="C41" i="278"/>
  <c r="F41" i="278"/>
  <c r="W41" i="278"/>
  <c r="C42" i="278"/>
  <c r="F42" i="278"/>
  <c r="W42" i="278"/>
  <c r="C43" i="278"/>
  <c r="F43" i="278"/>
  <c r="W43" i="278"/>
  <c r="C44" i="278"/>
  <c r="F44" i="278"/>
  <c r="W44" i="278"/>
  <c r="C45" i="278"/>
  <c r="F45" i="278"/>
  <c r="W45" i="278"/>
  <c r="C46" i="278"/>
  <c r="F46" i="278"/>
  <c r="W46" i="278"/>
  <c r="C47" i="278"/>
  <c r="F47" i="278"/>
  <c r="W47" i="278"/>
  <c r="C48" i="278"/>
  <c r="F48" i="278"/>
  <c r="W48" i="278"/>
  <c r="C49" i="278"/>
  <c r="F49" i="278"/>
  <c r="W49" i="278"/>
  <c r="G50" i="278"/>
  <c r="H50" i="278"/>
  <c r="K50" i="278"/>
  <c r="M50" i="278"/>
  <c r="O50" i="278"/>
  <c r="P50" i="278"/>
  <c r="Q50" i="278"/>
  <c r="R50" i="278"/>
  <c r="S50" i="278"/>
  <c r="X50" i="278"/>
  <c r="Y50" i="278"/>
  <c r="Z50" i="278"/>
  <c r="AA50" i="278"/>
  <c r="AB50" i="278"/>
  <c r="X8" i="277"/>
  <c r="Y8" i="277"/>
  <c r="Z8" i="277"/>
  <c r="AA8" i="277"/>
  <c r="C15" i="277"/>
  <c r="F15" i="277"/>
  <c r="W15" i="277"/>
  <c r="D16" i="277"/>
  <c r="C16" i="277" s="1"/>
  <c r="G16" i="277"/>
  <c r="N16" i="277" s="1"/>
  <c r="N49" i="277" s="1"/>
  <c r="U16" i="277"/>
  <c r="I16" i="277" s="1"/>
  <c r="L17" i="277"/>
  <c r="R17" i="277"/>
  <c r="L18" i="277"/>
  <c r="R18" i="277"/>
  <c r="D19" i="277"/>
  <c r="C19" i="277" s="1"/>
  <c r="N19" i="277"/>
  <c r="U19" i="277"/>
  <c r="I19" i="277" s="1"/>
  <c r="L19" i="277" s="1"/>
  <c r="D20" i="277"/>
  <c r="C20" i="277" s="1"/>
  <c r="L20" i="277"/>
  <c r="U20" i="277"/>
  <c r="W20" i="277" s="1"/>
  <c r="C21" i="277"/>
  <c r="F21" i="277"/>
  <c r="W21" i="277"/>
  <c r="C22" i="277"/>
  <c r="F22" i="277"/>
  <c r="W22" i="277"/>
  <c r="C23" i="277"/>
  <c r="F23" i="277"/>
  <c r="W23" i="277"/>
  <c r="C24" i="277"/>
  <c r="F24" i="277"/>
  <c r="S24" i="277"/>
  <c r="W24" i="277"/>
  <c r="C25" i="277"/>
  <c r="F25" i="277"/>
  <c r="S25" i="277"/>
  <c r="W25" i="277"/>
  <c r="C26" i="277"/>
  <c r="F26" i="277"/>
  <c r="W26" i="277"/>
  <c r="C27" i="277"/>
  <c r="F27" i="277"/>
  <c r="W27" i="277"/>
  <c r="C28" i="277"/>
  <c r="F28" i="277"/>
  <c r="W28" i="277"/>
  <c r="C29" i="277"/>
  <c r="F29" i="277"/>
  <c r="W29" i="277"/>
  <c r="C30" i="277"/>
  <c r="F30" i="277"/>
  <c r="W30" i="277"/>
  <c r="C31" i="277"/>
  <c r="F31" i="277"/>
  <c r="W31" i="277"/>
  <c r="C32" i="277"/>
  <c r="F32" i="277"/>
  <c r="W32" i="277"/>
  <c r="C33" i="277"/>
  <c r="F33" i="277"/>
  <c r="W33" i="277"/>
  <c r="C34" i="277"/>
  <c r="F34" i="277"/>
  <c r="W34" i="277"/>
  <c r="C35" i="277"/>
  <c r="F35" i="277"/>
  <c r="W35" i="277"/>
  <c r="C36" i="277"/>
  <c r="F36" i="277"/>
  <c r="W36" i="277"/>
  <c r="C37" i="277"/>
  <c r="F37" i="277"/>
  <c r="W37" i="277"/>
  <c r="C38" i="277"/>
  <c r="F38" i="277"/>
  <c r="W38" i="277"/>
  <c r="C39" i="277"/>
  <c r="F39" i="277"/>
  <c r="W39" i="277"/>
  <c r="C40" i="277"/>
  <c r="F40" i="277"/>
  <c r="W40" i="277"/>
  <c r="C41" i="277"/>
  <c r="F41" i="277"/>
  <c r="W41" i="277"/>
  <c r="C42" i="277"/>
  <c r="F42" i="277"/>
  <c r="W42" i="277"/>
  <c r="C43" i="277"/>
  <c r="F43" i="277"/>
  <c r="W43" i="277"/>
  <c r="C44" i="277"/>
  <c r="F44" i="277"/>
  <c r="W44" i="277"/>
  <c r="C45" i="277"/>
  <c r="F45" i="277"/>
  <c r="W45" i="277"/>
  <c r="C46" i="277"/>
  <c r="F46" i="277"/>
  <c r="W46" i="277"/>
  <c r="C47" i="277"/>
  <c r="F47" i="277"/>
  <c r="W47" i="277"/>
  <c r="C48" i="277"/>
  <c r="F48" i="277"/>
  <c r="W48" i="277"/>
  <c r="G49" i="277"/>
  <c r="H49" i="277"/>
  <c r="J49" i="277"/>
  <c r="K49" i="277"/>
  <c r="M49" i="277"/>
  <c r="O49" i="277"/>
  <c r="Q49" i="277"/>
  <c r="X49" i="277"/>
  <c r="Y49" i="277"/>
  <c r="Z49" i="277"/>
  <c r="AA49" i="277"/>
  <c r="AB49" i="277"/>
  <c r="X8" i="276"/>
  <c r="Y8" i="276"/>
  <c r="Z8" i="276"/>
  <c r="AA8" i="276"/>
  <c r="C15" i="276"/>
  <c r="F15" i="276"/>
  <c r="W15" i="276"/>
  <c r="C16" i="276"/>
  <c r="F16" i="276"/>
  <c r="F50" i="276" s="1"/>
  <c r="W16" i="276"/>
  <c r="C17" i="276"/>
  <c r="D17" i="276"/>
  <c r="F17" i="276"/>
  <c r="N17" i="276"/>
  <c r="P17" i="276"/>
  <c r="P50" i="276" s="1"/>
  <c r="U17" i="276"/>
  <c r="W17" i="276"/>
  <c r="I17" i="276" s="1"/>
  <c r="AC17" i="276"/>
  <c r="L18" i="276"/>
  <c r="L19" i="276"/>
  <c r="C20" i="276"/>
  <c r="D20" i="276"/>
  <c r="F20" i="276"/>
  <c r="N20" i="276"/>
  <c r="P20" i="276"/>
  <c r="U20" i="276"/>
  <c r="W20" i="276"/>
  <c r="I20" i="276" s="1"/>
  <c r="L20" i="276" s="1"/>
  <c r="AC20" i="276"/>
  <c r="C21" i="276"/>
  <c r="D21" i="276"/>
  <c r="F21" i="276"/>
  <c r="N21" i="276"/>
  <c r="U21" i="276"/>
  <c r="W21" i="276" s="1"/>
  <c r="C22" i="276"/>
  <c r="F22" i="276"/>
  <c r="W22" i="276"/>
  <c r="C23" i="276"/>
  <c r="F23" i="276"/>
  <c r="W23" i="276"/>
  <c r="C24" i="276"/>
  <c r="F24" i="276"/>
  <c r="W24" i="276"/>
  <c r="C25" i="276"/>
  <c r="F25" i="276"/>
  <c r="S25" i="276"/>
  <c r="W25" i="276"/>
  <c r="C26" i="276"/>
  <c r="F26" i="276"/>
  <c r="S26" i="276"/>
  <c r="W26" i="276"/>
  <c r="C27" i="276"/>
  <c r="F27" i="276"/>
  <c r="W27" i="276"/>
  <c r="C28" i="276"/>
  <c r="F28" i="276"/>
  <c r="W28" i="276"/>
  <c r="C29" i="276"/>
  <c r="F29" i="276"/>
  <c r="W29" i="276"/>
  <c r="C30" i="276"/>
  <c r="W30" i="276"/>
  <c r="C31" i="276"/>
  <c r="F31" i="276"/>
  <c r="W31" i="276"/>
  <c r="C32" i="276"/>
  <c r="F32" i="276"/>
  <c r="W32" i="276"/>
  <c r="C33" i="276"/>
  <c r="F33" i="276"/>
  <c r="W33" i="276"/>
  <c r="C34" i="276"/>
  <c r="F34" i="276"/>
  <c r="W34" i="276"/>
  <c r="C35" i="276"/>
  <c r="F35" i="276"/>
  <c r="W35" i="276"/>
  <c r="C36" i="276"/>
  <c r="F36" i="276"/>
  <c r="W36" i="276"/>
  <c r="C37" i="276"/>
  <c r="F37" i="276"/>
  <c r="C38" i="276"/>
  <c r="F38" i="276"/>
  <c r="W38" i="276"/>
  <c r="C39" i="276"/>
  <c r="F39" i="276"/>
  <c r="W39" i="276"/>
  <c r="C40" i="276"/>
  <c r="F40" i="276"/>
  <c r="W40" i="276"/>
  <c r="C41" i="276"/>
  <c r="F41" i="276"/>
  <c r="W41" i="276"/>
  <c r="C42" i="276"/>
  <c r="F42" i="276"/>
  <c r="W42" i="276"/>
  <c r="C43" i="276"/>
  <c r="F43" i="276"/>
  <c r="W43" i="276"/>
  <c r="C44" i="276"/>
  <c r="F44" i="276"/>
  <c r="W44" i="276"/>
  <c r="C45" i="276"/>
  <c r="F45" i="276"/>
  <c r="W45" i="276"/>
  <c r="C46" i="276"/>
  <c r="F46" i="276"/>
  <c r="W46" i="276"/>
  <c r="C47" i="276"/>
  <c r="F47" i="276"/>
  <c r="W47" i="276"/>
  <c r="C48" i="276"/>
  <c r="F48" i="276"/>
  <c r="W48" i="276"/>
  <c r="C49" i="276"/>
  <c r="F49" i="276"/>
  <c r="W49" i="276"/>
  <c r="C50" i="276"/>
  <c r="G50" i="276"/>
  <c r="H50" i="276"/>
  <c r="J50" i="276"/>
  <c r="K50" i="276"/>
  <c r="M50" i="276"/>
  <c r="N50" i="276"/>
  <c r="O50" i="276"/>
  <c r="Q50" i="276"/>
  <c r="R50" i="276"/>
  <c r="S50" i="276"/>
  <c r="X50" i="276"/>
  <c r="Y50" i="276"/>
  <c r="Z50" i="276"/>
  <c r="AA50" i="276"/>
  <c r="AB50" i="276"/>
  <c r="P56" i="276"/>
  <c r="X8" i="275"/>
  <c r="Y8" i="275"/>
  <c r="Z8" i="275"/>
  <c r="AA8" i="275"/>
  <c r="C15" i="275"/>
  <c r="F15" i="275"/>
  <c r="W15" i="275"/>
  <c r="D16" i="275"/>
  <c r="C16" i="275" s="1"/>
  <c r="G16" i="275"/>
  <c r="N16" i="275"/>
  <c r="U16" i="275"/>
  <c r="W16" i="275" s="1"/>
  <c r="AB16" i="275"/>
  <c r="AB49" i="275" s="1"/>
  <c r="I17" i="275"/>
  <c r="L17" i="275" s="1"/>
  <c r="S17" i="275"/>
  <c r="I18" i="275"/>
  <c r="L18" i="275"/>
  <c r="S18" i="275"/>
  <c r="C19" i="275"/>
  <c r="D19" i="275"/>
  <c r="F19" i="275"/>
  <c r="G19" i="275"/>
  <c r="U19" i="275"/>
  <c r="P19" i="275" s="1"/>
  <c r="S19" i="275" s="1"/>
  <c r="AB19" i="275"/>
  <c r="D20" i="275"/>
  <c r="C20" i="275" s="1"/>
  <c r="G20" i="275"/>
  <c r="S20" i="275"/>
  <c r="U20" i="275"/>
  <c r="W20" i="275"/>
  <c r="I20" i="275" s="1"/>
  <c r="AB20" i="275"/>
  <c r="C21" i="275"/>
  <c r="F21" i="275"/>
  <c r="W21" i="275"/>
  <c r="C22" i="275"/>
  <c r="F22" i="275"/>
  <c r="W22" i="275"/>
  <c r="C23" i="275"/>
  <c r="F23" i="275"/>
  <c r="W23" i="275"/>
  <c r="C24" i="275"/>
  <c r="F24" i="275"/>
  <c r="S24" i="275"/>
  <c r="W24" i="275"/>
  <c r="C25" i="275"/>
  <c r="F25" i="275"/>
  <c r="S25" i="275"/>
  <c r="W25" i="275"/>
  <c r="C26" i="275"/>
  <c r="F26" i="275"/>
  <c r="W26" i="275"/>
  <c r="C27" i="275"/>
  <c r="F27" i="275"/>
  <c r="W27" i="275"/>
  <c r="C28" i="275"/>
  <c r="F28" i="275"/>
  <c r="W28" i="275"/>
  <c r="C29" i="275"/>
  <c r="F29" i="275"/>
  <c r="W29" i="275"/>
  <c r="C30" i="275"/>
  <c r="F30" i="275"/>
  <c r="W30" i="275"/>
  <c r="C31" i="275"/>
  <c r="F31" i="275"/>
  <c r="W31" i="275"/>
  <c r="C32" i="275"/>
  <c r="F32" i="275"/>
  <c r="W32" i="275"/>
  <c r="C33" i="275"/>
  <c r="F33" i="275"/>
  <c r="W33" i="275"/>
  <c r="C34" i="275"/>
  <c r="F34" i="275"/>
  <c r="W34" i="275"/>
  <c r="C35" i="275"/>
  <c r="F35" i="275"/>
  <c r="W35" i="275"/>
  <c r="C36" i="275"/>
  <c r="F36" i="275"/>
  <c r="W36" i="275"/>
  <c r="C37" i="275"/>
  <c r="F37" i="275"/>
  <c r="W37" i="275"/>
  <c r="C38" i="275"/>
  <c r="F38" i="275"/>
  <c r="W38" i="275"/>
  <c r="C39" i="275"/>
  <c r="F39" i="275"/>
  <c r="W39" i="275"/>
  <c r="C40" i="275"/>
  <c r="F40" i="275"/>
  <c r="W40" i="275"/>
  <c r="C41" i="275"/>
  <c r="F41" i="275"/>
  <c r="W41" i="275"/>
  <c r="C42" i="275"/>
  <c r="F42" i="275"/>
  <c r="W42" i="275"/>
  <c r="C43" i="275"/>
  <c r="F43" i="275"/>
  <c r="W43" i="275"/>
  <c r="C44" i="275"/>
  <c r="F44" i="275"/>
  <c r="W44" i="275"/>
  <c r="C45" i="275"/>
  <c r="F45" i="275"/>
  <c r="W45" i="275"/>
  <c r="C46" i="275"/>
  <c r="F46" i="275"/>
  <c r="W46" i="275"/>
  <c r="C47" i="275"/>
  <c r="F47" i="275"/>
  <c r="W47" i="275"/>
  <c r="C48" i="275"/>
  <c r="F48" i="275"/>
  <c r="W48" i="275"/>
  <c r="G49" i="275"/>
  <c r="H49" i="275"/>
  <c r="K49" i="275"/>
  <c r="M49" i="275"/>
  <c r="N49" i="275"/>
  <c r="Q49" i="275"/>
  <c r="R49" i="275"/>
  <c r="X49" i="275"/>
  <c r="Y49" i="275"/>
  <c r="Z49" i="275"/>
  <c r="AA49" i="275"/>
  <c r="X8" i="274"/>
  <c r="Y8" i="274"/>
  <c r="Z8" i="274"/>
  <c r="AA8" i="274"/>
  <c r="C15" i="274"/>
  <c r="F15" i="274"/>
  <c r="W15" i="274"/>
  <c r="D16" i="274"/>
  <c r="C16" i="274" s="1"/>
  <c r="G16" i="274"/>
  <c r="N16" i="274" s="1"/>
  <c r="U16" i="274"/>
  <c r="P16" i="274" s="1"/>
  <c r="G17" i="274"/>
  <c r="I17" i="274"/>
  <c r="L17" i="274" s="1"/>
  <c r="G18" i="274"/>
  <c r="I18" i="274"/>
  <c r="L18" i="274"/>
  <c r="D19" i="274"/>
  <c r="C19" i="274" s="1"/>
  <c r="G19" i="274"/>
  <c r="N19" i="274" s="1"/>
  <c r="U19" i="274"/>
  <c r="W19" i="274" s="1"/>
  <c r="C20" i="274"/>
  <c r="D20" i="274"/>
  <c r="F20" i="274"/>
  <c r="G20" i="274"/>
  <c r="U20" i="274"/>
  <c r="W20" i="274" s="1"/>
  <c r="I20" i="274" s="1"/>
  <c r="C21" i="274"/>
  <c r="F21" i="274"/>
  <c r="W21" i="274"/>
  <c r="C22" i="274"/>
  <c r="F22" i="274"/>
  <c r="W22" i="274"/>
  <c r="C23" i="274"/>
  <c r="F23" i="274"/>
  <c r="W23" i="274"/>
  <c r="C24" i="274"/>
  <c r="F24" i="274"/>
  <c r="S24" i="274"/>
  <c r="W24" i="274"/>
  <c r="C25" i="274"/>
  <c r="F25" i="274"/>
  <c r="S25" i="274"/>
  <c r="W25" i="274"/>
  <c r="C26" i="274"/>
  <c r="F26" i="274"/>
  <c r="W26" i="274"/>
  <c r="C27" i="274"/>
  <c r="F27" i="274"/>
  <c r="W27" i="274"/>
  <c r="C28" i="274"/>
  <c r="F28" i="274"/>
  <c r="W28" i="274"/>
  <c r="C29" i="274"/>
  <c r="F29" i="274"/>
  <c r="W29" i="274"/>
  <c r="C30" i="274"/>
  <c r="F30" i="274"/>
  <c r="W30" i="274"/>
  <c r="C31" i="274"/>
  <c r="F31" i="274"/>
  <c r="W31" i="274"/>
  <c r="C32" i="274"/>
  <c r="F32" i="274"/>
  <c r="W32" i="274"/>
  <c r="C33" i="274"/>
  <c r="F33" i="274"/>
  <c r="W33" i="274"/>
  <c r="C34" i="274"/>
  <c r="F34" i="274"/>
  <c r="W34" i="274"/>
  <c r="C35" i="274"/>
  <c r="F35" i="274"/>
  <c r="W35" i="274"/>
  <c r="C36" i="274"/>
  <c r="F36" i="274"/>
  <c r="W36" i="274"/>
  <c r="C37" i="274"/>
  <c r="F37" i="274"/>
  <c r="W37" i="274"/>
  <c r="C38" i="274"/>
  <c r="F38" i="274"/>
  <c r="W38" i="274"/>
  <c r="C39" i="274"/>
  <c r="F39" i="274"/>
  <c r="W39" i="274"/>
  <c r="C40" i="274"/>
  <c r="F40" i="274"/>
  <c r="W40" i="274"/>
  <c r="C41" i="274"/>
  <c r="F41" i="274"/>
  <c r="W41" i="274"/>
  <c r="C42" i="274"/>
  <c r="F42" i="274"/>
  <c r="W42" i="274"/>
  <c r="C43" i="274"/>
  <c r="F43" i="274"/>
  <c r="W43" i="274"/>
  <c r="C44" i="274"/>
  <c r="F44" i="274"/>
  <c r="W44" i="274"/>
  <c r="C45" i="274"/>
  <c r="F45" i="274"/>
  <c r="W45" i="274"/>
  <c r="C46" i="274"/>
  <c r="F46" i="274"/>
  <c r="W46" i="274"/>
  <c r="C47" i="274"/>
  <c r="F47" i="274"/>
  <c r="W47" i="274"/>
  <c r="C48" i="274"/>
  <c r="F48" i="274"/>
  <c r="W48" i="274"/>
  <c r="G49" i="274"/>
  <c r="H49" i="274"/>
  <c r="K49" i="274"/>
  <c r="M49" i="274"/>
  <c r="R49" i="274"/>
  <c r="X49" i="274"/>
  <c r="Y49" i="274"/>
  <c r="Z49" i="274"/>
  <c r="AA49" i="274"/>
  <c r="AB49" i="274"/>
  <c r="X8" i="273"/>
  <c r="Y8" i="273"/>
  <c r="Z8" i="273"/>
  <c r="AA8" i="273"/>
  <c r="C15" i="273"/>
  <c r="F15" i="273"/>
  <c r="W15" i="273"/>
  <c r="C16" i="273"/>
  <c r="F16" i="273"/>
  <c r="W16" i="273"/>
  <c r="C17" i="273"/>
  <c r="D17" i="273"/>
  <c r="F17" i="273"/>
  <c r="S17" i="273"/>
  <c r="U17" i="273"/>
  <c r="I17" i="273" s="1"/>
  <c r="S18" i="273"/>
  <c r="U18" i="273"/>
  <c r="I18" i="273" s="1"/>
  <c r="L18" i="273" s="1"/>
  <c r="S19" i="273"/>
  <c r="U19" i="273"/>
  <c r="I19" i="273" s="1"/>
  <c r="L19" i="273" s="1"/>
  <c r="D20" i="273"/>
  <c r="C20" i="273" s="1"/>
  <c r="S20" i="273"/>
  <c r="C21" i="273"/>
  <c r="D21" i="273"/>
  <c r="F21" i="273"/>
  <c r="S21" i="273"/>
  <c r="U21" i="273"/>
  <c r="I21" i="273" s="1"/>
  <c r="L21" i="273" s="1"/>
  <c r="C22" i="273"/>
  <c r="F22" i="273"/>
  <c r="S22" i="273"/>
  <c r="W22" i="273"/>
  <c r="C23" i="273"/>
  <c r="F23" i="273"/>
  <c r="S23" i="273"/>
  <c r="W23" i="273"/>
  <c r="C24" i="273"/>
  <c r="F24" i="273"/>
  <c r="S24" i="273"/>
  <c r="W24" i="273"/>
  <c r="C25" i="273"/>
  <c r="F25" i="273"/>
  <c r="S25" i="273"/>
  <c r="W25" i="273"/>
  <c r="C26" i="273"/>
  <c r="F26" i="273"/>
  <c r="S26" i="273"/>
  <c r="W26" i="273"/>
  <c r="C27" i="273"/>
  <c r="F27" i="273"/>
  <c r="S27" i="273"/>
  <c r="W27" i="273"/>
  <c r="C28" i="273"/>
  <c r="F28" i="273"/>
  <c r="S28" i="273"/>
  <c r="W28" i="273"/>
  <c r="C29" i="273"/>
  <c r="F29" i="273"/>
  <c r="S29" i="273"/>
  <c r="W29" i="273"/>
  <c r="C30" i="273"/>
  <c r="F30" i="273"/>
  <c r="S30" i="273"/>
  <c r="W30" i="273"/>
  <c r="C31" i="273"/>
  <c r="F31" i="273"/>
  <c r="S31" i="273"/>
  <c r="W31" i="273"/>
  <c r="C32" i="273"/>
  <c r="F32" i="273"/>
  <c r="S32" i="273"/>
  <c r="W32" i="273"/>
  <c r="C33" i="273"/>
  <c r="F33" i="273"/>
  <c r="S33" i="273"/>
  <c r="W33" i="273"/>
  <c r="C34" i="273"/>
  <c r="F34" i="273"/>
  <c r="S34" i="273"/>
  <c r="W34" i="273"/>
  <c r="C35" i="273"/>
  <c r="F35" i="273"/>
  <c r="S35" i="273"/>
  <c r="W35" i="273"/>
  <c r="C36" i="273"/>
  <c r="F36" i="273"/>
  <c r="S36" i="273"/>
  <c r="W36" i="273"/>
  <c r="C37" i="273"/>
  <c r="F37" i="273"/>
  <c r="S37" i="273"/>
  <c r="W37" i="273"/>
  <c r="C38" i="273"/>
  <c r="F38" i="273"/>
  <c r="S38" i="273"/>
  <c r="W38" i="273"/>
  <c r="C39" i="273"/>
  <c r="F39" i="273"/>
  <c r="S39" i="273"/>
  <c r="W39" i="273"/>
  <c r="C40" i="273"/>
  <c r="F40" i="273"/>
  <c r="S40" i="273"/>
  <c r="W40" i="273"/>
  <c r="C41" i="273"/>
  <c r="F41" i="273"/>
  <c r="S41" i="273"/>
  <c r="W41" i="273"/>
  <c r="C42" i="273"/>
  <c r="F42" i="273"/>
  <c r="S42" i="273"/>
  <c r="W42" i="273"/>
  <c r="C43" i="273"/>
  <c r="F43" i="273"/>
  <c r="S43" i="273"/>
  <c r="W43" i="273"/>
  <c r="C44" i="273"/>
  <c r="F44" i="273"/>
  <c r="S44" i="273"/>
  <c r="W44" i="273"/>
  <c r="C45" i="273"/>
  <c r="F45" i="273"/>
  <c r="S45" i="273"/>
  <c r="W45" i="273"/>
  <c r="C46" i="273"/>
  <c r="F46" i="273"/>
  <c r="S46" i="273"/>
  <c r="W46" i="273"/>
  <c r="C47" i="273"/>
  <c r="F47" i="273"/>
  <c r="S47" i="273"/>
  <c r="W47" i="273"/>
  <c r="C48" i="273"/>
  <c r="F48" i="273"/>
  <c r="S48" i="273"/>
  <c r="W48" i="273"/>
  <c r="C49" i="273"/>
  <c r="F49" i="273"/>
  <c r="W49" i="273"/>
  <c r="G50" i="273"/>
  <c r="H50" i="273"/>
  <c r="J50" i="273"/>
  <c r="K50" i="273"/>
  <c r="M50" i="273"/>
  <c r="N50" i="273"/>
  <c r="O50" i="273"/>
  <c r="P50" i="273"/>
  <c r="Q50" i="273"/>
  <c r="R50" i="273"/>
  <c r="S50" i="273"/>
  <c r="X50" i="273"/>
  <c r="Y50" i="273"/>
  <c r="Z50" i="273"/>
  <c r="AA50" i="273"/>
  <c r="AB50" i="273"/>
  <c r="R51" i="273"/>
  <c r="X8" i="272"/>
  <c r="Y8" i="272"/>
  <c r="Z8" i="272"/>
  <c r="AA8" i="272"/>
  <c r="C15" i="272"/>
  <c r="W15" i="272"/>
  <c r="C16" i="272"/>
  <c r="D16" i="272"/>
  <c r="F16" i="272" s="1"/>
  <c r="N16" i="272"/>
  <c r="S16" i="272"/>
  <c r="U16" i="272"/>
  <c r="W16" i="272"/>
  <c r="I16" i="272" s="1"/>
  <c r="L16" i="272" s="1"/>
  <c r="C17" i="272"/>
  <c r="F17" i="272"/>
  <c r="L17" i="272"/>
  <c r="N17" i="272"/>
  <c r="S17" i="272"/>
  <c r="W17" i="272"/>
  <c r="C18" i="272"/>
  <c r="F18" i="272"/>
  <c r="L18" i="272"/>
  <c r="N18" i="272"/>
  <c r="S18" i="272"/>
  <c r="W18" i="272"/>
  <c r="C19" i="272"/>
  <c r="D19" i="272"/>
  <c r="F19" i="272" s="1"/>
  <c r="N19" i="272"/>
  <c r="S19" i="272"/>
  <c r="U19" i="272"/>
  <c r="W19" i="272" s="1"/>
  <c r="I19" i="272" s="1"/>
  <c r="C20" i="272"/>
  <c r="C49" i="272" s="1"/>
  <c r="C51" i="272" s="1"/>
  <c r="D20" i="272"/>
  <c r="F20" i="272" s="1"/>
  <c r="G20" i="272"/>
  <c r="N20" i="272" s="1"/>
  <c r="N49" i="272" s="1"/>
  <c r="S20" i="272"/>
  <c r="U20" i="272"/>
  <c r="W20" i="272" s="1"/>
  <c r="C21" i="272"/>
  <c r="D21" i="272"/>
  <c r="F21" i="272"/>
  <c r="U21" i="272"/>
  <c r="W21" i="272"/>
  <c r="C22" i="272"/>
  <c r="D22" i="272"/>
  <c r="F22" i="272" s="1"/>
  <c r="U22" i="272"/>
  <c r="W22" i="272" s="1"/>
  <c r="C23" i="272"/>
  <c r="F23" i="272"/>
  <c r="W23" i="272"/>
  <c r="C24" i="272"/>
  <c r="F24" i="272"/>
  <c r="S24" i="272"/>
  <c r="W24" i="272"/>
  <c r="C25" i="272"/>
  <c r="F25" i="272"/>
  <c r="S25" i="272"/>
  <c r="W25" i="272"/>
  <c r="F26" i="272"/>
  <c r="W26" i="272"/>
  <c r="F27" i="272"/>
  <c r="W27" i="272"/>
  <c r="F28" i="272"/>
  <c r="W28" i="272"/>
  <c r="F29" i="272"/>
  <c r="W29" i="272"/>
  <c r="F30" i="272"/>
  <c r="W30" i="272"/>
  <c r="F31" i="272"/>
  <c r="W31" i="272"/>
  <c r="F32" i="272"/>
  <c r="W32" i="272"/>
  <c r="F33" i="272"/>
  <c r="W33" i="272"/>
  <c r="F34" i="272"/>
  <c r="W34" i="272"/>
  <c r="F35" i="272"/>
  <c r="W35" i="272"/>
  <c r="F36" i="272"/>
  <c r="W36" i="272"/>
  <c r="F37" i="272"/>
  <c r="W37" i="272"/>
  <c r="F38" i="272"/>
  <c r="W38" i="272"/>
  <c r="F39" i="272"/>
  <c r="W39" i="272"/>
  <c r="F40" i="272"/>
  <c r="W40" i="272"/>
  <c r="F41" i="272"/>
  <c r="W41" i="272"/>
  <c r="F42" i="272"/>
  <c r="W42" i="272"/>
  <c r="F43" i="272"/>
  <c r="W43" i="272"/>
  <c r="F44" i="272"/>
  <c r="W44" i="272"/>
  <c r="F45" i="272"/>
  <c r="W45" i="272"/>
  <c r="F46" i="272"/>
  <c r="W46" i="272"/>
  <c r="F47" i="272"/>
  <c r="W47" i="272"/>
  <c r="F48" i="272"/>
  <c r="W48" i="272"/>
  <c r="G49" i="272"/>
  <c r="H49" i="272"/>
  <c r="K49" i="272"/>
  <c r="M49" i="272"/>
  <c r="P49" i="272"/>
  <c r="K50" i="107" s="1"/>
  <c r="Q49" i="272"/>
  <c r="R49" i="272"/>
  <c r="S49" i="272"/>
  <c r="X49" i="272"/>
  <c r="Y49" i="272"/>
  <c r="Z49" i="272"/>
  <c r="AA49" i="272"/>
  <c r="AB49" i="272"/>
  <c r="P54" i="272"/>
  <c r="X8" i="271"/>
  <c r="Y8" i="271"/>
  <c r="Z8" i="271"/>
  <c r="AA8" i="271"/>
  <c r="C15" i="271"/>
  <c r="F15" i="271"/>
  <c r="W15" i="271"/>
  <c r="D16" i="271"/>
  <c r="C16" i="271" s="1"/>
  <c r="G16" i="271"/>
  <c r="U16" i="271"/>
  <c r="W16" i="271" s="1"/>
  <c r="L17" i="271"/>
  <c r="L18" i="271"/>
  <c r="C19" i="271"/>
  <c r="D19" i="271"/>
  <c r="F19" i="271"/>
  <c r="G19" i="271"/>
  <c r="U19" i="271"/>
  <c r="W19" i="271" s="1"/>
  <c r="I19" i="271" s="1"/>
  <c r="D20" i="271"/>
  <c r="C20" i="271" s="1"/>
  <c r="U20" i="271"/>
  <c r="W20" i="271" s="1"/>
  <c r="I20" i="271" s="1"/>
  <c r="L20" i="271" s="1"/>
  <c r="C21" i="271"/>
  <c r="F21" i="271"/>
  <c r="W21" i="271"/>
  <c r="C22" i="271"/>
  <c r="F22" i="271"/>
  <c r="W22" i="271"/>
  <c r="C23" i="271"/>
  <c r="F23" i="271"/>
  <c r="W23" i="271"/>
  <c r="C24" i="271"/>
  <c r="F24" i="271"/>
  <c r="S24" i="271"/>
  <c r="W24" i="271"/>
  <c r="C25" i="271"/>
  <c r="F25" i="271"/>
  <c r="S25" i="271"/>
  <c r="W25" i="271"/>
  <c r="C26" i="271"/>
  <c r="F26" i="271"/>
  <c r="W26" i="271"/>
  <c r="C27" i="271"/>
  <c r="F27" i="271"/>
  <c r="W27" i="271"/>
  <c r="C28" i="271"/>
  <c r="F28" i="271"/>
  <c r="W28" i="271"/>
  <c r="C29" i="271"/>
  <c r="F29" i="271"/>
  <c r="W29" i="271"/>
  <c r="C30" i="271"/>
  <c r="F30" i="271"/>
  <c r="W30" i="271"/>
  <c r="C31" i="271"/>
  <c r="F31" i="271"/>
  <c r="W31" i="271"/>
  <c r="C32" i="271"/>
  <c r="F32" i="271"/>
  <c r="W32" i="271"/>
  <c r="C33" i="271"/>
  <c r="F33" i="271"/>
  <c r="W33" i="271"/>
  <c r="C34" i="271"/>
  <c r="F34" i="271"/>
  <c r="W34" i="271"/>
  <c r="C35" i="271"/>
  <c r="F35" i="271"/>
  <c r="W35" i="271"/>
  <c r="C36" i="271"/>
  <c r="F36" i="271"/>
  <c r="W36" i="271"/>
  <c r="C37" i="271"/>
  <c r="F37" i="271"/>
  <c r="W37" i="271"/>
  <c r="C38" i="271"/>
  <c r="F38" i="271"/>
  <c r="W38" i="271"/>
  <c r="C39" i="271"/>
  <c r="F39" i="271"/>
  <c r="W39" i="271"/>
  <c r="C40" i="271"/>
  <c r="F40" i="271"/>
  <c r="W40" i="271"/>
  <c r="C41" i="271"/>
  <c r="F41" i="271"/>
  <c r="W41" i="271"/>
  <c r="C42" i="271"/>
  <c r="F42" i="271"/>
  <c r="W42" i="271"/>
  <c r="C43" i="271"/>
  <c r="F43" i="271"/>
  <c r="W43" i="271"/>
  <c r="C44" i="271"/>
  <c r="F44" i="271"/>
  <c r="W44" i="271"/>
  <c r="C45" i="271"/>
  <c r="F45" i="271"/>
  <c r="W45" i="271"/>
  <c r="C46" i="271"/>
  <c r="F46" i="271"/>
  <c r="W46" i="271"/>
  <c r="C47" i="271"/>
  <c r="F47" i="271"/>
  <c r="W47" i="271"/>
  <c r="C48" i="271"/>
  <c r="F48" i="271"/>
  <c r="W48" i="271"/>
  <c r="G49" i="271"/>
  <c r="H49" i="271"/>
  <c r="J49" i="271"/>
  <c r="K49" i="271"/>
  <c r="M49" i="271"/>
  <c r="N49" i="271"/>
  <c r="R49" i="271"/>
  <c r="X49" i="271"/>
  <c r="Y49" i="271"/>
  <c r="Z49" i="271"/>
  <c r="AA49" i="271"/>
  <c r="AB49" i="271"/>
  <c r="P57" i="271"/>
  <c r="X8" i="270"/>
  <c r="Y8" i="270"/>
  <c r="Z8" i="270"/>
  <c r="AA8" i="270"/>
  <c r="C15" i="270"/>
  <c r="F15" i="270"/>
  <c r="W15" i="270"/>
  <c r="D16" i="270"/>
  <c r="C16" i="270" s="1"/>
  <c r="G16" i="270"/>
  <c r="N16" i="270" s="1"/>
  <c r="N57" i="270" s="1"/>
  <c r="U16" i="270"/>
  <c r="L17" i="270"/>
  <c r="L18" i="270"/>
  <c r="D19" i="270"/>
  <c r="C19" i="270" s="1"/>
  <c r="G19" i="270"/>
  <c r="N19" i="270" s="1"/>
  <c r="U19" i="270"/>
  <c r="W19" i="270" s="1"/>
  <c r="I19" i="270" s="1"/>
  <c r="D20" i="270"/>
  <c r="C20" i="270" s="1"/>
  <c r="U20" i="270"/>
  <c r="W20" i="270" s="1"/>
  <c r="I20" i="270" s="1"/>
  <c r="L20" i="270" s="1"/>
  <c r="C21" i="270"/>
  <c r="F21" i="270"/>
  <c r="W21" i="270"/>
  <c r="C22" i="270"/>
  <c r="F22" i="270"/>
  <c r="W22" i="270"/>
  <c r="C23" i="270"/>
  <c r="F23" i="270"/>
  <c r="W23" i="270"/>
  <c r="C24" i="270"/>
  <c r="F24" i="270"/>
  <c r="S24" i="270"/>
  <c r="W24" i="270"/>
  <c r="C25" i="270"/>
  <c r="F25" i="270"/>
  <c r="S25" i="270"/>
  <c r="W25" i="270"/>
  <c r="C26" i="270"/>
  <c r="F26" i="270"/>
  <c r="W26" i="270"/>
  <c r="C27" i="270"/>
  <c r="F27" i="270"/>
  <c r="W27" i="270"/>
  <c r="C28" i="270"/>
  <c r="F28" i="270"/>
  <c r="W28" i="270"/>
  <c r="C29" i="270"/>
  <c r="F29" i="270"/>
  <c r="W29" i="270"/>
  <c r="C30" i="270"/>
  <c r="F30" i="270"/>
  <c r="W30" i="270"/>
  <c r="C31" i="270"/>
  <c r="F31" i="270"/>
  <c r="W31" i="270"/>
  <c r="C33" i="270"/>
  <c r="F33" i="270"/>
  <c r="W33" i="270"/>
  <c r="C34" i="270"/>
  <c r="F34" i="270"/>
  <c r="W34" i="270"/>
  <c r="C35" i="270"/>
  <c r="F35" i="270"/>
  <c r="W35" i="270"/>
  <c r="C36" i="270"/>
  <c r="F36" i="270"/>
  <c r="W36" i="270"/>
  <c r="C37" i="270"/>
  <c r="F37" i="270"/>
  <c r="W37" i="270"/>
  <c r="C38" i="270"/>
  <c r="F38" i="270"/>
  <c r="W38" i="270"/>
  <c r="C40" i="270"/>
  <c r="F40" i="270"/>
  <c r="W40" i="270"/>
  <c r="C41" i="270"/>
  <c r="F41" i="270"/>
  <c r="W41" i="270"/>
  <c r="C42" i="270"/>
  <c r="F42" i="270"/>
  <c r="W42" i="270"/>
  <c r="C43" i="270"/>
  <c r="F43" i="270"/>
  <c r="W43" i="270"/>
  <c r="C52" i="270"/>
  <c r="F52" i="270"/>
  <c r="W52" i="270"/>
  <c r="C53" i="270"/>
  <c r="F53" i="270"/>
  <c r="W53" i="270"/>
  <c r="C54" i="270"/>
  <c r="F54" i="270"/>
  <c r="W54" i="270"/>
  <c r="C55" i="270"/>
  <c r="F55" i="270"/>
  <c r="W55" i="270"/>
  <c r="C56" i="270"/>
  <c r="F56" i="270"/>
  <c r="W56" i="270"/>
  <c r="G57" i="270"/>
  <c r="H57" i="270"/>
  <c r="J57" i="270"/>
  <c r="K57" i="270"/>
  <c r="M57" i="270"/>
  <c r="Q57" i="270"/>
  <c r="R57" i="270"/>
  <c r="X57" i="270"/>
  <c r="Y57" i="270"/>
  <c r="Z57" i="270"/>
  <c r="AA57" i="270"/>
  <c r="AB57" i="270"/>
  <c r="P62" i="270"/>
  <c r="X8" i="269"/>
  <c r="Y8" i="269"/>
  <c r="Z8" i="269"/>
  <c r="AA8" i="269"/>
  <c r="C15" i="269"/>
  <c r="F15" i="269"/>
  <c r="W15" i="269"/>
  <c r="D16" i="269"/>
  <c r="C16" i="269" s="1"/>
  <c r="U16" i="269"/>
  <c r="W16" i="269" s="1"/>
  <c r="L17" i="269"/>
  <c r="L18" i="269"/>
  <c r="D19" i="269"/>
  <c r="C19" i="269" s="1"/>
  <c r="U19" i="269"/>
  <c r="W19" i="269" s="1"/>
  <c r="I19" i="269" s="1"/>
  <c r="D20" i="269"/>
  <c r="C20" i="269" s="1"/>
  <c r="U20" i="269"/>
  <c r="W20" i="269"/>
  <c r="I20" i="269" s="1"/>
  <c r="C21" i="269"/>
  <c r="F21" i="269"/>
  <c r="W21" i="269"/>
  <c r="C22" i="269"/>
  <c r="F22" i="269"/>
  <c r="W22" i="269"/>
  <c r="C23" i="269"/>
  <c r="F23" i="269"/>
  <c r="W23" i="269"/>
  <c r="C24" i="269"/>
  <c r="F24" i="269"/>
  <c r="S24" i="269"/>
  <c r="W24" i="269"/>
  <c r="C25" i="269"/>
  <c r="F25" i="269"/>
  <c r="S25" i="269"/>
  <c r="W25" i="269"/>
  <c r="C26" i="269"/>
  <c r="F26" i="269"/>
  <c r="W26" i="269"/>
  <c r="C27" i="269"/>
  <c r="F27" i="269"/>
  <c r="W27" i="269"/>
  <c r="C28" i="269"/>
  <c r="F28" i="269"/>
  <c r="W28" i="269"/>
  <c r="C29" i="269"/>
  <c r="F29" i="269"/>
  <c r="W29" i="269"/>
  <c r="C30" i="269"/>
  <c r="F30" i="269"/>
  <c r="W30" i="269"/>
  <c r="C31" i="269"/>
  <c r="F31" i="269"/>
  <c r="W31" i="269"/>
  <c r="C32" i="269"/>
  <c r="F32" i="269"/>
  <c r="W32" i="269"/>
  <c r="C33" i="269"/>
  <c r="F33" i="269"/>
  <c r="W33" i="269"/>
  <c r="C34" i="269"/>
  <c r="F34" i="269"/>
  <c r="W34" i="269"/>
  <c r="C35" i="269"/>
  <c r="F35" i="269"/>
  <c r="W35" i="269"/>
  <c r="C36" i="269"/>
  <c r="F36" i="269"/>
  <c r="W36" i="269"/>
  <c r="C37" i="269"/>
  <c r="F37" i="269"/>
  <c r="W37" i="269"/>
  <c r="C38" i="269"/>
  <c r="F38" i="269"/>
  <c r="W38" i="269"/>
  <c r="C39" i="269"/>
  <c r="F39" i="269"/>
  <c r="W39" i="269"/>
  <c r="C40" i="269"/>
  <c r="F40" i="269"/>
  <c r="W40" i="269"/>
  <c r="C41" i="269"/>
  <c r="F41" i="269"/>
  <c r="W41" i="269"/>
  <c r="C42" i="269"/>
  <c r="F42" i="269"/>
  <c r="W42" i="269"/>
  <c r="C43" i="269"/>
  <c r="F43" i="269"/>
  <c r="W43" i="269"/>
  <c r="C44" i="269"/>
  <c r="F44" i="269"/>
  <c r="W44" i="269"/>
  <c r="C45" i="269"/>
  <c r="F45" i="269"/>
  <c r="W45" i="269"/>
  <c r="C46" i="269"/>
  <c r="F46" i="269"/>
  <c r="W46" i="269"/>
  <c r="C47" i="269"/>
  <c r="F47" i="269"/>
  <c r="W47" i="269"/>
  <c r="C48" i="269"/>
  <c r="F48" i="269"/>
  <c r="W48" i="269"/>
  <c r="G49" i="269"/>
  <c r="H49" i="269"/>
  <c r="K49" i="269"/>
  <c r="M49" i="269"/>
  <c r="N49" i="269"/>
  <c r="Q49" i="269"/>
  <c r="R49" i="269"/>
  <c r="X49" i="269"/>
  <c r="Y49" i="269"/>
  <c r="Z49" i="269"/>
  <c r="AA49" i="269"/>
  <c r="AB49" i="269"/>
  <c r="Q54" i="269"/>
  <c r="X8" i="268"/>
  <c r="Y8" i="268"/>
  <c r="Z8" i="268"/>
  <c r="AA8" i="268"/>
  <c r="C15" i="268"/>
  <c r="F15" i="268"/>
  <c r="W15" i="268"/>
  <c r="D16" i="268"/>
  <c r="C16" i="268" s="1"/>
  <c r="N16" i="268"/>
  <c r="U16" i="268"/>
  <c r="P16" i="268" s="1"/>
  <c r="W16" i="268"/>
  <c r="I16" i="268" s="1"/>
  <c r="L16" i="268" s="1"/>
  <c r="L17" i="268"/>
  <c r="N17" i="268"/>
  <c r="L18" i="268"/>
  <c r="N18" i="268"/>
  <c r="D19" i="268"/>
  <c r="C19" i="268" s="1"/>
  <c r="N19" i="268"/>
  <c r="U19" i="268"/>
  <c r="W19" i="268" s="1"/>
  <c r="C20" i="268"/>
  <c r="D20" i="268"/>
  <c r="F20" i="268"/>
  <c r="U20" i="268"/>
  <c r="W20" i="268"/>
  <c r="I20" i="268" s="1"/>
  <c r="L20" i="268" s="1"/>
  <c r="C21" i="268"/>
  <c r="F21" i="268"/>
  <c r="W21" i="268"/>
  <c r="C22" i="268"/>
  <c r="F22" i="268"/>
  <c r="W22" i="268"/>
  <c r="C23" i="268"/>
  <c r="F23" i="268"/>
  <c r="W23" i="268"/>
  <c r="C24" i="268"/>
  <c r="F24" i="268"/>
  <c r="S24" i="268"/>
  <c r="W24" i="268"/>
  <c r="C25" i="268"/>
  <c r="F25" i="268"/>
  <c r="S25" i="268"/>
  <c r="W25" i="268"/>
  <c r="C26" i="268"/>
  <c r="F26" i="268"/>
  <c r="W26" i="268"/>
  <c r="C27" i="268"/>
  <c r="F27" i="268"/>
  <c r="W27" i="268"/>
  <c r="C28" i="268"/>
  <c r="F28" i="268"/>
  <c r="W28" i="268"/>
  <c r="C29" i="268"/>
  <c r="F29" i="268"/>
  <c r="W29" i="268"/>
  <c r="C30" i="268"/>
  <c r="F30" i="268"/>
  <c r="W30" i="268"/>
  <c r="C31" i="268"/>
  <c r="F31" i="268"/>
  <c r="W31" i="268"/>
  <c r="C32" i="268"/>
  <c r="F32" i="268"/>
  <c r="W32" i="268"/>
  <c r="C33" i="268"/>
  <c r="F33" i="268"/>
  <c r="W33" i="268"/>
  <c r="C34" i="268"/>
  <c r="F34" i="268"/>
  <c r="W34" i="268"/>
  <c r="C35" i="268"/>
  <c r="F35" i="268"/>
  <c r="W35" i="268"/>
  <c r="C36" i="268"/>
  <c r="F36" i="268"/>
  <c r="W36" i="268"/>
  <c r="C37" i="268"/>
  <c r="F37" i="268"/>
  <c r="W37" i="268"/>
  <c r="C38" i="268"/>
  <c r="F38" i="268"/>
  <c r="W38" i="268"/>
  <c r="C39" i="268"/>
  <c r="F39" i="268"/>
  <c r="W39" i="268"/>
  <c r="C40" i="268"/>
  <c r="F40" i="268"/>
  <c r="W40" i="268"/>
  <c r="C41" i="268"/>
  <c r="F41" i="268"/>
  <c r="W41" i="268"/>
  <c r="C42" i="268"/>
  <c r="F42" i="268"/>
  <c r="W42" i="268"/>
  <c r="C43" i="268"/>
  <c r="F43" i="268"/>
  <c r="W43" i="268"/>
  <c r="C44" i="268"/>
  <c r="F44" i="268"/>
  <c r="W44" i="268"/>
  <c r="C45" i="268"/>
  <c r="F45" i="268"/>
  <c r="W45" i="268"/>
  <c r="C46" i="268"/>
  <c r="F46" i="268"/>
  <c r="W46" i="268"/>
  <c r="C47" i="268"/>
  <c r="F47" i="268"/>
  <c r="W47" i="268"/>
  <c r="C48" i="268"/>
  <c r="F48" i="268"/>
  <c r="W48" i="268"/>
  <c r="G49" i="268"/>
  <c r="H49" i="268"/>
  <c r="J49" i="268"/>
  <c r="K49" i="268"/>
  <c r="M49" i="268"/>
  <c r="N49" i="268"/>
  <c r="R49" i="268"/>
  <c r="X49" i="268"/>
  <c r="Y49" i="268"/>
  <c r="Z49" i="268"/>
  <c r="AA49" i="268"/>
  <c r="AB49" i="268"/>
  <c r="P53" i="268"/>
  <c r="Q54" i="268"/>
  <c r="X8" i="267"/>
  <c r="Y8" i="267"/>
  <c r="Z8" i="267"/>
  <c r="AA8" i="267"/>
  <c r="C15" i="267"/>
  <c r="F15" i="267"/>
  <c r="W15" i="267"/>
  <c r="D16" i="267"/>
  <c r="C16" i="267" s="1"/>
  <c r="N16" i="267"/>
  <c r="U16" i="267"/>
  <c r="W16" i="267"/>
  <c r="I16" i="267" s="1"/>
  <c r="L17" i="267"/>
  <c r="L18" i="267"/>
  <c r="D19" i="267"/>
  <c r="C19" i="267" s="1"/>
  <c r="F19" i="267"/>
  <c r="L19" i="267"/>
  <c r="N19" i="267"/>
  <c r="U19" i="267"/>
  <c r="W19" i="267"/>
  <c r="D20" i="267"/>
  <c r="C20" i="267" s="1"/>
  <c r="L20" i="267"/>
  <c r="U20" i="267"/>
  <c r="W20" i="267"/>
  <c r="C21" i="267"/>
  <c r="F21" i="267"/>
  <c r="W21" i="267"/>
  <c r="C22" i="267"/>
  <c r="F22" i="267"/>
  <c r="W22" i="267"/>
  <c r="C23" i="267"/>
  <c r="F23" i="267"/>
  <c r="W23" i="267"/>
  <c r="C24" i="267"/>
  <c r="F24" i="267"/>
  <c r="S24" i="267"/>
  <c r="W24" i="267"/>
  <c r="C25" i="267"/>
  <c r="F25" i="267"/>
  <c r="S25" i="267"/>
  <c r="W25" i="267"/>
  <c r="C26" i="267"/>
  <c r="F26" i="267"/>
  <c r="W26" i="267"/>
  <c r="C27" i="267"/>
  <c r="F27" i="267"/>
  <c r="W27" i="267"/>
  <c r="C28" i="267"/>
  <c r="F28" i="267"/>
  <c r="W28" i="267"/>
  <c r="C29" i="267"/>
  <c r="F29" i="267"/>
  <c r="W29" i="267"/>
  <c r="C30" i="267"/>
  <c r="F30" i="267"/>
  <c r="W30" i="267"/>
  <c r="C31" i="267"/>
  <c r="F31" i="267"/>
  <c r="W31" i="267"/>
  <c r="C32" i="267"/>
  <c r="F32" i="267"/>
  <c r="W32" i="267"/>
  <c r="C33" i="267"/>
  <c r="F33" i="267"/>
  <c r="W33" i="267"/>
  <c r="C34" i="267"/>
  <c r="F34" i="267"/>
  <c r="W34" i="267"/>
  <c r="C35" i="267"/>
  <c r="F35" i="267"/>
  <c r="W35" i="267"/>
  <c r="C36" i="267"/>
  <c r="F36" i="267"/>
  <c r="W36" i="267"/>
  <c r="C37" i="267"/>
  <c r="F37" i="267"/>
  <c r="W37" i="267"/>
  <c r="C38" i="267"/>
  <c r="F38" i="267"/>
  <c r="W38" i="267"/>
  <c r="C39" i="267"/>
  <c r="F39" i="267"/>
  <c r="W39" i="267"/>
  <c r="C40" i="267"/>
  <c r="F40" i="267"/>
  <c r="W40" i="267"/>
  <c r="C41" i="267"/>
  <c r="F41" i="267"/>
  <c r="W41" i="267"/>
  <c r="C42" i="267"/>
  <c r="F42" i="267"/>
  <c r="W42" i="267"/>
  <c r="C43" i="267"/>
  <c r="F43" i="267"/>
  <c r="W43" i="267"/>
  <c r="C44" i="267"/>
  <c r="F44" i="267"/>
  <c r="W44" i="267"/>
  <c r="C45" i="267"/>
  <c r="F45" i="267"/>
  <c r="W45" i="267"/>
  <c r="C46" i="267"/>
  <c r="F46" i="267"/>
  <c r="W46" i="267"/>
  <c r="C47" i="267"/>
  <c r="F47" i="267"/>
  <c r="W47" i="267"/>
  <c r="C48" i="267"/>
  <c r="F48" i="267"/>
  <c r="W48" i="267"/>
  <c r="G49" i="267"/>
  <c r="H49" i="267"/>
  <c r="I49" i="267"/>
  <c r="K49" i="267"/>
  <c r="M49" i="267"/>
  <c r="N49" i="267"/>
  <c r="R49" i="267"/>
  <c r="S49" i="267"/>
  <c r="X49" i="267"/>
  <c r="Y49" i="267"/>
  <c r="Z49" i="267"/>
  <c r="AA49" i="267"/>
  <c r="AB49" i="267"/>
  <c r="X8" i="266"/>
  <c r="Y8" i="266"/>
  <c r="Z8" i="266"/>
  <c r="AA8" i="266"/>
  <c r="C15" i="266"/>
  <c r="F15" i="266"/>
  <c r="W15" i="266"/>
  <c r="D16" i="266"/>
  <c r="C16" i="266" s="1"/>
  <c r="N16" i="266"/>
  <c r="U16" i="266"/>
  <c r="W16" i="266"/>
  <c r="I16" i="266" s="1"/>
  <c r="L16" i="266" s="1"/>
  <c r="L17" i="266"/>
  <c r="T17" i="266" s="1"/>
  <c r="L18" i="266"/>
  <c r="T18" i="266" s="1"/>
  <c r="D19" i="266"/>
  <c r="C19" i="266" s="1"/>
  <c r="U19" i="266"/>
  <c r="W19" i="266"/>
  <c r="D20" i="266"/>
  <c r="C20" i="266" s="1"/>
  <c r="L20" i="266"/>
  <c r="U20" i="266"/>
  <c r="W20" i="266"/>
  <c r="C21" i="266"/>
  <c r="F21" i="266"/>
  <c r="W21" i="266"/>
  <c r="C22" i="266"/>
  <c r="F22" i="266"/>
  <c r="W22" i="266"/>
  <c r="C23" i="266"/>
  <c r="F23" i="266"/>
  <c r="W23" i="266"/>
  <c r="C24" i="266"/>
  <c r="F24" i="266"/>
  <c r="S24" i="266"/>
  <c r="S49" i="266" s="1"/>
  <c r="W24" i="266"/>
  <c r="C25" i="266"/>
  <c r="F25" i="266"/>
  <c r="S25" i="266"/>
  <c r="W25" i="266"/>
  <c r="C26" i="266"/>
  <c r="F26" i="266"/>
  <c r="W26" i="266"/>
  <c r="C27" i="266"/>
  <c r="F27" i="266"/>
  <c r="W27" i="266"/>
  <c r="C28" i="266"/>
  <c r="F28" i="266"/>
  <c r="W28" i="266"/>
  <c r="C29" i="266"/>
  <c r="F29" i="266"/>
  <c r="W29" i="266"/>
  <c r="C30" i="266"/>
  <c r="F30" i="266"/>
  <c r="W30" i="266"/>
  <c r="C31" i="266"/>
  <c r="F31" i="266"/>
  <c r="W31" i="266"/>
  <c r="C32" i="266"/>
  <c r="F32" i="266"/>
  <c r="W32" i="266"/>
  <c r="C33" i="266"/>
  <c r="F33" i="266"/>
  <c r="W33" i="266"/>
  <c r="C34" i="266"/>
  <c r="F34" i="266"/>
  <c r="W34" i="266"/>
  <c r="C35" i="266"/>
  <c r="F35" i="266"/>
  <c r="W35" i="266"/>
  <c r="C36" i="266"/>
  <c r="F36" i="266"/>
  <c r="W36" i="266"/>
  <c r="C37" i="266"/>
  <c r="F37" i="266"/>
  <c r="W37" i="266"/>
  <c r="C38" i="266"/>
  <c r="F38" i="266"/>
  <c r="W38" i="266"/>
  <c r="C39" i="266"/>
  <c r="F39" i="266"/>
  <c r="W39" i="266"/>
  <c r="C40" i="266"/>
  <c r="F40" i="266"/>
  <c r="W40" i="266"/>
  <c r="C41" i="266"/>
  <c r="F41" i="266"/>
  <c r="W41" i="266"/>
  <c r="C42" i="266"/>
  <c r="F42" i="266"/>
  <c r="W42" i="266"/>
  <c r="C43" i="266"/>
  <c r="F43" i="266"/>
  <c r="W43" i="266"/>
  <c r="C44" i="266"/>
  <c r="F44" i="266"/>
  <c r="W44" i="266"/>
  <c r="C45" i="266"/>
  <c r="F45" i="266"/>
  <c r="W45" i="266"/>
  <c r="C46" i="266"/>
  <c r="F46" i="266"/>
  <c r="W46" i="266"/>
  <c r="C47" i="266"/>
  <c r="F47" i="266"/>
  <c r="W47" i="266"/>
  <c r="C48" i="266"/>
  <c r="F48" i="266"/>
  <c r="W48" i="266"/>
  <c r="G49" i="266"/>
  <c r="H49" i="266"/>
  <c r="I49" i="266"/>
  <c r="J49" i="266"/>
  <c r="M49" i="266"/>
  <c r="N49" i="266"/>
  <c r="P49" i="266"/>
  <c r="R49" i="266"/>
  <c r="W49" i="266"/>
  <c r="X49" i="266"/>
  <c r="Y49" i="266"/>
  <c r="Z49" i="266"/>
  <c r="AA49" i="266"/>
  <c r="AB49" i="266"/>
  <c r="X8" i="265"/>
  <c r="Y8" i="265"/>
  <c r="Z8" i="265"/>
  <c r="AA8" i="265"/>
  <c r="C15" i="265"/>
  <c r="F15" i="265"/>
  <c r="W15" i="265"/>
  <c r="D16" i="265"/>
  <c r="C16" i="265" s="1"/>
  <c r="N16" i="265"/>
  <c r="N49" i="265" s="1"/>
  <c r="U16" i="265"/>
  <c r="P16" i="265" s="1"/>
  <c r="L17" i="265"/>
  <c r="P17" i="265"/>
  <c r="L18" i="265"/>
  <c r="P18" i="265"/>
  <c r="C19" i="265"/>
  <c r="D19" i="265"/>
  <c r="F19" i="265"/>
  <c r="N19" i="265"/>
  <c r="R19" i="265"/>
  <c r="R49" i="265" s="1"/>
  <c r="U19" i="265"/>
  <c r="I19" i="265" s="1"/>
  <c r="C20" i="265"/>
  <c r="D20" i="265"/>
  <c r="F20" i="265"/>
  <c r="U20" i="265"/>
  <c r="I20" i="265" s="1"/>
  <c r="C21" i="265"/>
  <c r="F21" i="265"/>
  <c r="W21" i="265"/>
  <c r="C22" i="265"/>
  <c r="F22" i="265"/>
  <c r="W22" i="265"/>
  <c r="C23" i="265"/>
  <c r="F23" i="265"/>
  <c r="W23" i="265"/>
  <c r="C24" i="265"/>
  <c r="F24" i="265"/>
  <c r="S24" i="265"/>
  <c r="W24" i="265"/>
  <c r="C25" i="265"/>
  <c r="F25" i="265"/>
  <c r="S25" i="265"/>
  <c r="W25" i="265"/>
  <c r="C26" i="265"/>
  <c r="F26" i="265"/>
  <c r="W26" i="265"/>
  <c r="C27" i="265"/>
  <c r="F27" i="265"/>
  <c r="W27" i="265"/>
  <c r="C28" i="265"/>
  <c r="F28" i="265"/>
  <c r="W28" i="265"/>
  <c r="C29" i="265"/>
  <c r="F29" i="265"/>
  <c r="W29" i="265"/>
  <c r="C30" i="265"/>
  <c r="F30" i="265"/>
  <c r="W30" i="265"/>
  <c r="C31" i="265"/>
  <c r="F31" i="265"/>
  <c r="W31" i="265"/>
  <c r="C32" i="265"/>
  <c r="F32" i="265"/>
  <c r="W32" i="265"/>
  <c r="C33" i="265"/>
  <c r="F33" i="265"/>
  <c r="W33" i="265"/>
  <c r="C34" i="265"/>
  <c r="F34" i="265"/>
  <c r="W34" i="265"/>
  <c r="C35" i="265"/>
  <c r="F35" i="265"/>
  <c r="W35" i="265"/>
  <c r="C36" i="265"/>
  <c r="F36" i="265"/>
  <c r="W36" i="265"/>
  <c r="C37" i="265"/>
  <c r="F37" i="265"/>
  <c r="W37" i="265"/>
  <c r="C38" i="265"/>
  <c r="F38" i="265"/>
  <c r="W38" i="265"/>
  <c r="C39" i="265"/>
  <c r="F39" i="265"/>
  <c r="W39" i="265"/>
  <c r="C40" i="265"/>
  <c r="F40" i="265"/>
  <c r="W40" i="265"/>
  <c r="C41" i="265"/>
  <c r="F41" i="265"/>
  <c r="W41" i="265"/>
  <c r="C42" i="265"/>
  <c r="F42" i="265"/>
  <c r="W42" i="265"/>
  <c r="C43" i="265"/>
  <c r="F43" i="265"/>
  <c r="W43" i="265"/>
  <c r="C44" i="265"/>
  <c r="F44" i="265"/>
  <c r="W44" i="265"/>
  <c r="C45" i="265"/>
  <c r="F45" i="265"/>
  <c r="C46" i="265"/>
  <c r="F46" i="265"/>
  <c r="W46" i="265"/>
  <c r="C47" i="265"/>
  <c r="F47" i="265"/>
  <c r="W47" i="265"/>
  <c r="C48" i="265"/>
  <c r="F48" i="265"/>
  <c r="W48" i="265"/>
  <c r="G49" i="265"/>
  <c r="H49" i="265"/>
  <c r="K49" i="265"/>
  <c r="M49" i="265"/>
  <c r="Q49" i="265"/>
  <c r="S49" i="265"/>
  <c r="X49" i="265"/>
  <c r="Y49" i="265"/>
  <c r="Z49" i="265"/>
  <c r="AA49" i="265"/>
  <c r="AB49" i="265"/>
  <c r="X8" i="264"/>
  <c r="Y8" i="264"/>
  <c r="Z8" i="264"/>
  <c r="AA8" i="264"/>
  <c r="C15" i="264"/>
  <c r="F15" i="264"/>
  <c r="W15" i="264"/>
  <c r="D16" i="264"/>
  <c r="C16" i="264" s="1"/>
  <c r="G16" i="264"/>
  <c r="N16" i="264" s="1"/>
  <c r="N49" i="264" s="1"/>
  <c r="U16" i="264"/>
  <c r="I16" i="264" s="1"/>
  <c r="L16" i="264" s="1"/>
  <c r="L17" i="264"/>
  <c r="L18" i="264"/>
  <c r="D19" i="264"/>
  <c r="C19" i="264" s="1"/>
  <c r="G19" i="264"/>
  <c r="U19" i="264"/>
  <c r="I19" i="264" s="1"/>
  <c r="D20" i="264"/>
  <c r="C20" i="264" s="1"/>
  <c r="L20" i="264"/>
  <c r="T20" i="264" s="1"/>
  <c r="U20" i="264"/>
  <c r="W20" i="264" s="1"/>
  <c r="C21" i="264"/>
  <c r="F21" i="264"/>
  <c r="W21" i="264"/>
  <c r="C22" i="264"/>
  <c r="F22" i="264"/>
  <c r="W22" i="264"/>
  <c r="C23" i="264"/>
  <c r="F23" i="264"/>
  <c r="W23" i="264"/>
  <c r="C24" i="264"/>
  <c r="F24" i="264"/>
  <c r="S24" i="264"/>
  <c r="W24" i="264"/>
  <c r="C25" i="264"/>
  <c r="F25" i="264"/>
  <c r="S25" i="264"/>
  <c r="W25" i="264"/>
  <c r="C26" i="264"/>
  <c r="F26" i="264"/>
  <c r="W26" i="264"/>
  <c r="C27" i="264"/>
  <c r="F27" i="264"/>
  <c r="W27" i="264"/>
  <c r="C28" i="264"/>
  <c r="F28" i="264"/>
  <c r="W28" i="264"/>
  <c r="C29" i="264"/>
  <c r="F29" i="264"/>
  <c r="W29" i="264"/>
  <c r="C30" i="264"/>
  <c r="F30" i="264"/>
  <c r="W30" i="264"/>
  <c r="C31" i="264"/>
  <c r="F31" i="264"/>
  <c r="W31" i="264"/>
  <c r="C32" i="264"/>
  <c r="F32" i="264"/>
  <c r="W32" i="264"/>
  <c r="C33" i="264"/>
  <c r="F33" i="264"/>
  <c r="W33" i="264"/>
  <c r="C34" i="264"/>
  <c r="F34" i="264"/>
  <c r="W34" i="264"/>
  <c r="C35" i="264"/>
  <c r="F35" i="264"/>
  <c r="W35" i="264"/>
  <c r="C36" i="264"/>
  <c r="F36" i="264"/>
  <c r="W36" i="264"/>
  <c r="C37" i="264"/>
  <c r="F37" i="264"/>
  <c r="W37" i="264"/>
  <c r="C38" i="264"/>
  <c r="F38" i="264"/>
  <c r="W38" i="264"/>
  <c r="C39" i="264"/>
  <c r="F39" i="264"/>
  <c r="W39" i="264"/>
  <c r="C40" i="264"/>
  <c r="F40" i="264"/>
  <c r="W40" i="264"/>
  <c r="C41" i="264"/>
  <c r="F41" i="264"/>
  <c r="W41" i="264"/>
  <c r="C42" i="264"/>
  <c r="F42" i="264"/>
  <c r="W42" i="264"/>
  <c r="C43" i="264"/>
  <c r="F43" i="264"/>
  <c r="W43" i="264"/>
  <c r="C44" i="264"/>
  <c r="F44" i="264"/>
  <c r="W44" i="264"/>
  <c r="C45" i="264"/>
  <c r="F45" i="264"/>
  <c r="W45" i="264"/>
  <c r="C46" i="264"/>
  <c r="F46" i="264"/>
  <c r="W46" i="264"/>
  <c r="C47" i="264"/>
  <c r="F47" i="264"/>
  <c r="W47" i="264"/>
  <c r="C48" i="264"/>
  <c r="F48" i="264"/>
  <c r="W48" i="264"/>
  <c r="G49" i="264"/>
  <c r="H49" i="264"/>
  <c r="J49" i="264"/>
  <c r="K49" i="264"/>
  <c r="M49" i="264"/>
  <c r="Q49" i="264"/>
  <c r="R49" i="264"/>
  <c r="S49" i="264"/>
  <c r="X49" i="264"/>
  <c r="Y49" i="264"/>
  <c r="Z49" i="264"/>
  <c r="AA49" i="264"/>
  <c r="AB49" i="264"/>
  <c r="X8" i="263"/>
  <c r="Y8" i="263"/>
  <c r="Z8" i="263"/>
  <c r="AA8" i="263"/>
  <c r="T14" i="263"/>
  <c r="T15" i="263"/>
  <c r="F16" i="263"/>
  <c r="L16" i="263"/>
  <c r="S16" i="263"/>
  <c r="W16" i="263"/>
  <c r="T16" i="263" s="1"/>
  <c r="C17" i="263"/>
  <c r="D17" i="263"/>
  <c r="F17" i="263" s="1"/>
  <c r="N17" i="263"/>
  <c r="P17" i="263"/>
  <c r="S17" i="263" s="1"/>
  <c r="W17" i="263"/>
  <c r="C18" i="263"/>
  <c r="D18" i="263"/>
  <c r="F18" i="263" s="1"/>
  <c r="I18" i="263" s="1"/>
  <c r="L18" i="263" s="1"/>
  <c r="P18" i="263"/>
  <c r="S18" i="263" s="1"/>
  <c r="W18" i="263"/>
  <c r="C19" i="263"/>
  <c r="D19" i="263" s="1"/>
  <c r="L19" i="263"/>
  <c r="S19" i="263"/>
  <c r="W19" i="263"/>
  <c r="C20" i="263"/>
  <c r="D20" i="263"/>
  <c r="F20" i="263" s="1"/>
  <c r="L20" i="263"/>
  <c r="S20" i="263"/>
  <c r="W20" i="263"/>
  <c r="T20" i="263" s="1"/>
  <c r="F21" i="263"/>
  <c r="S21" i="263"/>
  <c r="W21" i="263"/>
  <c r="T21" i="263" s="1"/>
  <c r="F22" i="263"/>
  <c r="S22" i="263"/>
  <c r="W22" i="263"/>
  <c r="T22" i="263" s="1"/>
  <c r="D23" i="263"/>
  <c r="F23" i="263" s="1"/>
  <c r="T23" i="263"/>
  <c r="T24" i="263"/>
  <c r="D25" i="263"/>
  <c r="F25" i="263" s="1"/>
  <c r="S25" i="263"/>
  <c r="W25" i="263"/>
  <c r="T25" i="263" s="1"/>
  <c r="F26" i="263"/>
  <c r="T26" i="263"/>
  <c r="W26" i="263"/>
  <c r="D27" i="263"/>
  <c r="F27" i="263" s="1"/>
  <c r="I27" i="263" s="1"/>
  <c r="W27" i="263"/>
  <c r="F28" i="263"/>
  <c r="W28" i="263"/>
  <c r="T28" i="263" s="1"/>
  <c r="T29" i="263"/>
  <c r="T30" i="263"/>
  <c r="T31" i="263"/>
  <c r="T32" i="263"/>
  <c r="T33" i="263"/>
  <c r="T34" i="263"/>
  <c r="T35" i="263"/>
  <c r="T36" i="263"/>
  <c r="T37" i="263"/>
  <c r="T38" i="263"/>
  <c r="T39" i="263"/>
  <c r="T40" i="263"/>
  <c r="T41" i="263"/>
  <c r="T42" i="263"/>
  <c r="T43" i="263"/>
  <c r="T44" i="263"/>
  <c r="S45" i="263"/>
  <c r="T45" i="263"/>
  <c r="S46" i="263"/>
  <c r="T46" i="263"/>
  <c r="T47" i="263"/>
  <c r="T48" i="263"/>
  <c r="T50" i="263"/>
  <c r="T51" i="263"/>
  <c r="T52" i="263"/>
  <c r="T53" i="263"/>
  <c r="T54" i="263"/>
  <c r="T55" i="263"/>
  <c r="L56" i="263"/>
  <c r="T56" i="263" s="1"/>
  <c r="C57" i="263"/>
  <c r="G57" i="263"/>
  <c r="H57" i="263"/>
  <c r="K57" i="263"/>
  <c r="M57" i="263"/>
  <c r="N57" i="263"/>
  <c r="P57" i="263"/>
  <c r="Q57" i="263"/>
  <c r="R57" i="263"/>
  <c r="U57" i="263"/>
  <c r="W57" i="263"/>
  <c r="X57" i="263"/>
  <c r="Y57" i="263"/>
  <c r="Z57" i="263"/>
  <c r="AA57" i="263"/>
  <c r="AB57" i="263"/>
  <c r="X8" i="262"/>
  <c r="Y8" i="262"/>
  <c r="Z8" i="262"/>
  <c r="AA8" i="262"/>
  <c r="P14" i="262"/>
  <c r="R14" i="262"/>
  <c r="F15" i="262"/>
  <c r="W15" i="262"/>
  <c r="D16" i="262"/>
  <c r="F16" i="262" s="1"/>
  <c r="I16" i="262"/>
  <c r="N16" i="262"/>
  <c r="N17" i="262" s="1"/>
  <c r="P16" i="262"/>
  <c r="W16" i="262"/>
  <c r="W57" i="262" s="1"/>
  <c r="I17" i="262"/>
  <c r="K17" i="262"/>
  <c r="M17" i="262"/>
  <c r="W17" i="262"/>
  <c r="D18" i="262"/>
  <c r="F18" i="262"/>
  <c r="C18" i="262" s="1"/>
  <c r="I18" i="262"/>
  <c r="W18" i="262"/>
  <c r="L19" i="262"/>
  <c r="W19" i="262"/>
  <c r="D20" i="262"/>
  <c r="F20" i="262" s="1"/>
  <c r="C20" i="262" s="1"/>
  <c r="L20" i="262"/>
  <c r="W20" i="262"/>
  <c r="L21" i="262"/>
  <c r="W21" i="262"/>
  <c r="D22" i="262"/>
  <c r="F22" i="262"/>
  <c r="C22" i="262" s="1"/>
  <c r="L22" i="262"/>
  <c r="W22" i="262"/>
  <c r="L23" i="262"/>
  <c r="L24" i="262"/>
  <c r="L25" i="262"/>
  <c r="L26" i="262"/>
  <c r="L27" i="262"/>
  <c r="L28" i="262"/>
  <c r="L29" i="262"/>
  <c r="L30" i="262"/>
  <c r="L31" i="262"/>
  <c r="L32" i="262"/>
  <c r="L33" i="262"/>
  <c r="L34" i="262"/>
  <c r="L35" i="262"/>
  <c r="L36" i="262"/>
  <c r="L37" i="262"/>
  <c r="L38" i="262"/>
  <c r="L39" i="262"/>
  <c r="L40" i="262"/>
  <c r="L41" i="262"/>
  <c r="L42" i="262"/>
  <c r="L43" i="262"/>
  <c r="L46" i="262"/>
  <c r="L47" i="262"/>
  <c r="L48" i="262"/>
  <c r="L50" i="262"/>
  <c r="L51" i="262"/>
  <c r="L52" i="262"/>
  <c r="L54" i="262"/>
  <c r="L55" i="262"/>
  <c r="C56" i="262"/>
  <c r="F56" i="262"/>
  <c r="L56" i="262"/>
  <c r="W56" i="262"/>
  <c r="G57" i="262"/>
  <c r="H57" i="262"/>
  <c r="I57" i="262"/>
  <c r="J57" i="262"/>
  <c r="K57" i="262"/>
  <c r="M57" i="262"/>
  <c r="P57" i="262"/>
  <c r="R57" i="262"/>
  <c r="S57" i="262"/>
  <c r="X57" i="262"/>
  <c r="Y57" i="262"/>
  <c r="Z57" i="262"/>
  <c r="AA57" i="262"/>
  <c r="AB57" i="262"/>
  <c r="X8" i="261"/>
  <c r="Y8" i="261"/>
  <c r="Z8" i="261"/>
  <c r="AA8" i="261"/>
  <c r="P14" i="261"/>
  <c r="R14" i="261"/>
  <c r="F15" i="261"/>
  <c r="W15" i="261"/>
  <c r="D16" i="261"/>
  <c r="F16" i="261"/>
  <c r="C16" i="261" s="1"/>
  <c r="N16" i="261"/>
  <c r="W16" i="261"/>
  <c r="I16" i="261" s="1"/>
  <c r="M17" i="261"/>
  <c r="N17" i="261"/>
  <c r="N57" i="261" s="1"/>
  <c r="W17" i="261"/>
  <c r="D18" i="261"/>
  <c r="F18" i="261" s="1"/>
  <c r="W18" i="261"/>
  <c r="W19" i="261"/>
  <c r="D20" i="261"/>
  <c r="F20" i="261" s="1"/>
  <c r="C20" i="261" s="1"/>
  <c r="S20" i="261"/>
  <c r="S57" i="261" s="1"/>
  <c r="W20" i="261"/>
  <c r="U21" i="261"/>
  <c r="W21" i="261" s="1"/>
  <c r="L22" i="261"/>
  <c r="L23" i="261"/>
  <c r="L24" i="261"/>
  <c r="L25" i="261"/>
  <c r="L26" i="261"/>
  <c r="L27" i="261"/>
  <c r="L28" i="261"/>
  <c r="L29" i="261"/>
  <c r="L30" i="261"/>
  <c r="L31" i="261"/>
  <c r="L32" i="261"/>
  <c r="L33" i="261"/>
  <c r="L34" i="261"/>
  <c r="L35" i="261"/>
  <c r="L36" i="261"/>
  <c r="L37" i="261"/>
  <c r="L38" i="261"/>
  <c r="L39" i="261"/>
  <c r="L40" i="261"/>
  <c r="L41" i="261"/>
  <c r="L42" i="261"/>
  <c r="L43" i="261"/>
  <c r="L46" i="261"/>
  <c r="L47" i="261"/>
  <c r="L48" i="261"/>
  <c r="L49" i="261"/>
  <c r="P49" i="261"/>
  <c r="R49" i="261"/>
  <c r="S49" i="261"/>
  <c r="X49" i="261"/>
  <c r="L50" i="261"/>
  <c r="L51" i="261"/>
  <c r="L52" i="261"/>
  <c r="L54" i="261"/>
  <c r="L55" i="261"/>
  <c r="C56" i="261"/>
  <c r="F56" i="261"/>
  <c r="L56" i="261"/>
  <c r="W56" i="261"/>
  <c r="G57" i="261"/>
  <c r="H57" i="261"/>
  <c r="J57" i="261"/>
  <c r="M57" i="261"/>
  <c r="R57" i="261"/>
  <c r="X57" i="261"/>
  <c r="Y57" i="261"/>
  <c r="Z57" i="261"/>
  <c r="AA57" i="261"/>
  <c r="AB57" i="261"/>
  <c r="X8" i="260"/>
  <c r="Y8" i="260"/>
  <c r="Z8" i="260"/>
  <c r="AA8" i="260"/>
  <c r="P14" i="260"/>
  <c r="R14" i="260"/>
  <c r="C15" i="260"/>
  <c r="D15" i="260"/>
  <c r="F15" i="260" s="1"/>
  <c r="I15" i="260"/>
  <c r="L15" i="260" s="1"/>
  <c r="W15" i="260"/>
  <c r="W57" i="260" s="1"/>
  <c r="L16" i="260"/>
  <c r="N16" i="260"/>
  <c r="N17" i="260" s="1"/>
  <c r="C17" i="260"/>
  <c r="D17" i="260"/>
  <c r="F17" i="260" s="1"/>
  <c r="L17" i="260"/>
  <c r="T17" i="260" s="1"/>
  <c r="M17" i="260"/>
  <c r="W17" i="260"/>
  <c r="C18" i="260"/>
  <c r="D18" i="260"/>
  <c r="F18" i="260" s="1"/>
  <c r="L18" i="260"/>
  <c r="T18" i="260" s="1"/>
  <c r="W18" i="260"/>
  <c r="C19" i="260"/>
  <c r="D19" i="260"/>
  <c r="F19" i="260" s="1"/>
  <c r="L19" i="260"/>
  <c r="W19" i="260"/>
  <c r="C20" i="260"/>
  <c r="D20" i="260"/>
  <c r="F20" i="260"/>
  <c r="L20" i="260"/>
  <c r="T20" i="260" s="1"/>
  <c r="S20" i="260"/>
  <c r="W20" i="260"/>
  <c r="F21" i="260"/>
  <c r="L21" i="260"/>
  <c r="W21" i="260"/>
  <c r="C22" i="260"/>
  <c r="D22" i="260"/>
  <c r="F22" i="260" s="1"/>
  <c r="L22" i="260"/>
  <c r="T22" i="260" s="1"/>
  <c r="W22" i="260"/>
  <c r="C23" i="260"/>
  <c r="D23" i="260"/>
  <c r="F23" i="260" s="1"/>
  <c r="L23" i="260"/>
  <c r="T23" i="260" s="1"/>
  <c r="W23" i="260"/>
  <c r="C24" i="260"/>
  <c r="D24" i="260"/>
  <c r="F24" i="260" s="1"/>
  <c r="L24" i="260"/>
  <c r="W24" i="260"/>
  <c r="C25" i="260"/>
  <c r="D25" i="260"/>
  <c r="F25" i="260"/>
  <c r="L25" i="260"/>
  <c r="T25" i="260" s="1"/>
  <c r="W25" i="260"/>
  <c r="F26" i="260"/>
  <c r="L26" i="260"/>
  <c r="W26" i="260"/>
  <c r="C27" i="260"/>
  <c r="D27" i="260"/>
  <c r="F27" i="260"/>
  <c r="L27" i="260"/>
  <c r="T27" i="260" s="1"/>
  <c r="W27" i="260"/>
  <c r="C28" i="260"/>
  <c r="D28" i="260"/>
  <c r="F28" i="260"/>
  <c r="L28" i="260"/>
  <c r="T28" i="260" s="1"/>
  <c r="W28" i="260"/>
  <c r="C29" i="260"/>
  <c r="D29" i="260"/>
  <c r="F29" i="260" s="1"/>
  <c r="L29" i="260"/>
  <c r="W29" i="260"/>
  <c r="C30" i="260"/>
  <c r="D30" i="260"/>
  <c r="F30" i="260" s="1"/>
  <c r="L30" i="260"/>
  <c r="W30" i="260"/>
  <c r="L31" i="260"/>
  <c r="L32" i="260"/>
  <c r="L33" i="260"/>
  <c r="L34" i="260"/>
  <c r="L35" i="260"/>
  <c r="L36" i="260"/>
  <c r="L37" i="260"/>
  <c r="L38" i="260"/>
  <c r="L39" i="260"/>
  <c r="L40" i="260"/>
  <c r="L41" i="260"/>
  <c r="L42" i="260"/>
  <c r="L43" i="260"/>
  <c r="L46" i="260"/>
  <c r="L47" i="260"/>
  <c r="L48" i="260"/>
  <c r="L49" i="260"/>
  <c r="P49" i="260"/>
  <c r="R49" i="260"/>
  <c r="S49" i="260" s="1"/>
  <c r="S57" i="260" s="1"/>
  <c r="X49" i="260"/>
  <c r="L50" i="260"/>
  <c r="L51" i="260"/>
  <c r="L52" i="260"/>
  <c r="L54" i="260"/>
  <c r="L55" i="260"/>
  <c r="C56" i="260"/>
  <c r="F56" i="260"/>
  <c r="L56" i="260"/>
  <c r="W56" i="260"/>
  <c r="C57" i="260"/>
  <c r="G57" i="260"/>
  <c r="H57" i="260"/>
  <c r="I57" i="260"/>
  <c r="J57" i="260"/>
  <c r="M57" i="260"/>
  <c r="P57" i="260"/>
  <c r="X57" i="260"/>
  <c r="Y57" i="260"/>
  <c r="Z57" i="260"/>
  <c r="AA57" i="260"/>
  <c r="AB57" i="260"/>
  <c r="X8" i="259"/>
  <c r="Y8" i="259"/>
  <c r="Z8" i="259"/>
  <c r="AA8" i="259"/>
  <c r="P14" i="259"/>
  <c r="R14" i="259"/>
  <c r="F15" i="259"/>
  <c r="W15" i="259"/>
  <c r="F16" i="259"/>
  <c r="I16" i="259"/>
  <c r="L16" i="259" s="1"/>
  <c r="N16" i="259"/>
  <c r="N17" i="259" s="1"/>
  <c r="W16" i="259"/>
  <c r="K17" i="259"/>
  <c r="L17" i="259" s="1"/>
  <c r="M17" i="259"/>
  <c r="M57" i="259" s="1"/>
  <c r="W17" i="259"/>
  <c r="F18" i="259"/>
  <c r="L18" i="259"/>
  <c r="W18" i="259"/>
  <c r="F19" i="259"/>
  <c r="L19" i="259"/>
  <c r="T19" i="259" s="1"/>
  <c r="W19" i="259"/>
  <c r="F20" i="259"/>
  <c r="L20" i="259"/>
  <c r="W20" i="259"/>
  <c r="F21" i="259"/>
  <c r="L21" i="259"/>
  <c r="T21" i="259" s="1"/>
  <c r="W21" i="259"/>
  <c r="F22" i="259"/>
  <c r="L22" i="259"/>
  <c r="W22" i="259"/>
  <c r="F23" i="259"/>
  <c r="L23" i="259"/>
  <c r="T23" i="259" s="1"/>
  <c r="W23" i="259"/>
  <c r="F24" i="259"/>
  <c r="L24" i="259"/>
  <c r="S24" i="259"/>
  <c r="W24" i="259"/>
  <c r="F25" i="259"/>
  <c r="L25" i="259"/>
  <c r="W25" i="259"/>
  <c r="F26" i="259"/>
  <c r="L26" i="259"/>
  <c r="T26" i="259" s="1"/>
  <c r="W26" i="259"/>
  <c r="F27" i="259"/>
  <c r="L27" i="259"/>
  <c r="W27" i="259"/>
  <c r="F28" i="259"/>
  <c r="L28" i="259"/>
  <c r="T28" i="259" s="1"/>
  <c r="W28" i="259"/>
  <c r="F29" i="259"/>
  <c r="L29" i="259"/>
  <c r="W29" i="259"/>
  <c r="F30" i="259"/>
  <c r="L30" i="259"/>
  <c r="W30" i="259"/>
  <c r="F31" i="259"/>
  <c r="L31" i="259"/>
  <c r="W31" i="259"/>
  <c r="T31" i="259" s="1"/>
  <c r="L32" i="259"/>
  <c r="L33" i="259"/>
  <c r="L34" i="259"/>
  <c r="L35" i="259"/>
  <c r="L36" i="259"/>
  <c r="L37" i="259"/>
  <c r="L38" i="259"/>
  <c r="L39" i="259"/>
  <c r="L40" i="259"/>
  <c r="L41" i="259"/>
  <c r="L42" i="259"/>
  <c r="L43" i="259"/>
  <c r="L44" i="259"/>
  <c r="L45" i="259"/>
  <c r="L46" i="259"/>
  <c r="L47" i="259"/>
  <c r="L50" i="259"/>
  <c r="L51" i="259"/>
  <c r="L52" i="259"/>
  <c r="L53" i="259"/>
  <c r="P53" i="259"/>
  <c r="R53" i="259"/>
  <c r="S53" i="259" s="1"/>
  <c r="S57" i="259" s="1"/>
  <c r="X53" i="259"/>
  <c r="X57" i="259" s="1"/>
  <c r="L54" i="259"/>
  <c r="C56" i="259"/>
  <c r="F56" i="259"/>
  <c r="L56" i="259"/>
  <c r="W56" i="259"/>
  <c r="C57" i="259"/>
  <c r="G57" i="259"/>
  <c r="H57" i="259"/>
  <c r="J57" i="259"/>
  <c r="P57" i="259"/>
  <c r="Y57" i="259"/>
  <c r="Z57" i="259"/>
  <c r="AA57" i="259"/>
  <c r="AB57" i="259"/>
  <c r="X8" i="258"/>
  <c r="Y8" i="258"/>
  <c r="Z8" i="258"/>
  <c r="AA8" i="258"/>
  <c r="P14" i="258"/>
  <c r="R14" i="258"/>
  <c r="F15" i="258"/>
  <c r="W15" i="258"/>
  <c r="D16" i="258"/>
  <c r="F16" i="258"/>
  <c r="C16" i="258" s="1"/>
  <c r="I16" i="258"/>
  <c r="L16" i="258"/>
  <c r="N16" i="258"/>
  <c r="P16" i="258"/>
  <c r="W16" i="258"/>
  <c r="K17" i="258"/>
  <c r="L17" i="258" s="1"/>
  <c r="M17" i="258"/>
  <c r="N17" i="258"/>
  <c r="N57" i="258" s="1"/>
  <c r="L18" i="258"/>
  <c r="L19" i="258"/>
  <c r="L20" i="258"/>
  <c r="S20" i="258"/>
  <c r="L21" i="258"/>
  <c r="W21" i="258"/>
  <c r="W57" i="258" s="1"/>
  <c r="L22" i="258"/>
  <c r="L23" i="258"/>
  <c r="L24" i="258"/>
  <c r="L25" i="258"/>
  <c r="L26" i="258"/>
  <c r="L27" i="258"/>
  <c r="L28" i="258"/>
  <c r="L29" i="258"/>
  <c r="L30" i="258"/>
  <c r="L31" i="258"/>
  <c r="L32" i="258"/>
  <c r="L33" i="258"/>
  <c r="L34" i="258"/>
  <c r="L35" i="258"/>
  <c r="L36" i="258"/>
  <c r="L37" i="258"/>
  <c r="L38" i="258"/>
  <c r="L39" i="258"/>
  <c r="L40" i="258"/>
  <c r="L41" i="258"/>
  <c r="L42" i="258"/>
  <c r="L43" i="258"/>
  <c r="L46" i="258"/>
  <c r="L47" i="258"/>
  <c r="L48" i="258"/>
  <c r="L49" i="258"/>
  <c r="P49" i="258"/>
  <c r="R49" i="258"/>
  <c r="S49" i="258" s="1"/>
  <c r="S57" i="258" s="1"/>
  <c r="X49" i="258"/>
  <c r="L50" i="258"/>
  <c r="L51" i="258"/>
  <c r="L52" i="258"/>
  <c r="L54" i="258"/>
  <c r="L55" i="258"/>
  <c r="C56" i="258"/>
  <c r="F56" i="258"/>
  <c r="L56" i="258"/>
  <c r="W56" i="258"/>
  <c r="F57" i="258"/>
  <c r="G57" i="258"/>
  <c r="H57" i="258"/>
  <c r="I57" i="258"/>
  <c r="J57" i="258"/>
  <c r="M57" i="258"/>
  <c r="P57" i="258"/>
  <c r="X57" i="258"/>
  <c r="Y57" i="258"/>
  <c r="Z57" i="258"/>
  <c r="AA57" i="258"/>
  <c r="AB57" i="258"/>
  <c r="X8" i="257"/>
  <c r="Y8" i="257"/>
  <c r="Z8" i="257"/>
  <c r="AA8" i="257"/>
  <c r="P14" i="257"/>
  <c r="R14" i="257"/>
  <c r="F15" i="257"/>
  <c r="W15" i="257"/>
  <c r="D16" i="257"/>
  <c r="F16" i="257"/>
  <c r="C16" i="257" s="1"/>
  <c r="N16" i="257"/>
  <c r="W16" i="257"/>
  <c r="I57" i="257"/>
  <c r="K17" i="257"/>
  <c r="M17" i="257"/>
  <c r="N17" i="257"/>
  <c r="N57" i="257" s="1"/>
  <c r="W17" i="257"/>
  <c r="D18" i="257"/>
  <c r="F18" i="257" s="1"/>
  <c r="W18" i="257"/>
  <c r="W19" i="257"/>
  <c r="D20" i="257"/>
  <c r="F20" i="257" s="1"/>
  <c r="C20" i="257" s="1"/>
  <c r="S20" i="257"/>
  <c r="W20" i="257"/>
  <c r="W21" i="257"/>
  <c r="W22" i="257"/>
  <c r="D23" i="257"/>
  <c r="F23" i="257"/>
  <c r="C23" i="257" s="1"/>
  <c r="W23" i="257"/>
  <c r="L24" i="257"/>
  <c r="AB24" i="257"/>
  <c r="AB57" i="257" s="1"/>
  <c r="L25" i="257"/>
  <c r="AB25" i="257"/>
  <c r="L26" i="257"/>
  <c r="L27" i="257"/>
  <c r="L28" i="257"/>
  <c r="L29" i="257"/>
  <c r="L30" i="257"/>
  <c r="L31" i="257"/>
  <c r="L32" i="257"/>
  <c r="L33" i="257"/>
  <c r="L34" i="257"/>
  <c r="L35" i="257"/>
  <c r="L36" i="257"/>
  <c r="L37" i="257"/>
  <c r="L38" i="257"/>
  <c r="L39" i="257"/>
  <c r="L40" i="257"/>
  <c r="L41" i="257"/>
  <c r="L42" i="257"/>
  <c r="L43" i="257"/>
  <c r="L46" i="257"/>
  <c r="L47" i="257"/>
  <c r="L48" i="257"/>
  <c r="L49" i="257"/>
  <c r="P49" i="257"/>
  <c r="R49" i="257"/>
  <c r="S49" i="257" s="1"/>
  <c r="X49" i="257"/>
  <c r="L50" i="257"/>
  <c r="L51" i="257"/>
  <c r="L52" i="257"/>
  <c r="L54" i="257"/>
  <c r="L55" i="257"/>
  <c r="C56" i="257"/>
  <c r="F56" i="257"/>
  <c r="L56" i="257"/>
  <c r="W56" i="257"/>
  <c r="G57" i="257"/>
  <c r="H57" i="257"/>
  <c r="J57" i="257"/>
  <c r="K57" i="257"/>
  <c r="M57" i="257"/>
  <c r="P57" i="257"/>
  <c r="W57" i="257"/>
  <c r="X57" i="257"/>
  <c r="Y57" i="257"/>
  <c r="Z57" i="257"/>
  <c r="AA57" i="257"/>
  <c r="L50" i="107" l="1"/>
  <c r="L86" i="107" s="1"/>
  <c r="K86" i="107"/>
  <c r="W16" i="270"/>
  <c r="P16" i="270"/>
  <c r="S16" i="270" s="1"/>
  <c r="F57" i="259"/>
  <c r="T16" i="259"/>
  <c r="R57" i="259"/>
  <c r="T30" i="259"/>
  <c r="T29" i="259"/>
  <c r="T27" i="259"/>
  <c r="T25" i="259"/>
  <c r="T24" i="259"/>
  <c r="T22" i="259"/>
  <c r="T20" i="259"/>
  <c r="T18" i="259"/>
  <c r="W57" i="259"/>
  <c r="T17" i="259"/>
  <c r="L57" i="262"/>
  <c r="T19" i="263"/>
  <c r="C69" i="282"/>
  <c r="C65" i="282"/>
  <c r="C64" i="282"/>
  <c r="C63" i="282"/>
  <c r="C62" i="282"/>
  <c r="C61" i="282"/>
  <c r="C60" i="282"/>
  <c r="C49" i="271"/>
  <c r="C16" i="262"/>
  <c r="F57" i="262"/>
  <c r="U20" i="273"/>
  <c r="I20" i="273" s="1"/>
  <c r="L20" i="273" s="1"/>
  <c r="C50" i="273"/>
  <c r="C49" i="279"/>
  <c r="R55" i="280"/>
  <c r="S57" i="257"/>
  <c r="C57" i="258"/>
  <c r="T18" i="263"/>
  <c r="C49" i="266"/>
  <c r="C49" i="267"/>
  <c r="R57" i="257"/>
  <c r="R57" i="258"/>
  <c r="K57" i="258"/>
  <c r="N57" i="259"/>
  <c r="K57" i="259"/>
  <c r="I57" i="259"/>
  <c r="L57" i="259"/>
  <c r="R57" i="260"/>
  <c r="N57" i="260"/>
  <c r="K57" i="260"/>
  <c r="L57" i="260"/>
  <c r="W57" i="261"/>
  <c r="N57" i="262"/>
  <c r="S57" i="263"/>
  <c r="W19" i="264"/>
  <c r="W49" i="264" s="1"/>
  <c r="W16" i="264"/>
  <c r="P16" i="264"/>
  <c r="P49" i="264" s="1"/>
  <c r="C49" i="265"/>
  <c r="F16" i="266"/>
  <c r="W49" i="267"/>
  <c r="F16" i="267"/>
  <c r="F19" i="268"/>
  <c r="C49" i="268"/>
  <c r="F19" i="269"/>
  <c r="F19" i="270"/>
  <c r="F20" i="271"/>
  <c r="F16" i="271"/>
  <c r="F20" i="273"/>
  <c r="F50" i="273" s="1"/>
  <c r="C49" i="274"/>
  <c r="W16" i="274"/>
  <c r="I16" i="274" s="1"/>
  <c r="L16" i="274" s="1"/>
  <c r="F16" i="274"/>
  <c r="W19" i="277"/>
  <c r="R19" i="277"/>
  <c r="R49" i="277" s="1"/>
  <c r="F19" i="277"/>
  <c r="F21" i="278"/>
  <c r="C50" i="278"/>
  <c r="R49" i="279"/>
  <c r="S20" i="279"/>
  <c r="F20" i="279"/>
  <c r="F49" i="279" s="1"/>
  <c r="S20" i="280"/>
  <c r="P18" i="280"/>
  <c r="P55" i="280" s="1"/>
  <c r="F18" i="280"/>
  <c r="F55" i="280" s="1"/>
  <c r="V53" i="281"/>
  <c r="V69" i="281" s="1"/>
  <c r="U21" i="281"/>
  <c r="U69" i="281" s="1"/>
  <c r="C68" i="282"/>
  <c r="D57" i="282"/>
  <c r="R57" i="283"/>
  <c r="I54" i="283"/>
  <c r="S17" i="283"/>
  <c r="L57" i="258"/>
  <c r="N49" i="274"/>
  <c r="C55" i="280"/>
  <c r="C18" i="257"/>
  <c r="F57" i="257"/>
  <c r="K57" i="261"/>
  <c r="D57" i="263"/>
  <c r="F19" i="263"/>
  <c r="J49" i="265"/>
  <c r="I49" i="265"/>
  <c r="L19" i="265"/>
  <c r="L19" i="266"/>
  <c r="T19" i="266" s="1"/>
  <c r="K49" i="266"/>
  <c r="I19" i="268"/>
  <c r="W49" i="268"/>
  <c r="S16" i="268"/>
  <c r="S49" i="268" s="1"/>
  <c r="P49" i="268"/>
  <c r="I49" i="269"/>
  <c r="L19" i="269"/>
  <c r="L19" i="270"/>
  <c r="I57" i="270"/>
  <c r="I16" i="270"/>
  <c r="L16" i="270" s="1"/>
  <c r="L57" i="270" s="1"/>
  <c r="W57" i="270"/>
  <c r="W49" i="271"/>
  <c r="I16" i="271"/>
  <c r="L16" i="271" s="1"/>
  <c r="W49" i="272"/>
  <c r="I20" i="272"/>
  <c r="L19" i="272"/>
  <c r="I49" i="272"/>
  <c r="J49" i="274"/>
  <c r="I19" i="274"/>
  <c r="W49" i="274"/>
  <c r="I16" i="275"/>
  <c r="T16" i="283"/>
  <c r="T54" i="283" s="1"/>
  <c r="L54" i="283"/>
  <c r="T57" i="258"/>
  <c r="C57" i="262"/>
  <c r="C49" i="264"/>
  <c r="C49" i="269"/>
  <c r="C49" i="277"/>
  <c r="F57" i="261"/>
  <c r="C18" i="261"/>
  <c r="I57" i="261"/>
  <c r="J27" i="263"/>
  <c r="J57" i="263" s="1"/>
  <c r="I49" i="264"/>
  <c r="L19" i="264"/>
  <c r="L49" i="264" s="1"/>
  <c r="J49" i="267"/>
  <c r="J49" i="269"/>
  <c r="I16" i="269"/>
  <c r="L16" i="269" s="1"/>
  <c r="W49" i="269"/>
  <c r="L19" i="271"/>
  <c r="I49" i="271"/>
  <c r="I50" i="273"/>
  <c r="L17" i="273"/>
  <c r="L50" i="273" s="1"/>
  <c r="S16" i="274"/>
  <c r="S49" i="274" s="1"/>
  <c r="P49" i="274"/>
  <c r="J49" i="275"/>
  <c r="I21" i="276"/>
  <c r="L21" i="276" s="1"/>
  <c r="W50" i="276"/>
  <c r="I50" i="276"/>
  <c r="L17" i="276"/>
  <c r="I49" i="277"/>
  <c r="L16" i="277"/>
  <c r="L49" i="277" s="1"/>
  <c r="J50" i="278"/>
  <c r="I20" i="278"/>
  <c r="L20" i="278" s="1"/>
  <c r="W50" i="278"/>
  <c r="L17" i="278"/>
  <c r="P49" i="279"/>
  <c r="S16" i="279"/>
  <c r="S49" i="279" s="1"/>
  <c r="I18" i="280"/>
  <c r="W55" i="280"/>
  <c r="W21" i="281"/>
  <c r="F69" i="281"/>
  <c r="AB17" i="282"/>
  <c r="AB57" i="282" s="1"/>
  <c r="F57" i="282"/>
  <c r="AE16" i="283"/>
  <c r="AE54" i="283" s="1"/>
  <c r="F54" i="283"/>
  <c r="L57" i="257"/>
  <c r="C57" i="257"/>
  <c r="F57" i="260"/>
  <c r="C57" i="261"/>
  <c r="F57" i="263"/>
  <c r="C57" i="270"/>
  <c r="F49" i="272"/>
  <c r="C49" i="275"/>
  <c r="S54" i="283"/>
  <c r="I17" i="263"/>
  <c r="P19" i="265"/>
  <c r="P49" i="265" s="1"/>
  <c r="I16" i="265"/>
  <c r="L16" i="265" s="1"/>
  <c r="F20" i="266"/>
  <c r="F19" i="266"/>
  <c r="F20" i="267"/>
  <c r="F49" i="267" s="1"/>
  <c r="F16" i="268"/>
  <c r="F49" i="268" s="1"/>
  <c r="P16" i="269"/>
  <c r="P16" i="271"/>
  <c r="F19" i="274"/>
  <c r="F49" i="274" s="1"/>
  <c r="F20" i="275"/>
  <c r="W19" i="275"/>
  <c r="I19" i="275" s="1"/>
  <c r="L19" i="275" s="1"/>
  <c r="P16" i="275"/>
  <c r="P16" i="277"/>
  <c r="F20" i="278"/>
  <c r="F50" i="278" s="1"/>
  <c r="W20" i="279"/>
  <c r="I20" i="279" s="1"/>
  <c r="L20" i="279" s="1"/>
  <c r="W19" i="279"/>
  <c r="I19" i="279" s="1"/>
  <c r="L19" i="279" s="1"/>
  <c r="W16" i="279"/>
  <c r="U21" i="282"/>
  <c r="T20" i="282"/>
  <c r="U19" i="282"/>
  <c r="T18" i="282"/>
  <c r="U17" i="282"/>
  <c r="F20" i="264"/>
  <c r="F19" i="264"/>
  <c r="F16" i="264"/>
  <c r="W20" i="265"/>
  <c r="W19" i="265"/>
  <c r="W16" i="265"/>
  <c r="W49" i="265" s="1"/>
  <c r="F16" i="265"/>
  <c r="F49" i="265" s="1"/>
  <c r="F20" i="269"/>
  <c r="F16" i="269"/>
  <c r="F20" i="270"/>
  <c r="F16" i="270"/>
  <c r="W21" i="273"/>
  <c r="W20" i="273"/>
  <c r="W17" i="273"/>
  <c r="W50" i="273" s="1"/>
  <c r="F16" i="275"/>
  <c r="F20" i="277"/>
  <c r="W16" i="277"/>
  <c r="W49" i="277" s="1"/>
  <c r="F16" i="277"/>
  <c r="F49" i="277" s="1"/>
  <c r="X8" i="205"/>
  <c r="Y8" i="205"/>
  <c r="Z8" i="205"/>
  <c r="AA8" i="205"/>
  <c r="T14" i="205"/>
  <c r="T15" i="205"/>
  <c r="T16" i="205"/>
  <c r="C17" i="205"/>
  <c r="D17" i="205" s="1"/>
  <c r="F17" i="205" s="1"/>
  <c r="T17" i="205"/>
  <c r="T18" i="205"/>
  <c r="T19" i="205"/>
  <c r="C20" i="205"/>
  <c r="D20" i="205" s="1"/>
  <c r="F20" i="205" s="1"/>
  <c r="T20" i="205"/>
  <c r="T21" i="205"/>
  <c r="T22" i="205"/>
  <c r="C23" i="205"/>
  <c r="D23" i="205" s="1"/>
  <c r="L23" i="205"/>
  <c r="S23" i="205"/>
  <c r="T23" i="205"/>
  <c r="L24" i="205"/>
  <c r="T24" i="205" s="1"/>
  <c r="L25" i="205"/>
  <c r="T25" i="205" s="1"/>
  <c r="L26" i="205"/>
  <c r="T26" i="205" s="1"/>
  <c r="F29" i="205"/>
  <c r="I29" i="205" s="1"/>
  <c r="L29" i="205" s="1"/>
  <c r="T29" i="205" s="1"/>
  <c r="T30" i="205"/>
  <c r="T31" i="205"/>
  <c r="T32" i="205"/>
  <c r="T33" i="205"/>
  <c r="T34" i="205"/>
  <c r="T35" i="205"/>
  <c r="T36" i="205"/>
  <c r="T37" i="205"/>
  <c r="T38" i="205"/>
  <c r="T39" i="205"/>
  <c r="T40" i="205"/>
  <c r="T41" i="205"/>
  <c r="T42" i="205"/>
  <c r="T43" i="205"/>
  <c r="T44" i="205"/>
  <c r="T45" i="205"/>
  <c r="T46" i="205"/>
  <c r="T47" i="205"/>
  <c r="T48" i="205"/>
  <c r="T49" i="205"/>
  <c r="T50" i="205"/>
  <c r="T51" i="205"/>
  <c r="T52" i="205"/>
  <c r="T53" i="205"/>
  <c r="T54" i="205"/>
  <c r="T55" i="205"/>
  <c r="T56" i="205"/>
  <c r="G57" i="205"/>
  <c r="H57" i="205"/>
  <c r="J57" i="205"/>
  <c r="K57" i="205"/>
  <c r="M57" i="205"/>
  <c r="N57" i="205"/>
  <c r="O57" i="205"/>
  <c r="P57" i="205"/>
  <c r="Q57" i="205"/>
  <c r="R57" i="205"/>
  <c r="S57" i="205"/>
  <c r="W57" i="205"/>
  <c r="X57" i="205"/>
  <c r="Y57" i="205"/>
  <c r="Z57" i="205"/>
  <c r="AA57" i="205"/>
  <c r="AB57" i="205"/>
  <c r="X8" i="200"/>
  <c r="Y8" i="200"/>
  <c r="Z8" i="200"/>
  <c r="AA8" i="200"/>
  <c r="T14" i="200"/>
  <c r="S15" i="200"/>
  <c r="T15" i="200"/>
  <c r="C16" i="200"/>
  <c r="D16" i="200"/>
  <c r="F16" i="200"/>
  <c r="F57" i="200" s="1"/>
  <c r="N16" i="200"/>
  <c r="P16" i="200"/>
  <c r="S16" i="200" s="1"/>
  <c r="U16" i="200"/>
  <c r="W16" i="200"/>
  <c r="AB16" i="200"/>
  <c r="AF16" i="200"/>
  <c r="I17" i="200"/>
  <c r="P17" i="200"/>
  <c r="S17" i="200" s="1"/>
  <c r="T17" i="200"/>
  <c r="AF17" i="200"/>
  <c r="I18" i="200"/>
  <c r="P18" i="200"/>
  <c r="S18" i="200" s="1"/>
  <c r="T18" i="200"/>
  <c r="AF18" i="200"/>
  <c r="C19" i="200"/>
  <c r="F19" i="200"/>
  <c r="AF19" i="200" s="1"/>
  <c r="I19" i="200"/>
  <c r="P19" i="200"/>
  <c r="S19" i="200" s="1"/>
  <c r="T19" i="200"/>
  <c r="I20" i="200"/>
  <c r="P20" i="200"/>
  <c r="S20" i="200" s="1"/>
  <c r="T20" i="200"/>
  <c r="AF20" i="200"/>
  <c r="I21" i="200"/>
  <c r="P21" i="200"/>
  <c r="S21" i="200" s="1"/>
  <c r="T21" i="200"/>
  <c r="AF21" i="200"/>
  <c r="C22" i="200"/>
  <c r="D22" i="200"/>
  <c r="F22" i="200"/>
  <c r="P22" i="200" s="1"/>
  <c r="U22" i="200"/>
  <c r="W22" i="200" s="1"/>
  <c r="AB22" i="200"/>
  <c r="AB57" i="200" s="1"/>
  <c r="P23" i="200"/>
  <c r="S23" i="200" s="1"/>
  <c r="T23" i="200"/>
  <c r="F24" i="200"/>
  <c r="T24" i="200"/>
  <c r="AF24" i="200"/>
  <c r="F25" i="200"/>
  <c r="W25" i="200"/>
  <c r="T25" i="200" s="1"/>
  <c r="C26" i="200"/>
  <c r="F26" i="200"/>
  <c r="W26" i="200"/>
  <c r="T26" i="200" s="1"/>
  <c r="W27" i="200"/>
  <c r="T27" i="200" s="1"/>
  <c r="AF27" i="200"/>
  <c r="W28" i="200"/>
  <c r="T28" i="200" s="1"/>
  <c r="W29" i="200"/>
  <c r="T29" i="200" s="1"/>
  <c r="W30" i="200"/>
  <c r="T30" i="200" s="1"/>
  <c r="T31" i="200"/>
  <c r="T32" i="200"/>
  <c r="T33" i="200"/>
  <c r="T34" i="200"/>
  <c r="T35" i="200"/>
  <c r="T36" i="200"/>
  <c r="T37" i="200"/>
  <c r="T38" i="200"/>
  <c r="T39" i="200"/>
  <c r="T40" i="200"/>
  <c r="T41" i="200"/>
  <c r="T42" i="200"/>
  <c r="T43" i="200"/>
  <c r="T44" i="200"/>
  <c r="T45" i="200"/>
  <c r="T46" i="200"/>
  <c r="S47" i="200"/>
  <c r="T47" i="200"/>
  <c r="S48" i="200"/>
  <c r="T48" i="200"/>
  <c r="T49" i="200"/>
  <c r="T50" i="200"/>
  <c r="T51" i="200"/>
  <c r="T52" i="200"/>
  <c r="T53" i="200"/>
  <c r="T54" i="200"/>
  <c r="T55" i="200"/>
  <c r="L56" i="200"/>
  <c r="T56" i="200" s="1"/>
  <c r="C57" i="200"/>
  <c r="D57" i="200"/>
  <c r="E57" i="200"/>
  <c r="G57" i="200"/>
  <c r="H57" i="200"/>
  <c r="J57" i="200"/>
  <c r="K57" i="200"/>
  <c r="M57" i="200"/>
  <c r="N57" i="200"/>
  <c r="O57" i="200"/>
  <c r="Q57" i="200"/>
  <c r="R57" i="200"/>
  <c r="U57" i="200"/>
  <c r="V57" i="200"/>
  <c r="X57" i="200"/>
  <c r="Y57" i="200"/>
  <c r="Z57" i="200"/>
  <c r="AA57" i="200"/>
  <c r="X8" i="199"/>
  <c r="Y8" i="199"/>
  <c r="Z8" i="199"/>
  <c r="AA8" i="199"/>
  <c r="F16" i="199"/>
  <c r="S16" i="199"/>
  <c r="W16" i="199"/>
  <c r="F17" i="199"/>
  <c r="S17" i="199"/>
  <c r="W17" i="199"/>
  <c r="I17" i="199" s="1"/>
  <c r="L17" i="199" s="1"/>
  <c r="F18" i="199"/>
  <c r="S18" i="199"/>
  <c r="W18" i="199"/>
  <c r="AB18" i="199" s="1"/>
  <c r="F19" i="199"/>
  <c r="S19" i="199"/>
  <c r="W19" i="199"/>
  <c r="I19" i="199" s="1"/>
  <c r="L19" i="199" s="1"/>
  <c r="F20" i="199"/>
  <c r="S20" i="199"/>
  <c r="W20" i="199"/>
  <c r="I20" i="199" s="1"/>
  <c r="L20" i="199" s="1"/>
  <c r="T20" i="199" s="1"/>
  <c r="AB20" i="199"/>
  <c r="F21" i="199"/>
  <c r="S21" i="199"/>
  <c r="W21" i="199"/>
  <c r="I21" i="199" s="1"/>
  <c r="L21" i="199" s="1"/>
  <c r="F22" i="199"/>
  <c r="L22" i="199"/>
  <c r="S22" i="199"/>
  <c r="W22" i="199"/>
  <c r="T22" i="199" s="1"/>
  <c r="F23" i="199"/>
  <c r="L23" i="199"/>
  <c r="S23" i="199"/>
  <c r="W23" i="199"/>
  <c r="T23" i="199" s="1"/>
  <c r="F24" i="199"/>
  <c r="L24" i="199"/>
  <c r="S24" i="199"/>
  <c r="W24" i="199"/>
  <c r="T24" i="199" s="1"/>
  <c r="F25" i="199"/>
  <c r="L25" i="199"/>
  <c r="S25" i="199"/>
  <c r="W25" i="199"/>
  <c r="T25" i="199" s="1"/>
  <c r="F26" i="199"/>
  <c r="L26" i="199"/>
  <c r="S26" i="199"/>
  <c r="W26" i="199"/>
  <c r="T26" i="199" s="1"/>
  <c r="F27" i="199"/>
  <c r="L27" i="199"/>
  <c r="S27" i="199"/>
  <c r="W27" i="199"/>
  <c r="T27" i="199" s="1"/>
  <c r="F28" i="199"/>
  <c r="S28" i="199"/>
  <c r="W28" i="199"/>
  <c r="I28" i="199" s="1"/>
  <c r="L28" i="199" s="1"/>
  <c r="T28" i="199" s="1"/>
  <c r="S29" i="199"/>
  <c r="AB29" i="199"/>
  <c r="S30" i="199"/>
  <c r="AB30" i="199"/>
  <c r="S31" i="199"/>
  <c r="AB31" i="199"/>
  <c r="S32" i="199"/>
  <c r="AB32" i="199"/>
  <c r="F33" i="199"/>
  <c r="L33" i="199"/>
  <c r="S33" i="199"/>
  <c r="AB33" i="199"/>
  <c r="L34" i="199"/>
  <c r="S34" i="199"/>
  <c r="AB34" i="199"/>
  <c r="L35" i="199"/>
  <c r="S35" i="199"/>
  <c r="AB35" i="199"/>
  <c r="S36" i="199"/>
  <c r="U36" i="199"/>
  <c r="W36" i="199" s="1"/>
  <c r="D37" i="199"/>
  <c r="F37" i="199" s="1"/>
  <c r="S37" i="199"/>
  <c r="U37" i="199"/>
  <c r="W37" i="199"/>
  <c r="I37" i="199" s="1"/>
  <c r="L37" i="199" s="1"/>
  <c r="D38" i="199"/>
  <c r="F38" i="199" s="1"/>
  <c r="S38" i="199"/>
  <c r="U38" i="199"/>
  <c r="W38" i="199" s="1"/>
  <c r="D39" i="199"/>
  <c r="F39" i="199" s="1"/>
  <c r="I39" i="199"/>
  <c r="L39" i="199" s="1"/>
  <c r="S39" i="199"/>
  <c r="AB39" i="199"/>
  <c r="D40" i="199"/>
  <c r="F40" i="199" s="1"/>
  <c r="I40" i="199"/>
  <c r="L40" i="199" s="1"/>
  <c r="AB40" i="199"/>
  <c r="L41" i="199"/>
  <c r="AB41" i="199"/>
  <c r="L42" i="199"/>
  <c r="AB42" i="199"/>
  <c r="AB43" i="199"/>
  <c r="D44" i="199"/>
  <c r="F44" i="199" s="1"/>
  <c r="U44" i="199" s="1"/>
  <c r="AB45" i="199"/>
  <c r="AB46" i="199"/>
  <c r="T47" i="199"/>
  <c r="AB47" i="199"/>
  <c r="AB48" i="199"/>
  <c r="AB50" i="199"/>
  <c r="C57" i="199"/>
  <c r="D57" i="199"/>
  <c r="E57" i="199"/>
  <c r="G57" i="199"/>
  <c r="H57" i="199"/>
  <c r="J57" i="199"/>
  <c r="K57" i="199"/>
  <c r="M57" i="199"/>
  <c r="N57" i="199"/>
  <c r="O57" i="199"/>
  <c r="P57" i="199"/>
  <c r="Q57" i="199"/>
  <c r="R57" i="199"/>
  <c r="S57" i="199"/>
  <c r="V57" i="199"/>
  <c r="X57" i="199"/>
  <c r="Y57" i="199"/>
  <c r="Z57" i="199"/>
  <c r="AA57" i="199"/>
  <c r="X8" i="198"/>
  <c r="Y8" i="198"/>
  <c r="Z8" i="198"/>
  <c r="AA8" i="198"/>
  <c r="T14" i="198"/>
  <c r="T15" i="198"/>
  <c r="T16" i="198"/>
  <c r="D17" i="198"/>
  <c r="F17" i="198"/>
  <c r="L17" i="198"/>
  <c r="T17" i="198"/>
  <c r="D18" i="198"/>
  <c r="F18" i="198"/>
  <c r="L18" i="198"/>
  <c r="T18" i="198"/>
  <c r="D19" i="198"/>
  <c r="F19" i="198"/>
  <c r="AF19" i="198" s="1"/>
  <c r="AF57" i="198" s="1"/>
  <c r="L19" i="198"/>
  <c r="S19" i="198"/>
  <c r="U19" i="198"/>
  <c r="W19" i="198" s="1"/>
  <c r="AB19" i="198"/>
  <c r="T20" i="198"/>
  <c r="D21" i="198"/>
  <c r="F21" i="198"/>
  <c r="N21" i="198"/>
  <c r="U21" i="198"/>
  <c r="W21" i="198" s="1"/>
  <c r="D22" i="198"/>
  <c r="F22" i="198" s="1"/>
  <c r="U22" i="198"/>
  <c r="W22" i="198" s="1"/>
  <c r="D23" i="198"/>
  <c r="F23" i="198" s="1"/>
  <c r="U23" i="198"/>
  <c r="W23" i="198" s="1"/>
  <c r="I23" i="198" s="1"/>
  <c r="L23" i="198" s="1"/>
  <c r="L24" i="198"/>
  <c r="C57" i="198"/>
  <c r="D57" i="198"/>
  <c r="E57" i="198"/>
  <c r="G57" i="198"/>
  <c r="H57" i="198"/>
  <c r="J57" i="198"/>
  <c r="K57" i="198"/>
  <c r="M57" i="198"/>
  <c r="N57" i="198"/>
  <c r="O57" i="198"/>
  <c r="Q57" i="198"/>
  <c r="R57" i="198"/>
  <c r="S57" i="198"/>
  <c r="U57" i="198"/>
  <c r="V57" i="198"/>
  <c r="X57" i="198"/>
  <c r="Y57" i="198"/>
  <c r="Z57" i="198"/>
  <c r="AA57" i="198"/>
  <c r="AB57" i="198"/>
  <c r="AC57" i="198"/>
  <c r="AD57" i="198"/>
  <c r="AE57" i="198"/>
  <c r="X8" i="206"/>
  <c r="Y8" i="206"/>
  <c r="Z8" i="206"/>
  <c r="AA8" i="206"/>
  <c r="F17" i="206"/>
  <c r="S17" i="206"/>
  <c r="S57" i="206" s="1"/>
  <c r="U17" i="206"/>
  <c r="W17" i="206"/>
  <c r="I17" i="206" s="1"/>
  <c r="F18" i="206"/>
  <c r="S18" i="206"/>
  <c r="U18" i="206"/>
  <c r="W18" i="206" s="1"/>
  <c r="T19" i="206"/>
  <c r="T20" i="206"/>
  <c r="T21" i="206"/>
  <c r="T22" i="206"/>
  <c r="T23" i="206"/>
  <c r="T24" i="206"/>
  <c r="T25" i="206"/>
  <c r="T26" i="206"/>
  <c r="T27" i="206"/>
  <c r="T28" i="206"/>
  <c r="T29" i="206"/>
  <c r="T30" i="206"/>
  <c r="T31" i="206"/>
  <c r="T32" i="206"/>
  <c r="T33" i="206"/>
  <c r="T34" i="206"/>
  <c r="T35" i="206"/>
  <c r="T36" i="206"/>
  <c r="T37" i="206"/>
  <c r="T38" i="206"/>
  <c r="T39" i="206"/>
  <c r="T40" i="206"/>
  <c r="T41" i="206"/>
  <c r="T42" i="206"/>
  <c r="S43" i="206"/>
  <c r="T43" i="206"/>
  <c r="S44" i="206"/>
  <c r="T44" i="206"/>
  <c r="T45" i="206"/>
  <c r="T46" i="206"/>
  <c r="T47" i="206"/>
  <c r="T48" i="206"/>
  <c r="T49" i="206"/>
  <c r="T52" i="206"/>
  <c r="T53" i="206"/>
  <c r="T54" i="206"/>
  <c r="T55" i="206"/>
  <c r="L56" i="206"/>
  <c r="T56" i="206"/>
  <c r="C57" i="206"/>
  <c r="D57" i="206"/>
  <c r="E57" i="206"/>
  <c r="F57" i="206"/>
  <c r="G57" i="206"/>
  <c r="H57" i="206"/>
  <c r="J57" i="206"/>
  <c r="K57" i="206"/>
  <c r="M57" i="206"/>
  <c r="N57" i="206"/>
  <c r="O57" i="206"/>
  <c r="P57" i="206"/>
  <c r="Q57" i="206"/>
  <c r="R57" i="206"/>
  <c r="U57" i="206"/>
  <c r="V57" i="206"/>
  <c r="X57" i="206"/>
  <c r="Y57" i="206"/>
  <c r="Z57" i="206"/>
  <c r="AA57" i="206"/>
  <c r="AB57" i="206"/>
  <c r="X8" i="197"/>
  <c r="Y8" i="197"/>
  <c r="Z8" i="197"/>
  <c r="AA8" i="197"/>
  <c r="C16" i="197"/>
  <c r="D16" i="197"/>
  <c r="F16" i="197" s="1"/>
  <c r="R16" i="197"/>
  <c r="S16" i="197" s="1"/>
  <c r="U16" i="197"/>
  <c r="W16" i="197" s="1"/>
  <c r="R17" i="197"/>
  <c r="C18" i="197"/>
  <c r="D18" i="197"/>
  <c r="F18" i="197"/>
  <c r="I18" i="197" s="1"/>
  <c r="L18" i="197" s="1"/>
  <c r="O18" i="197"/>
  <c r="R18" i="197"/>
  <c r="S18" i="197" s="1"/>
  <c r="U18" i="197"/>
  <c r="W18" i="197" s="1"/>
  <c r="T18" i="197" s="1"/>
  <c r="F19" i="197"/>
  <c r="R19" i="197"/>
  <c r="S19" i="197" s="1"/>
  <c r="C20" i="197"/>
  <c r="D20" i="197"/>
  <c r="F20" i="197"/>
  <c r="R20" i="197"/>
  <c r="U20" i="197"/>
  <c r="W20" i="197" s="1"/>
  <c r="AB20" i="197"/>
  <c r="F22" i="197"/>
  <c r="L22" i="197"/>
  <c r="S22" i="197"/>
  <c r="F23" i="197"/>
  <c r="L23" i="197"/>
  <c r="S23" i="197"/>
  <c r="L24" i="197"/>
  <c r="S24" i="197"/>
  <c r="L25" i="197"/>
  <c r="S25" i="197"/>
  <c r="S27" i="197"/>
  <c r="F33" i="197"/>
  <c r="F34" i="197"/>
  <c r="S54" i="197"/>
  <c r="S55" i="197"/>
  <c r="C57" i="197"/>
  <c r="E57" i="197"/>
  <c r="G57" i="197"/>
  <c r="H57" i="197"/>
  <c r="J57" i="197"/>
  <c r="K57" i="197"/>
  <c r="M57" i="197"/>
  <c r="N57" i="197"/>
  <c r="Q57" i="197"/>
  <c r="U57" i="197"/>
  <c r="V57" i="197"/>
  <c r="X57" i="197"/>
  <c r="Y57" i="197"/>
  <c r="AA57" i="197"/>
  <c r="X8" i="196"/>
  <c r="Y8" i="196"/>
  <c r="Z8" i="196"/>
  <c r="AA8" i="196"/>
  <c r="T14" i="196"/>
  <c r="T15" i="196"/>
  <c r="F16" i="196"/>
  <c r="L16" i="196"/>
  <c r="S16" i="196"/>
  <c r="W16" i="196"/>
  <c r="T16" i="196" s="1"/>
  <c r="D17" i="196"/>
  <c r="F17" i="196" s="1"/>
  <c r="L17" i="196"/>
  <c r="S17" i="196"/>
  <c r="U17" i="196"/>
  <c r="W17" i="196" s="1"/>
  <c r="F18" i="196"/>
  <c r="L18" i="196"/>
  <c r="S18" i="196"/>
  <c r="W18" i="196"/>
  <c r="T18" i="196" s="1"/>
  <c r="AB18" i="196"/>
  <c r="T19" i="196"/>
  <c r="AB19" i="196"/>
  <c r="S20" i="196"/>
  <c r="U20" i="196"/>
  <c r="W20" i="196"/>
  <c r="T20" i="196" s="1"/>
  <c r="F21" i="196"/>
  <c r="L21" i="196"/>
  <c r="S21" i="196"/>
  <c r="T21" i="196"/>
  <c r="W21" i="196"/>
  <c r="F22" i="196"/>
  <c r="L22" i="196"/>
  <c r="S22" i="196"/>
  <c r="W22" i="196"/>
  <c r="T22" i="196" s="1"/>
  <c r="C23" i="196"/>
  <c r="D23" i="196" s="1"/>
  <c r="T23" i="196"/>
  <c r="F24" i="196"/>
  <c r="T24" i="196"/>
  <c r="W24" i="196"/>
  <c r="P25" i="196"/>
  <c r="P57" i="196" s="1"/>
  <c r="F29" i="196"/>
  <c r="I29" i="196"/>
  <c r="L29" i="196" s="1"/>
  <c r="U29" i="196"/>
  <c r="W29" i="196" s="1"/>
  <c r="T29" i="196" s="1"/>
  <c r="AB29" i="196"/>
  <c r="T30" i="196"/>
  <c r="T31" i="196"/>
  <c r="T32" i="196"/>
  <c r="T33" i="196"/>
  <c r="T34" i="196"/>
  <c r="T35" i="196"/>
  <c r="T36" i="196"/>
  <c r="T37" i="196"/>
  <c r="T38" i="196"/>
  <c r="T39" i="196"/>
  <c r="T40" i="196"/>
  <c r="T41" i="196"/>
  <c r="T42" i="196"/>
  <c r="T43" i="196"/>
  <c r="T44" i="196"/>
  <c r="S45" i="196"/>
  <c r="T45" i="196"/>
  <c r="S46" i="196"/>
  <c r="T46" i="196"/>
  <c r="T47" i="196"/>
  <c r="T48" i="196"/>
  <c r="T49" i="196"/>
  <c r="T50" i="196"/>
  <c r="T51" i="196"/>
  <c r="T52" i="196"/>
  <c r="T53" i="196"/>
  <c r="T54" i="196"/>
  <c r="T55" i="196"/>
  <c r="T56" i="196"/>
  <c r="C57" i="196"/>
  <c r="E57" i="196"/>
  <c r="G57" i="196"/>
  <c r="H57" i="196"/>
  <c r="J57" i="196"/>
  <c r="K57" i="196"/>
  <c r="M57" i="196"/>
  <c r="N57" i="196"/>
  <c r="O57" i="196"/>
  <c r="Q57" i="196"/>
  <c r="R57" i="196"/>
  <c r="S57" i="196"/>
  <c r="V57" i="196"/>
  <c r="X57" i="196"/>
  <c r="Y57" i="196"/>
  <c r="Z57" i="196"/>
  <c r="AA57" i="196"/>
  <c r="X8" i="195"/>
  <c r="Y8" i="195"/>
  <c r="Z8" i="195"/>
  <c r="AA8" i="195"/>
  <c r="C17" i="195"/>
  <c r="D17" i="195"/>
  <c r="F17" i="195" s="1"/>
  <c r="C18" i="195"/>
  <c r="D18" i="195" s="1"/>
  <c r="C19" i="195"/>
  <c r="D19" i="195"/>
  <c r="F19" i="195" s="1"/>
  <c r="AB19" i="195" s="1"/>
  <c r="L56" i="195"/>
  <c r="E57" i="195"/>
  <c r="G57" i="195"/>
  <c r="H57" i="195"/>
  <c r="J57" i="195"/>
  <c r="K57" i="195"/>
  <c r="M57" i="195"/>
  <c r="N57" i="195"/>
  <c r="O57" i="195"/>
  <c r="Q57" i="195"/>
  <c r="V57" i="195"/>
  <c r="X57" i="195"/>
  <c r="Y57" i="195"/>
  <c r="AA57" i="195"/>
  <c r="R62" i="195"/>
  <c r="X8" i="194"/>
  <c r="Y8" i="194"/>
  <c r="Z8" i="194"/>
  <c r="AA8" i="194"/>
  <c r="C17" i="194"/>
  <c r="D17" i="194" s="1"/>
  <c r="L56" i="194"/>
  <c r="E57" i="194"/>
  <c r="G57" i="194"/>
  <c r="H57" i="194"/>
  <c r="J57" i="194"/>
  <c r="K57" i="194"/>
  <c r="M57" i="194"/>
  <c r="N57" i="194"/>
  <c r="O57" i="194"/>
  <c r="Q57" i="194"/>
  <c r="S57" i="194"/>
  <c r="V57" i="194"/>
  <c r="X57" i="194"/>
  <c r="Y57" i="194"/>
  <c r="AA57" i="194"/>
  <c r="X8" i="193"/>
  <c r="Y8" i="193"/>
  <c r="Z8" i="193"/>
  <c r="AA8" i="193"/>
  <c r="I16" i="193"/>
  <c r="J16" i="193"/>
  <c r="L16" i="193" s="1"/>
  <c r="P16" i="193"/>
  <c r="R16" i="193"/>
  <c r="S16" i="193" s="1"/>
  <c r="S57" i="193" s="1"/>
  <c r="S17" i="193"/>
  <c r="T17" i="193"/>
  <c r="S18" i="193"/>
  <c r="T18" i="193"/>
  <c r="S19" i="193"/>
  <c r="T19" i="193"/>
  <c r="S20" i="193"/>
  <c r="S21" i="193"/>
  <c r="S22" i="193"/>
  <c r="S23" i="193"/>
  <c r="S24" i="193"/>
  <c r="S25" i="193"/>
  <c r="S26" i="193"/>
  <c r="S27" i="193"/>
  <c r="C57" i="193"/>
  <c r="D57" i="193"/>
  <c r="E57" i="193"/>
  <c r="F57" i="193"/>
  <c r="G57" i="193"/>
  <c r="H57" i="193"/>
  <c r="I57" i="193"/>
  <c r="K57" i="193"/>
  <c r="M57" i="193"/>
  <c r="N57" i="193"/>
  <c r="O57" i="193"/>
  <c r="P57" i="193"/>
  <c r="Q57" i="193"/>
  <c r="R57" i="193"/>
  <c r="U57" i="193"/>
  <c r="V57" i="193"/>
  <c r="W57" i="193"/>
  <c r="X57" i="193"/>
  <c r="Y57" i="193"/>
  <c r="Z57" i="193"/>
  <c r="AA57" i="193"/>
  <c r="AB57" i="193"/>
  <c r="C7" i="192"/>
  <c r="X8" i="192"/>
  <c r="Y8" i="192"/>
  <c r="Z8" i="192"/>
  <c r="AA8" i="192"/>
  <c r="L16" i="192"/>
  <c r="L17" i="192"/>
  <c r="L18" i="192"/>
  <c r="W18" i="192"/>
  <c r="C19" i="192"/>
  <c r="D19" i="192"/>
  <c r="F19" i="192" s="1"/>
  <c r="G19" i="192"/>
  <c r="N19" i="192" s="1"/>
  <c r="N57" i="192" s="1"/>
  <c r="I19" i="192"/>
  <c r="L19" i="192" s="1"/>
  <c r="T19" i="192" s="1"/>
  <c r="P19" i="192"/>
  <c r="L20" i="192"/>
  <c r="C21" i="192"/>
  <c r="D21" i="192"/>
  <c r="F21" i="192" s="1"/>
  <c r="I21" i="192"/>
  <c r="L21" i="192" s="1"/>
  <c r="T21" i="192" s="1"/>
  <c r="P21" i="192"/>
  <c r="L55" i="192"/>
  <c r="W55" i="192"/>
  <c r="L56" i="192"/>
  <c r="C57" i="192"/>
  <c r="D57" i="192"/>
  <c r="J57" i="192"/>
  <c r="K57" i="192"/>
  <c r="M57" i="192"/>
  <c r="O57" i="192"/>
  <c r="R57" i="192"/>
  <c r="S57" i="192"/>
  <c r="W57" i="192"/>
  <c r="X57" i="192"/>
  <c r="Y57" i="192"/>
  <c r="AA57" i="192"/>
  <c r="AB57" i="192"/>
  <c r="X8" i="191"/>
  <c r="Y8" i="191"/>
  <c r="Z8" i="191"/>
  <c r="AA8" i="191"/>
  <c r="D19" i="191"/>
  <c r="F19" i="191" s="1"/>
  <c r="I20" i="191"/>
  <c r="D21" i="191"/>
  <c r="F21" i="191" s="1"/>
  <c r="I22" i="191"/>
  <c r="D23" i="191"/>
  <c r="F23" i="191" s="1"/>
  <c r="U23" i="191"/>
  <c r="AB23" i="191"/>
  <c r="I24" i="191"/>
  <c r="C57" i="191"/>
  <c r="E57" i="191"/>
  <c r="G57" i="191"/>
  <c r="H57" i="191"/>
  <c r="J57" i="191"/>
  <c r="K57" i="191"/>
  <c r="M57" i="191"/>
  <c r="N57" i="191"/>
  <c r="O57" i="191"/>
  <c r="P57" i="191"/>
  <c r="Q57" i="191"/>
  <c r="R57" i="191"/>
  <c r="S57" i="191"/>
  <c r="V57" i="191"/>
  <c r="X57" i="191"/>
  <c r="Y57" i="191"/>
  <c r="Z57" i="191"/>
  <c r="AA57" i="191"/>
  <c r="X8" i="190"/>
  <c r="Y8" i="190"/>
  <c r="Z8" i="190"/>
  <c r="AA8" i="190"/>
  <c r="P14" i="190"/>
  <c r="R14" i="190"/>
  <c r="C20" i="190"/>
  <c r="D20" i="190"/>
  <c r="F20" i="190" s="1"/>
  <c r="S20" i="190"/>
  <c r="S57" i="190" s="1"/>
  <c r="V20" i="190"/>
  <c r="V57" i="190" s="1"/>
  <c r="C57" i="190"/>
  <c r="D57" i="190"/>
  <c r="E57" i="190"/>
  <c r="G57" i="190"/>
  <c r="H57" i="190"/>
  <c r="J57" i="190"/>
  <c r="K57" i="190"/>
  <c r="M57" i="190"/>
  <c r="N57" i="190"/>
  <c r="O57" i="190"/>
  <c r="P57" i="190"/>
  <c r="Q57" i="190"/>
  <c r="R57" i="190"/>
  <c r="X57" i="190"/>
  <c r="Y57" i="190"/>
  <c r="Z57" i="190"/>
  <c r="AA57" i="190"/>
  <c r="X8" i="189"/>
  <c r="Y8" i="189"/>
  <c r="Z8" i="189"/>
  <c r="AA8" i="189"/>
  <c r="C15" i="189"/>
  <c r="F15" i="189"/>
  <c r="W15" i="189"/>
  <c r="D16" i="189"/>
  <c r="C16" i="189" s="1"/>
  <c r="G16" i="189"/>
  <c r="N16" i="189" s="1"/>
  <c r="P16" i="189"/>
  <c r="R16" i="189"/>
  <c r="U16" i="189"/>
  <c r="W16" i="189" s="1"/>
  <c r="I16" i="189" s="1"/>
  <c r="I17" i="189"/>
  <c r="L17" i="189" s="1"/>
  <c r="T17" i="189" s="1"/>
  <c r="N17" i="189"/>
  <c r="P17" i="189"/>
  <c r="S17" i="189" s="1"/>
  <c r="I18" i="189"/>
  <c r="L18" i="189" s="1"/>
  <c r="T18" i="189" s="1"/>
  <c r="N18" i="189"/>
  <c r="P18" i="189"/>
  <c r="S18" i="189" s="1"/>
  <c r="C19" i="189"/>
  <c r="D19" i="189"/>
  <c r="F19" i="189"/>
  <c r="G19" i="189"/>
  <c r="P19" i="189"/>
  <c r="S19" i="189"/>
  <c r="U19" i="189"/>
  <c r="W19" i="189" s="1"/>
  <c r="C20" i="189"/>
  <c r="D20" i="189"/>
  <c r="F20" i="189"/>
  <c r="S20" i="189"/>
  <c r="U20" i="189"/>
  <c r="W20" i="189"/>
  <c r="I20" i="189" s="1"/>
  <c r="C21" i="189"/>
  <c r="F21" i="189"/>
  <c r="W21" i="189"/>
  <c r="C22" i="189"/>
  <c r="F22" i="189"/>
  <c r="W22" i="189"/>
  <c r="C23" i="189"/>
  <c r="F23" i="189"/>
  <c r="W23" i="189"/>
  <c r="C24" i="189"/>
  <c r="F24" i="189"/>
  <c r="S24" i="189"/>
  <c r="W24" i="189"/>
  <c r="C25" i="189"/>
  <c r="F25" i="189"/>
  <c r="S25" i="189"/>
  <c r="W25" i="189"/>
  <c r="C26" i="189"/>
  <c r="F26" i="189"/>
  <c r="W26" i="189"/>
  <c r="C27" i="189"/>
  <c r="F27" i="189"/>
  <c r="W27" i="189"/>
  <c r="C28" i="189"/>
  <c r="F28" i="189"/>
  <c r="W28" i="189"/>
  <c r="C29" i="189"/>
  <c r="F29" i="189"/>
  <c r="W29" i="189"/>
  <c r="C30" i="189"/>
  <c r="F30" i="189"/>
  <c r="W30" i="189"/>
  <c r="C31" i="189"/>
  <c r="F31" i="189"/>
  <c r="W31" i="189"/>
  <c r="C32" i="189"/>
  <c r="F32" i="189"/>
  <c r="W32" i="189"/>
  <c r="C33" i="189"/>
  <c r="F33" i="189"/>
  <c r="W33" i="189"/>
  <c r="C34" i="189"/>
  <c r="F34" i="189"/>
  <c r="W34" i="189"/>
  <c r="C35" i="189"/>
  <c r="F35" i="189"/>
  <c r="W35" i="189"/>
  <c r="C36" i="189"/>
  <c r="F36" i="189"/>
  <c r="W36" i="189"/>
  <c r="C37" i="189"/>
  <c r="F37" i="189"/>
  <c r="W37" i="189"/>
  <c r="C45" i="189"/>
  <c r="F45" i="189"/>
  <c r="W45" i="189"/>
  <c r="C46" i="189"/>
  <c r="F46" i="189"/>
  <c r="W46" i="189"/>
  <c r="C47" i="189"/>
  <c r="F47" i="189"/>
  <c r="W47" i="189"/>
  <c r="C48" i="189"/>
  <c r="F48" i="189"/>
  <c r="W48" i="189"/>
  <c r="C49" i="189"/>
  <c r="F49" i="189"/>
  <c r="W49" i="189"/>
  <c r="C50" i="189"/>
  <c r="F50" i="189"/>
  <c r="W50" i="189"/>
  <c r="C51" i="189"/>
  <c r="F51" i="189"/>
  <c r="W51" i="189"/>
  <c r="C52" i="189"/>
  <c r="F52" i="189"/>
  <c r="W52" i="189"/>
  <c r="C53" i="189"/>
  <c r="F53" i="189"/>
  <c r="W53" i="189"/>
  <c r="C55" i="189"/>
  <c r="F55" i="189"/>
  <c r="W55" i="189"/>
  <c r="C56" i="189"/>
  <c r="F56" i="189"/>
  <c r="W56" i="189"/>
  <c r="D57" i="189"/>
  <c r="E57" i="189"/>
  <c r="H57" i="189"/>
  <c r="K57" i="189"/>
  <c r="M57" i="189"/>
  <c r="O57" i="189"/>
  <c r="Q57" i="189"/>
  <c r="R57" i="189"/>
  <c r="U57" i="189"/>
  <c r="V57" i="189"/>
  <c r="X57" i="189"/>
  <c r="Y57" i="189"/>
  <c r="Z57" i="189"/>
  <c r="AA57" i="189"/>
  <c r="AB57" i="189"/>
  <c r="I7" i="188"/>
  <c r="X8" i="188"/>
  <c r="Y8" i="188"/>
  <c r="Z8" i="188"/>
  <c r="AA8" i="188"/>
  <c r="C15" i="188"/>
  <c r="F15" i="188"/>
  <c r="W15" i="188"/>
  <c r="D16" i="188"/>
  <c r="C16" i="188" s="1"/>
  <c r="F16" i="188"/>
  <c r="R16" i="188"/>
  <c r="U16" i="188"/>
  <c r="W16" i="188" s="1"/>
  <c r="I17" i="188"/>
  <c r="L17" i="188" s="1"/>
  <c r="T17" i="188" s="1"/>
  <c r="P17" i="188"/>
  <c r="S17" i="188" s="1"/>
  <c r="I18" i="188"/>
  <c r="L18" i="188" s="1"/>
  <c r="T18" i="188" s="1"/>
  <c r="P18" i="188"/>
  <c r="S18" i="188" s="1"/>
  <c r="D19" i="188"/>
  <c r="C19" i="188" s="1"/>
  <c r="G19" i="188"/>
  <c r="N19" i="188" s="1"/>
  <c r="U19" i="188"/>
  <c r="W19" i="188" s="1"/>
  <c r="P19" i="188" s="1"/>
  <c r="S19" i="188" s="1"/>
  <c r="D20" i="188"/>
  <c r="C20" i="188" s="1"/>
  <c r="G20" i="188"/>
  <c r="N20" i="188"/>
  <c r="U20" i="188"/>
  <c r="W20" i="188" s="1"/>
  <c r="C21" i="188"/>
  <c r="F21" i="188"/>
  <c r="W21" i="188"/>
  <c r="C22" i="188"/>
  <c r="F22" i="188"/>
  <c r="W22" i="188"/>
  <c r="C23" i="188"/>
  <c r="F23" i="188"/>
  <c r="W23" i="188"/>
  <c r="C24" i="188"/>
  <c r="F24" i="188"/>
  <c r="S24" i="188"/>
  <c r="W24" i="188"/>
  <c r="C25" i="188"/>
  <c r="F25" i="188"/>
  <c r="S25" i="188"/>
  <c r="W25" i="188"/>
  <c r="C26" i="188"/>
  <c r="F26" i="188"/>
  <c r="W26" i="188"/>
  <c r="C27" i="188"/>
  <c r="F27" i="188"/>
  <c r="W27" i="188"/>
  <c r="C28" i="188"/>
  <c r="F28" i="188"/>
  <c r="W28" i="188"/>
  <c r="C29" i="188"/>
  <c r="F29" i="188"/>
  <c r="W29" i="188"/>
  <c r="C30" i="188"/>
  <c r="F30" i="188"/>
  <c r="W30" i="188"/>
  <c r="C31" i="188"/>
  <c r="F31" i="188"/>
  <c r="W31" i="188"/>
  <c r="C32" i="188"/>
  <c r="F32" i="188"/>
  <c r="W32" i="188"/>
  <c r="C33" i="188"/>
  <c r="F33" i="188"/>
  <c r="W33" i="188"/>
  <c r="C34" i="188"/>
  <c r="F34" i="188"/>
  <c r="W34" i="188"/>
  <c r="C35" i="188"/>
  <c r="F35" i="188"/>
  <c r="W35" i="188"/>
  <c r="C36" i="188"/>
  <c r="F36" i="188"/>
  <c r="W36" i="188"/>
  <c r="C37" i="188"/>
  <c r="F37" i="188"/>
  <c r="W37" i="188"/>
  <c r="C46" i="188"/>
  <c r="F46" i="188"/>
  <c r="W46" i="188"/>
  <c r="C47" i="188"/>
  <c r="F47" i="188"/>
  <c r="W47" i="188"/>
  <c r="C48" i="188"/>
  <c r="F48" i="188"/>
  <c r="W48" i="188"/>
  <c r="C49" i="188"/>
  <c r="F49" i="188"/>
  <c r="W49" i="188"/>
  <c r="C50" i="188"/>
  <c r="F50" i="188"/>
  <c r="W50" i="188"/>
  <c r="C51" i="188"/>
  <c r="F51" i="188"/>
  <c r="W51" i="188"/>
  <c r="C52" i="188"/>
  <c r="F52" i="188"/>
  <c r="W52" i="188"/>
  <c r="C53" i="188"/>
  <c r="F53" i="188"/>
  <c r="W53" i="188"/>
  <c r="C54" i="188"/>
  <c r="F54" i="188"/>
  <c r="W54" i="188"/>
  <c r="C55" i="188"/>
  <c r="F55" i="188"/>
  <c r="W55" i="188"/>
  <c r="C56" i="188"/>
  <c r="F56" i="188"/>
  <c r="W56" i="188"/>
  <c r="D57" i="188"/>
  <c r="E57" i="188"/>
  <c r="G57" i="188"/>
  <c r="H57" i="188"/>
  <c r="K57" i="188"/>
  <c r="M57" i="188"/>
  <c r="O57" i="188"/>
  <c r="Q57" i="188"/>
  <c r="R57" i="188"/>
  <c r="V57" i="188"/>
  <c r="X57" i="188"/>
  <c r="Y57" i="188"/>
  <c r="AA57" i="188"/>
  <c r="AB57" i="188"/>
  <c r="X8" i="187"/>
  <c r="Y8" i="187"/>
  <c r="Z8" i="187"/>
  <c r="AA8" i="187"/>
  <c r="AL8" i="187"/>
  <c r="AM8" i="187"/>
  <c r="T14" i="187"/>
  <c r="T15" i="187"/>
  <c r="F16" i="187"/>
  <c r="L16" i="187"/>
  <c r="S16" i="187"/>
  <c r="T16" i="187"/>
  <c r="W16" i="187"/>
  <c r="C17" i="187"/>
  <c r="D17" i="187" s="1"/>
  <c r="W17" i="187"/>
  <c r="C18" i="187"/>
  <c r="D18" i="187" s="1"/>
  <c r="G18" i="187"/>
  <c r="N18" i="187" s="1"/>
  <c r="N57" i="187" s="1"/>
  <c r="W18" i="187"/>
  <c r="I18" i="187" s="1"/>
  <c r="L18" i="187" s="1"/>
  <c r="C19" i="187"/>
  <c r="D19" i="187" s="1"/>
  <c r="F19" i="187" s="1"/>
  <c r="S19" i="187"/>
  <c r="W19" i="187"/>
  <c r="I19" i="187" s="1"/>
  <c r="S20" i="187"/>
  <c r="U20" i="187"/>
  <c r="W20" i="187" s="1"/>
  <c r="F21" i="187"/>
  <c r="S21" i="187"/>
  <c r="W21" i="187"/>
  <c r="T21" i="187" s="1"/>
  <c r="F22" i="187"/>
  <c r="S22" i="187"/>
  <c r="W22" i="187"/>
  <c r="T22" i="187" s="1"/>
  <c r="D23" i="187"/>
  <c r="F23" i="187" s="1"/>
  <c r="T23" i="187"/>
  <c r="T24" i="187"/>
  <c r="D25" i="187"/>
  <c r="F25" i="187" s="1"/>
  <c r="S25" i="187"/>
  <c r="W25" i="187"/>
  <c r="T25" i="187" s="1"/>
  <c r="F26" i="187"/>
  <c r="W26" i="187"/>
  <c r="T26" i="187" s="1"/>
  <c r="D27" i="187"/>
  <c r="F27" i="187"/>
  <c r="I27" i="187" s="1"/>
  <c r="W27" i="187"/>
  <c r="F28" i="187"/>
  <c r="W28" i="187"/>
  <c r="T28" i="187" s="1"/>
  <c r="T29" i="187"/>
  <c r="T30" i="187"/>
  <c r="T31" i="187"/>
  <c r="T32" i="187"/>
  <c r="T33" i="187"/>
  <c r="T34" i="187"/>
  <c r="T35" i="187"/>
  <c r="T36" i="187"/>
  <c r="T37" i="187"/>
  <c r="T38" i="187"/>
  <c r="T39" i="187"/>
  <c r="T40" i="187"/>
  <c r="T41" i="187"/>
  <c r="T42" i="187"/>
  <c r="T43" i="187"/>
  <c r="T44" i="187"/>
  <c r="S45" i="187"/>
  <c r="T45" i="187"/>
  <c r="S46" i="187"/>
  <c r="T46" i="187"/>
  <c r="T47" i="187"/>
  <c r="T48" i="187"/>
  <c r="T49" i="187"/>
  <c r="T50" i="187"/>
  <c r="T51" i="187"/>
  <c r="T52" i="187"/>
  <c r="T53" i="187"/>
  <c r="T54" i="187"/>
  <c r="T55" i="187"/>
  <c r="L56" i="187"/>
  <c r="T56" i="187" s="1"/>
  <c r="C57" i="187"/>
  <c r="E57" i="187"/>
  <c r="G57" i="187"/>
  <c r="H57" i="187"/>
  <c r="K57" i="187"/>
  <c r="M57" i="187"/>
  <c r="Q57" i="187"/>
  <c r="U57" i="187"/>
  <c r="V57" i="187"/>
  <c r="X57" i="187"/>
  <c r="Y57" i="187"/>
  <c r="AA57" i="187"/>
  <c r="AB57" i="187"/>
  <c r="AL57" i="187"/>
  <c r="AM57" i="187"/>
  <c r="X9" i="186"/>
  <c r="Y9" i="186"/>
  <c r="Z9" i="186"/>
  <c r="AA9" i="186"/>
  <c r="F17" i="186"/>
  <c r="L17" i="186"/>
  <c r="S17" i="186"/>
  <c r="D19" i="186"/>
  <c r="F19" i="186" s="1"/>
  <c r="C19" i="186" s="1"/>
  <c r="D20" i="186"/>
  <c r="F20" i="186" s="1"/>
  <c r="D21" i="186"/>
  <c r="F21" i="186" s="1"/>
  <c r="C21" i="186" s="1"/>
  <c r="C22" i="186"/>
  <c r="D23" i="186"/>
  <c r="F23" i="186" s="1"/>
  <c r="C23" i="186" s="1"/>
  <c r="D24" i="186"/>
  <c r="F24" i="186" s="1"/>
  <c r="C24" i="186" s="1"/>
  <c r="L24" i="186"/>
  <c r="F25" i="186"/>
  <c r="C25" i="186" s="1"/>
  <c r="D26" i="186"/>
  <c r="F26" i="186" s="1"/>
  <c r="C26" i="186" s="1"/>
  <c r="D27" i="186"/>
  <c r="F27" i="186"/>
  <c r="C27" i="186" s="1"/>
  <c r="D28" i="186"/>
  <c r="F28" i="186" s="1"/>
  <c r="C28" i="186" s="1"/>
  <c r="C29" i="186"/>
  <c r="F29" i="186"/>
  <c r="D30" i="186"/>
  <c r="F30" i="186" s="1"/>
  <c r="C30" i="186" s="1"/>
  <c r="D31" i="186"/>
  <c r="F31" i="186" s="1"/>
  <c r="C31" i="186" s="1"/>
  <c r="F32" i="186"/>
  <c r="C32" i="186" s="1"/>
  <c r="D33" i="186"/>
  <c r="F33" i="186"/>
  <c r="C33" i="186" s="1"/>
  <c r="D34" i="186"/>
  <c r="F34" i="186" s="1"/>
  <c r="C34" i="186" s="1"/>
  <c r="D35" i="186"/>
  <c r="F35" i="186" s="1"/>
  <c r="C35" i="186" s="1"/>
  <c r="L54" i="186"/>
  <c r="S54" i="186"/>
  <c r="L56" i="186"/>
  <c r="S56" i="186"/>
  <c r="D57" i="186"/>
  <c r="E57" i="186"/>
  <c r="G57" i="186"/>
  <c r="H57" i="186"/>
  <c r="J57" i="186"/>
  <c r="K57" i="186"/>
  <c r="M57" i="186"/>
  <c r="N57" i="186"/>
  <c r="O57" i="186"/>
  <c r="P57" i="186"/>
  <c r="Q57" i="186"/>
  <c r="R57" i="186"/>
  <c r="S57" i="186"/>
  <c r="V57" i="186"/>
  <c r="X57" i="186"/>
  <c r="Y57" i="186"/>
  <c r="Z57" i="186"/>
  <c r="AA57" i="186"/>
  <c r="AB57" i="186"/>
  <c r="P61" i="186"/>
  <c r="N7" i="185"/>
  <c r="X8" i="185"/>
  <c r="Y8" i="185"/>
  <c r="Z8" i="185"/>
  <c r="AA8" i="185"/>
  <c r="AM8" i="185"/>
  <c r="AN8" i="185"/>
  <c r="T14" i="185"/>
  <c r="T15" i="185"/>
  <c r="F16" i="185"/>
  <c r="L16" i="185"/>
  <c r="P16" i="185"/>
  <c r="R16" i="185"/>
  <c r="S16" i="185"/>
  <c r="W16" i="185"/>
  <c r="T16" i="185" s="1"/>
  <c r="D17" i="185"/>
  <c r="F17" i="185" s="1"/>
  <c r="G17" i="185"/>
  <c r="N17" i="185"/>
  <c r="N57" i="185" s="1"/>
  <c r="R57" i="185"/>
  <c r="W17" i="185"/>
  <c r="I17" i="185" s="1"/>
  <c r="I18" i="185"/>
  <c r="S18" i="185"/>
  <c r="D19" i="185"/>
  <c r="F19" i="185"/>
  <c r="G19" i="185"/>
  <c r="P19" i="185"/>
  <c r="R19" i="185"/>
  <c r="S19" i="185" s="1"/>
  <c r="W19" i="185"/>
  <c r="S20" i="185"/>
  <c r="D21" i="185"/>
  <c r="F21" i="185" s="1"/>
  <c r="L21" i="185"/>
  <c r="S21" i="185"/>
  <c r="W21" i="185"/>
  <c r="T21" i="185" s="1"/>
  <c r="P22" i="185"/>
  <c r="S22" i="185" s="1"/>
  <c r="U22" i="185"/>
  <c r="W22" i="185" s="1"/>
  <c r="F46" i="185"/>
  <c r="P46" i="185"/>
  <c r="S46" i="185" s="1"/>
  <c r="T46" i="185"/>
  <c r="W46" i="185"/>
  <c r="F47" i="185"/>
  <c r="P47" i="185"/>
  <c r="R47" i="185"/>
  <c r="S47" i="185" s="1"/>
  <c r="W47" i="185"/>
  <c r="T47" i="185" s="1"/>
  <c r="S48" i="185"/>
  <c r="T48" i="185"/>
  <c r="T49" i="185"/>
  <c r="T50" i="185"/>
  <c r="T51" i="185"/>
  <c r="T52" i="185"/>
  <c r="T53" i="185"/>
  <c r="T55" i="185"/>
  <c r="L56" i="185"/>
  <c r="T56" i="185" s="1"/>
  <c r="P56" i="185"/>
  <c r="R56" i="185"/>
  <c r="C57" i="185"/>
  <c r="E57" i="185"/>
  <c r="G57" i="185"/>
  <c r="H57" i="185"/>
  <c r="K57" i="185"/>
  <c r="M57" i="185"/>
  <c r="O57" i="185"/>
  <c r="Q57" i="185"/>
  <c r="U57" i="185"/>
  <c r="V57" i="185"/>
  <c r="X57" i="185"/>
  <c r="Y57" i="185"/>
  <c r="Z57" i="185"/>
  <c r="AA57" i="185"/>
  <c r="AB57" i="185"/>
  <c r="AM57" i="185"/>
  <c r="AN57" i="185"/>
  <c r="X8" i="184"/>
  <c r="Y8" i="184"/>
  <c r="Z8" i="184"/>
  <c r="AA8" i="184"/>
  <c r="R19" i="184"/>
  <c r="S19" i="184" s="1"/>
  <c r="W19" i="184"/>
  <c r="W57" i="184" s="1"/>
  <c r="R20" i="184"/>
  <c r="S20" i="184" s="1"/>
  <c r="W20" i="184"/>
  <c r="I20" i="184" s="1"/>
  <c r="L20" i="184" s="1"/>
  <c r="T20" i="184" s="1"/>
  <c r="D21" i="184"/>
  <c r="W21" i="184"/>
  <c r="I21" i="184" s="1"/>
  <c r="C57" i="184"/>
  <c r="D57" i="184"/>
  <c r="E57" i="184"/>
  <c r="F57" i="184"/>
  <c r="G57" i="184"/>
  <c r="H57" i="184"/>
  <c r="J57" i="184"/>
  <c r="K57" i="184"/>
  <c r="M57" i="184"/>
  <c r="N57" i="184"/>
  <c r="O57" i="184"/>
  <c r="P57" i="184"/>
  <c r="Q57" i="184"/>
  <c r="R57" i="184"/>
  <c r="U57" i="184"/>
  <c r="V57" i="184"/>
  <c r="X57" i="184"/>
  <c r="Y57" i="184"/>
  <c r="Z57" i="184"/>
  <c r="AA57" i="184"/>
  <c r="AB57" i="184"/>
  <c r="X8" i="183"/>
  <c r="Y8" i="183"/>
  <c r="Z8" i="183"/>
  <c r="AA8" i="183"/>
  <c r="C15" i="183"/>
  <c r="F15" i="183"/>
  <c r="W15" i="183"/>
  <c r="D16" i="183"/>
  <c r="C16" i="183" s="1"/>
  <c r="F16" i="183"/>
  <c r="G16" i="183"/>
  <c r="N16" i="183"/>
  <c r="P16" i="183"/>
  <c r="S16" i="183"/>
  <c r="S57" i="183" s="1"/>
  <c r="U16" i="183"/>
  <c r="W16" i="183" s="1"/>
  <c r="I17" i="183"/>
  <c r="L17" i="183" s="1"/>
  <c r="T17" i="183" s="1"/>
  <c r="N17" i="183"/>
  <c r="I18" i="183"/>
  <c r="L18" i="183" s="1"/>
  <c r="T18" i="183" s="1"/>
  <c r="N18" i="183"/>
  <c r="D19" i="183"/>
  <c r="C19" i="183" s="1"/>
  <c r="G19" i="183"/>
  <c r="N19" i="183" s="1"/>
  <c r="U19" i="183"/>
  <c r="W19" i="183" s="1"/>
  <c r="D20" i="183"/>
  <c r="C20" i="183" s="1"/>
  <c r="G20" i="183"/>
  <c r="N20" i="183" s="1"/>
  <c r="U20" i="183"/>
  <c r="W20" i="183" s="1"/>
  <c r="C21" i="183"/>
  <c r="F21" i="183"/>
  <c r="W21" i="183"/>
  <c r="C22" i="183"/>
  <c r="F22" i="183"/>
  <c r="W22" i="183"/>
  <c r="C23" i="183"/>
  <c r="F23" i="183"/>
  <c r="W23" i="183"/>
  <c r="C24" i="183"/>
  <c r="F24" i="183"/>
  <c r="S24" i="183"/>
  <c r="W24" i="183"/>
  <c r="C25" i="183"/>
  <c r="F25" i="183"/>
  <c r="S25" i="183"/>
  <c r="W25" i="183"/>
  <c r="C26" i="183"/>
  <c r="F26" i="183"/>
  <c r="W26" i="183"/>
  <c r="C27" i="183"/>
  <c r="F27" i="183"/>
  <c r="W27" i="183"/>
  <c r="C28" i="183"/>
  <c r="F28" i="183"/>
  <c r="W28" i="183"/>
  <c r="C29" i="183"/>
  <c r="F29" i="183"/>
  <c r="W29" i="183"/>
  <c r="C30" i="183"/>
  <c r="F30" i="183"/>
  <c r="W30" i="183"/>
  <c r="C31" i="183"/>
  <c r="F31" i="183"/>
  <c r="W31" i="183"/>
  <c r="C32" i="183"/>
  <c r="F32" i="183"/>
  <c r="W32" i="183"/>
  <c r="C33" i="183"/>
  <c r="F33" i="183"/>
  <c r="W33" i="183"/>
  <c r="C34" i="183"/>
  <c r="F34" i="183"/>
  <c r="W34" i="183"/>
  <c r="C35" i="183"/>
  <c r="F35" i="183"/>
  <c r="W35" i="183"/>
  <c r="C36" i="183"/>
  <c r="F36" i="183"/>
  <c r="W36" i="183"/>
  <c r="C37" i="183"/>
  <c r="F37" i="183"/>
  <c r="W37" i="183"/>
  <c r="C38" i="183"/>
  <c r="F38" i="183"/>
  <c r="W38" i="183"/>
  <c r="C45" i="183"/>
  <c r="F45" i="183"/>
  <c r="W45" i="183"/>
  <c r="C46" i="183"/>
  <c r="F46" i="183"/>
  <c r="W46" i="183"/>
  <c r="C47" i="183"/>
  <c r="F47" i="183"/>
  <c r="W47" i="183"/>
  <c r="C48" i="183"/>
  <c r="F48" i="183"/>
  <c r="W48" i="183"/>
  <c r="C49" i="183"/>
  <c r="F49" i="183"/>
  <c r="W49" i="183"/>
  <c r="C52" i="183"/>
  <c r="F52" i="183"/>
  <c r="W52" i="183"/>
  <c r="C53" i="183"/>
  <c r="F53" i="183"/>
  <c r="W53" i="183"/>
  <c r="C54" i="183"/>
  <c r="F54" i="183"/>
  <c r="W54" i="183"/>
  <c r="C55" i="183"/>
  <c r="F55" i="183"/>
  <c r="W55" i="183"/>
  <c r="C56" i="183"/>
  <c r="F56" i="183"/>
  <c r="W56" i="183"/>
  <c r="D57" i="183"/>
  <c r="E57" i="183"/>
  <c r="G57" i="183"/>
  <c r="H57" i="183"/>
  <c r="K57" i="183"/>
  <c r="M57" i="183"/>
  <c r="O57" i="183"/>
  <c r="Q57" i="183"/>
  <c r="R57" i="183"/>
  <c r="U57" i="183"/>
  <c r="V57" i="183"/>
  <c r="X57" i="183"/>
  <c r="Y57" i="183"/>
  <c r="Z57" i="183"/>
  <c r="AA57" i="183"/>
  <c r="AB57" i="183"/>
  <c r="X8" i="182"/>
  <c r="Y8" i="182"/>
  <c r="Z8" i="182"/>
  <c r="AA8" i="182"/>
  <c r="C15" i="182"/>
  <c r="F15" i="182"/>
  <c r="W15" i="182"/>
  <c r="D16" i="182"/>
  <c r="C16" i="182" s="1"/>
  <c r="N16" i="182"/>
  <c r="U16" i="182"/>
  <c r="P16" i="182" s="1"/>
  <c r="I17" i="182"/>
  <c r="L17" i="182" s="1"/>
  <c r="T17" i="182" s="1"/>
  <c r="P17" i="182"/>
  <c r="S17" i="182" s="1"/>
  <c r="I18" i="182"/>
  <c r="L18" i="182" s="1"/>
  <c r="T18" i="182" s="1"/>
  <c r="P18" i="182"/>
  <c r="S18" i="182" s="1"/>
  <c r="C19" i="182"/>
  <c r="D19" i="182"/>
  <c r="F19" i="182"/>
  <c r="N19" i="182"/>
  <c r="P19" i="182"/>
  <c r="S19" i="182" s="1"/>
  <c r="U19" i="182"/>
  <c r="W19" i="182"/>
  <c r="I19" i="182" s="1"/>
  <c r="L19" i="182" s="1"/>
  <c r="D20" i="182"/>
  <c r="C20" i="182" s="1"/>
  <c r="G20" i="182"/>
  <c r="N20" i="182" s="1"/>
  <c r="U20" i="182"/>
  <c r="W20" i="182" s="1"/>
  <c r="C21" i="182"/>
  <c r="F21" i="182"/>
  <c r="W21" i="182"/>
  <c r="C22" i="182"/>
  <c r="F22" i="182"/>
  <c r="W22" i="182"/>
  <c r="C23" i="182"/>
  <c r="F23" i="182"/>
  <c r="W23" i="182"/>
  <c r="C24" i="182"/>
  <c r="F24" i="182"/>
  <c r="S24" i="182"/>
  <c r="W24" i="182"/>
  <c r="C25" i="182"/>
  <c r="F25" i="182"/>
  <c r="S25" i="182"/>
  <c r="W25" i="182"/>
  <c r="C26" i="182"/>
  <c r="F26" i="182"/>
  <c r="W26" i="182"/>
  <c r="C27" i="182"/>
  <c r="F27" i="182"/>
  <c r="W27" i="182"/>
  <c r="C28" i="182"/>
  <c r="F28" i="182"/>
  <c r="W28" i="182"/>
  <c r="C29" i="182"/>
  <c r="F29" i="182"/>
  <c r="W29" i="182"/>
  <c r="C30" i="182"/>
  <c r="F30" i="182"/>
  <c r="W30" i="182"/>
  <c r="C31" i="182"/>
  <c r="F31" i="182"/>
  <c r="W31" i="182"/>
  <c r="C32" i="182"/>
  <c r="F32" i="182"/>
  <c r="W32" i="182"/>
  <c r="C33" i="182"/>
  <c r="F33" i="182"/>
  <c r="W33" i="182"/>
  <c r="C34" i="182"/>
  <c r="F34" i="182"/>
  <c r="W34" i="182"/>
  <c r="C40" i="182"/>
  <c r="F40" i="182"/>
  <c r="W40" i="182"/>
  <c r="C41" i="182"/>
  <c r="F41" i="182"/>
  <c r="W41" i="182"/>
  <c r="C42" i="182"/>
  <c r="F42" i="182"/>
  <c r="W42" i="182"/>
  <c r="C43" i="182"/>
  <c r="F43" i="182"/>
  <c r="W43" i="182"/>
  <c r="C44" i="182"/>
  <c r="F44" i="182"/>
  <c r="W44" i="182"/>
  <c r="C45" i="182"/>
  <c r="F45" i="182"/>
  <c r="W45" i="182"/>
  <c r="C49" i="182"/>
  <c r="F49" i="182"/>
  <c r="W49" i="182"/>
  <c r="C50" i="182"/>
  <c r="F50" i="182"/>
  <c r="W50" i="182"/>
  <c r="C51" i="182"/>
  <c r="F51" i="182"/>
  <c r="W51" i="182"/>
  <c r="C52" i="182"/>
  <c r="F52" i="182"/>
  <c r="W52" i="182"/>
  <c r="C53" i="182"/>
  <c r="F53" i="182"/>
  <c r="W53" i="182"/>
  <c r="C54" i="182"/>
  <c r="F54" i="182"/>
  <c r="W54" i="182"/>
  <c r="C55" i="182"/>
  <c r="F55" i="182"/>
  <c r="W55" i="182"/>
  <c r="C56" i="182"/>
  <c r="F56" i="182"/>
  <c r="W56" i="182"/>
  <c r="D57" i="182"/>
  <c r="E57" i="182"/>
  <c r="H57" i="182"/>
  <c r="K57" i="182"/>
  <c r="M57" i="182"/>
  <c r="O57" i="182"/>
  <c r="Q57" i="182"/>
  <c r="R57" i="182"/>
  <c r="V57" i="182"/>
  <c r="X57" i="182"/>
  <c r="Y57" i="182"/>
  <c r="Z57" i="182"/>
  <c r="AA57" i="182"/>
  <c r="AB57" i="182"/>
  <c r="X8" i="181"/>
  <c r="Y8" i="181"/>
  <c r="Z8" i="181"/>
  <c r="AA8" i="181"/>
  <c r="C15" i="181"/>
  <c r="F15" i="181"/>
  <c r="W15" i="181"/>
  <c r="D16" i="181"/>
  <c r="C16" i="181" s="1"/>
  <c r="N16" i="181"/>
  <c r="U16" i="181"/>
  <c r="W16" i="181" s="1"/>
  <c r="L17" i="181"/>
  <c r="T17" i="181" s="1"/>
  <c r="L18" i="181"/>
  <c r="T18" i="181" s="1"/>
  <c r="D19" i="181"/>
  <c r="C19" i="181" s="1"/>
  <c r="U19" i="181"/>
  <c r="D20" i="181"/>
  <c r="C20" i="181" s="1"/>
  <c r="L20" i="181"/>
  <c r="U20" i="181"/>
  <c r="W20" i="181" s="1"/>
  <c r="T20" i="181" s="1"/>
  <c r="C21" i="181"/>
  <c r="F21" i="181"/>
  <c r="W21" i="181"/>
  <c r="C22" i="181"/>
  <c r="F22" i="181"/>
  <c r="W22" i="181"/>
  <c r="C23" i="181"/>
  <c r="F23" i="181"/>
  <c r="W23" i="181"/>
  <c r="C24" i="181"/>
  <c r="F24" i="181"/>
  <c r="S24" i="181"/>
  <c r="W24" i="181"/>
  <c r="C25" i="181"/>
  <c r="F25" i="181"/>
  <c r="S25" i="181"/>
  <c r="W25" i="181"/>
  <c r="C26" i="181"/>
  <c r="F26" i="181"/>
  <c r="W26" i="181"/>
  <c r="C27" i="181"/>
  <c r="F27" i="181"/>
  <c r="W27" i="181"/>
  <c r="C28" i="181"/>
  <c r="F28" i="181"/>
  <c r="W28" i="181"/>
  <c r="C29" i="181"/>
  <c r="F29" i="181"/>
  <c r="W29" i="181"/>
  <c r="C30" i="181"/>
  <c r="F30" i="181"/>
  <c r="W30" i="181"/>
  <c r="C31" i="181"/>
  <c r="F31" i="181"/>
  <c r="W31" i="181"/>
  <c r="C32" i="181"/>
  <c r="F32" i="181"/>
  <c r="W32" i="181"/>
  <c r="C33" i="181"/>
  <c r="F33" i="181"/>
  <c r="W33" i="181"/>
  <c r="C34" i="181"/>
  <c r="F34" i="181"/>
  <c r="W34" i="181"/>
  <c r="C42" i="181"/>
  <c r="F42" i="181"/>
  <c r="W42" i="181"/>
  <c r="C43" i="181"/>
  <c r="F43" i="181"/>
  <c r="W43" i="181"/>
  <c r="C44" i="181"/>
  <c r="F44" i="181"/>
  <c r="W44" i="181"/>
  <c r="C45" i="181"/>
  <c r="F45" i="181"/>
  <c r="W45" i="181"/>
  <c r="C46" i="181"/>
  <c r="F46" i="181"/>
  <c r="W46" i="181"/>
  <c r="C47" i="181"/>
  <c r="F47" i="181"/>
  <c r="W47" i="181"/>
  <c r="C48" i="181"/>
  <c r="F48" i="181"/>
  <c r="W48" i="181"/>
  <c r="C49" i="181"/>
  <c r="F49" i="181"/>
  <c r="W49" i="181"/>
  <c r="C50" i="181"/>
  <c r="F50" i="181"/>
  <c r="W50" i="181"/>
  <c r="C51" i="181"/>
  <c r="F51" i="181"/>
  <c r="W51" i="181"/>
  <c r="C52" i="181"/>
  <c r="F52" i="181"/>
  <c r="C53" i="181"/>
  <c r="F53" i="181"/>
  <c r="W53" i="181"/>
  <c r="C55" i="181"/>
  <c r="F55" i="181"/>
  <c r="W55" i="181"/>
  <c r="C56" i="181"/>
  <c r="F56" i="181"/>
  <c r="W56" i="181"/>
  <c r="D57" i="181"/>
  <c r="E57" i="181"/>
  <c r="G57" i="181"/>
  <c r="H57" i="181"/>
  <c r="K57" i="181"/>
  <c r="M57" i="181"/>
  <c r="N57" i="181"/>
  <c r="O57" i="181"/>
  <c r="Q57" i="181"/>
  <c r="R57" i="181"/>
  <c r="U57" i="181"/>
  <c r="V57" i="181"/>
  <c r="X57" i="181"/>
  <c r="Y57" i="181"/>
  <c r="Z57" i="181"/>
  <c r="AA57" i="181"/>
  <c r="AB57" i="181"/>
  <c r="X8" i="180"/>
  <c r="Y8" i="180"/>
  <c r="Z8" i="180"/>
  <c r="AA8" i="180"/>
  <c r="C15" i="180"/>
  <c r="F15" i="180"/>
  <c r="W15" i="180"/>
  <c r="C16" i="180"/>
  <c r="C57" i="180" s="1"/>
  <c r="F16" i="180"/>
  <c r="N16" i="180"/>
  <c r="P16" i="180"/>
  <c r="O16" i="180" s="1"/>
  <c r="W16" i="180"/>
  <c r="W57" i="180" s="1"/>
  <c r="C17" i="180"/>
  <c r="F17" i="180"/>
  <c r="N17" i="180"/>
  <c r="O17" i="180"/>
  <c r="P17" i="180"/>
  <c r="W17" i="180"/>
  <c r="I17" i="180" s="1"/>
  <c r="L17" i="180" s="1"/>
  <c r="T17" i="180" s="1"/>
  <c r="C18" i="180"/>
  <c r="F18" i="180"/>
  <c r="P18" i="180"/>
  <c r="O18" i="180" s="1"/>
  <c r="W18" i="180"/>
  <c r="I18" i="180" s="1"/>
  <c r="L18" i="180" s="1"/>
  <c r="T18" i="180" s="1"/>
  <c r="C19" i="180"/>
  <c r="F19" i="180"/>
  <c r="O19" i="180"/>
  <c r="P19" i="180"/>
  <c r="W19" i="180"/>
  <c r="I19" i="180" s="1"/>
  <c r="L19" i="180" s="1"/>
  <c r="T19" i="180" s="1"/>
  <c r="C20" i="180"/>
  <c r="F20" i="180"/>
  <c r="W20" i="180"/>
  <c r="I20" i="180" s="1"/>
  <c r="L20" i="180" s="1"/>
  <c r="T20" i="180" s="1"/>
  <c r="C21" i="180"/>
  <c r="F21" i="180"/>
  <c r="L21" i="180"/>
  <c r="W21" i="180"/>
  <c r="T21" i="180" s="1"/>
  <c r="C22" i="180"/>
  <c r="F22" i="180"/>
  <c r="W22" i="180"/>
  <c r="C23" i="180"/>
  <c r="F23" i="180"/>
  <c r="W23" i="180"/>
  <c r="C24" i="180"/>
  <c r="F24" i="180"/>
  <c r="W24" i="180"/>
  <c r="C25" i="180"/>
  <c r="F25" i="180"/>
  <c r="W25" i="180"/>
  <c r="C26" i="180"/>
  <c r="F26" i="180"/>
  <c r="W26" i="180"/>
  <c r="C27" i="180"/>
  <c r="F27" i="180"/>
  <c r="W27" i="180"/>
  <c r="C28" i="180"/>
  <c r="F28" i="180"/>
  <c r="W28" i="180"/>
  <c r="C29" i="180"/>
  <c r="F29" i="180"/>
  <c r="W29" i="180"/>
  <c r="C30" i="180"/>
  <c r="F30" i="180"/>
  <c r="W30" i="180"/>
  <c r="C31" i="180"/>
  <c r="F31" i="180"/>
  <c r="W31" i="180"/>
  <c r="C32" i="180"/>
  <c r="F32" i="180"/>
  <c r="W32" i="180"/>
  <c r="C33" i="180"/>
  <c r="F33" i="180"/>
  <c r="W33" i="180"/>
  <c r="C39" i="180"/>
  <c r="F39" i="180"/>
  <c r="W39" i="180"/>
  <c r="C46" i="180"/>
  <c r="F46" i="180"/>
  <c r="W46" i="180"/>
  <c r="C47" i="180"/>
  <c r="F47" i="180"/>
  <c r="W47" i="180"/>
  <c r="C48" i="180"/>
  <c r="F48" i="180"/>
  <c r="W48" i="180"/>
  <c r="C51" i="180"/>
  <c r="F51" i="180"/>
  <c r="W51" i="180"/>
  <c r="C52" i="180"/>
  <c r="F52" i="180"/>
  <c r="W52" i="180"/>
  <c r="C53" i="180"/>
  <c r="F53" i="180"/>
  <c r="W53" i="180"/>
  <c r="C54" i="180"/>
  <c r="F54" i="180"/>
  <c r="W54" i="180"/>
  <c r="C55" i="180"/>
  <c r="F55" i="180"/>
  <c r="W55" i="180"/>
  <c r="C56" i="180"/>
  <c r="F56" i="180"/>
  <c r="W56" i="180"/>
  <c r="D57" i="180"/>
  <c r="E57" i="180"/>
  <c r="F57" i="180"/>
  <c r="G57" i="180"/>
  <c r="H57" i="180"/>
  <c r="J57" i="180"/>
  <c r="K57" i="180"/>
  <c r="M57" i="180"/>
  <c r="N57" i="180"/>
  <c r="Q57" i="180"/>
  <c r="R57" i="180"/>
  <c r="S57" i="180"/>
  <c r="U57" i="180"/>
  <c r="V57" i="180"/>
  <c r="X57" i="180"/>
  <c r="Y57" i="180"/>
  <c r="Z57" i="180"/>
  <c r="AA57" i="180"/>
  <c r="AB57" i="180"/>
  <c r="X8" i="179"/>
  <c r="Y8" i="179"/>
  <c r="Z8" i="179"/>
  <c r="AA8" i="179"/>
  <c r="C15" i="179"/>
  <c r="F15" i="179"/>
  <c r="W15" i="179"/>
  <c r="D16" i="179"/>
  <c r="C16" i="179" s="1"/>
  <c r="N16" i="179"/>
  <c r="U16" i="179"/>
  <c r="W16" i="179" s="1"/>
  <c r="I16" i="179" s="1"/>
  <c r="L17" i="179"/>
  <c r="T17" i="179" s="1"/>
  <c r="L18" i="179"/>
  <c r="T18" i="179" s="1"/>
  <c r="D19" i="179"/>
  <c r="C19" i="179" s="1"/>
  <c r="L19" i="179"/>
  <c r="N19" i="179"/>
  <c r="U19" i="179"/>
  <c r="W19" i="179"/>
  <c r="T19" i="179" s="1"/>
  <c r="D20" i="179"/>
  <c r="C20" i="179" s="1"/>
  <c r="L20" i="179"/>
  <c r="U20" i="179"/>
  <c r="W20" i="179" s="1"/>
  <c r="C21" i="179"/>
  <c r="F21" i="179"/>
  <c r="W21" i="179"/>
  <c r="C22" i="179"/>
  <c r="F22" i="179"/>
  <c r="W22" i="179"/>
  <c r="C23" i="179"/>
  <c r="F23" i="179"/>
  <c r="W23" i="179"/>
  <c r="C24" i="179"/>
  <c r="F24" i="179"/>
  <c r="S24" i="179"/>
  <c r="W24" i="179"/>
  <c r="C25" i="179"/>
  <c r="F25" i="179"/>
  <c r="S25" i="179"/>
  <c r="W25" i="179"/>
  <c r="C26" i="179"/>
  <c r="F26" i="179"/>
  <c r="W26" i="179"/>
  <c r="C27" i="179"/>
  <c r="F27" i="179"/>
  <c r="W27" i="179"/>
  <c r="C28" i="179"/>
  <c r="F28" i="179"/>
  <c r="W28" i="179"/>
  <c r="C29" i="179"/>
  <c r="F29" i="179"/>
  <c r="W29" i="179"/>
  <c r="C30" i="179"/>
  <c r="F30" i="179"/>
  <c r="W30" i="179"/>
  <c r="C31" i="179"/>
  <c r="F31" i="179"/>
  <c r="W31" i="179"/>
  <c r="C32" i="179"/>
  <c r="F32" i="179"/>
  <c r="W32" i="179"/>
  <c r="C33" i="179"/>
  <c r="F33" i="179"/>
  <c r="W33" i="179"/>
  <c r="C34" i="179"/>
  <c r="F34" i="179"/>
  <c r="W34" i="179"/>
  <c r="C35" i="179"/>
  <c r="F35" i="179"/>
  <c r="W35" i="179"/>
  <c r="C36" i="179"/>
  <c r="F36" i="179"/>
  <c r="W36" i="179"/>
  <c r="C41" i="179"/>
  <c r="F41" i="179"/>
  <c r="W41" i="179"/>
  <c r="C46" i="179"/>
  <c r="F46" i="179"/>
  <c r="W46" i="179"/>
  <c r="C47" i="179"/>
  <c r="F47" i="179"/>
  <c r="W47" i="179"/>
  <c r="C48" i="179"/>
  <c r="F48" i="179"/>
  <c r="W48" i="179"/>
  <c r="C49" i="179"/>
  <c r="F49" i="179"/>
  <c r="W49" i="179"/>
  <c r="C50" i="179"/>
  <c r="F50" i="179"/>
  <c r="W50" i="179"/>
  <c r="C51" i="179"/>
  <c r="F51" i="179"/>
  <c r="W51" i="179"/>
  <c r="C52" i="179"/>
  <c r="F52" i="179"/>
  <c r="W52" i="179"/>
  <c r="C53" i="179"/>
  <c r="F53" i="179"/>
  <c r="W53" i="179"/>
  <c r="C54" i="179"/>
  <c r="F54" i="179"/>
  <c r="W54" i="179"/>
  <c r="C55" i="179"/>
  <c r="F55" i="179"/>
  <c r="W55" i="179"/>
  <c r="C56" i="179"/>
  <c r="F56" i="179"/>
  <c r="W56" i="179"/>
  <c r="D57" i="179"/>
  <c r="E57" i="179"/>
  <c r="G57" i="179"/>
  <c r="H57" i="179"/>
  <c r="K57" i="179"/>
  <c r="M57" i="179"/>
  <c r="N57" i="179"/>
  <c r="O57" i="179"/>
  <c r="P57" i="179"/>
  <c r="Q57" i="179"/>
  <c r="R57" i="179"/>
  <c r="S57" i="179"/>
  <c r="U57" i="179"/>
  <c r="V57" i="179"/>
  <c r="X57" i="179"/>
  <c r="Y57" i="179"/>
  <c r="Z57" i="179"/>
  <c r="AA57" i="179"/>
  <c r="AB57" i="179"/>
  <c r="X8" i="178"/>
  <c r="Y8" i="178"/>
  <c r="Z8" i="178"/>
  <c r="AA8" i="178"/>
  <c r="P14" i="178"/>
  <c r="R14" i="178"/>
  <c r="D16" i="178"/>
  <c r="C16" i="178" s="1"/>
  <c r="F16" i="178"/>
  <c r="N16" i="178"/>
  <c r="U16" i="178"/>
  <c r="P16" i="178" s="1"/>
  <c r="P57" i="178" s="1"/>
  <c r="D20" i="178"/>
  <c r="C20" i="178" s="1"/>
  <c r="D23" i="178"/>
  <c r="C23" i="178" s="1"/>
  <c r="D26" i="178"/>
  <c r="C26" i="178" s="1"/>
  <c r="D28" i="178"/>
  <c r="C28" i="178" s="1"/>
  <c r="D30" i="178"/>
  <c r="C30" i="178" s="1"/>
  <c r="D32" i="178"/>
  <c r="C32" i="178" s="1"/>
  <c r="D34" i="178"/>
  <c r="C34" i="178" s="1"/>
  <c r="P50" i="178"/>
  <c r="R50" i="178"/>
  <c r="S50" i="178" s="1"/>
  <c r="S57" i="178" s="1"/>
  <c r="C56" i="178"/>
  <c r="F56" i="178"/>
  <c r="G57" i="178"/>
  <c r="H57" i="178"/>
  <c r="K57" i="178"/>
  <c r="M57" i="178"/>
  <c r="N57" i="178"/>
  <c r="X57" i="178"/>
  <c r="Y57" i="178"/>
  <c r="Z57" i="178"/>
  <c r="AA57" i="178"/>
  <c r="X8" i="177"/>
  <c r="Y8" i="177"/>
  <c r="Z8" i="177"/>
  <c r="AA8" i="177"/>
  <c r="P14" i="177"/>
  <c r="R14" i="177"/>
  <c r="D16" i="177"/>
  <c r="C16" i="177" s="1"/>
  <c r="G16" i="177"/>
  <c r="N16" i="177" s="1"/>
  <c r="N57" i="177" s="1"/>
  <c r="U16" i="177"/>
  <c r="W16" i="177" s="1"/>
  <c r="P17" i="177"/>
  <c r="D18" i="177"/>
  <c r="C18" i="177" s="1"/>
  <c r="U18" i="177"/>
  <c r="W18" i="177" s="1"/>
  <c r="I18" i="177" s="1"/>
  <c r="C20" i="177"/>
  <c r="D20" i="177"/>
  <c r="F20" i="177"/>
  <c r="U20" i="177"/>
  <c r="W20" i="177"/>
  <c r="AB20" i="177" s="1"/>
  <c r="C56" i="177"/>
  <c r="F56" i="177"/>
  <c r="G57" i="177"/>
  <c r="H57" i="177"/>
  <c r="K57" i="177"/>
  <c r="M57" i="177"/>
  <c r="R57" i="177"/>
  <c r="X57" i="177"/>
  <c r="Y57" i="177"/>
  <c r="Z57" i="177"/>
  <c r="AA57" i="177"/>
  <c r="Q61" i="177"/>
  <c r="X8" i="176"/>
  <c r="Y8" i="176"/>
  <c r="Z8" i="176"/>
  <c r="AA8" i="176"/>
  <c r="D16" i="176"/>
  <c r="C16" i="176" s="1"/>
  <c r="U16" i="176"/>
  <c r="W16" i="176" s="1"/>
  <c r="W57" i="176" s="1"/>
  <c r="D18" i="176"/>
  <c r="C18" i="176" s="1"/>
  <c r="U18" i="176"/>
  <c r="W18" i="176" s="1"/>
  <c r="I18" i="176" s="1"/>
  <c r="D20" i="176"/>
  <c r="C20" i="176" s="1"/>
  <c r="U20" i="176"/>
  <c r="W20" i="176"/>
  <c r="T20" i="176" s="1"/>
  <c r="G57" i="176"/>
  <c r="H57" i="176"/>
  <c r="K57" i="176"/>
  <c r="M57" i="176"/>
  <c r="R57" i="176"/>
  <c r="X57" i="176"/>
  <c r="Y57" i="176"/>
  <c r="Z57" i="176"/>
  <c r="AA57" i="176"/>
  <c r="AB57" i="176"/>
  <c r="X8" i="175"/>
  <c r="Y8" i="175"/>
  <c r="Z8" i="175"/>
  <c r="AA8" i="175"/>
  <c r="C16" i="175"/>
  <c r="D16" i="175"/>
  <c r="F16" i="175"/>
  <c r="N16" i="175"/>
  <c r="P16" i="175"/>
  <c r="S16" i="175" s="1"/>
  <c r="U16" i="175"/>
  <c r="W16" i="175"/>
  <c r="I16" i="175" s="1"/>
  <c r="D18" i="175"/>
  <c r="C18" i="175" s="1"/>
  <c r="N57" i="175"/>
  <c r="U18" i="175"/>
  <c r="W18" i="175"/>
  <c r="I18" i="175" s="1"/>
  <c r="D20" i="175"/>
  <c r="C20" i="175" s="1"/>
  <c r="U20" i="175"/>
  <c r="W20" i="175" s="1"/>
  <c r="T20" i="175" s="1"/>
  <c r="S49" i="175"/>
  <c r="C56" i="175"/>
  <c r="F56" i="175"/>
  <c r="W56" i="175"/>
  <c r="G57" i="175"/>
  <c r="H57" i="175"/>
  <c r="K57" i="175"/>
  <c r="M57" i="175"/>
  <c r="R57" i="175"/>
  <c r="X57" i="175"/>
  <c r="Y57" i="175"/>
  <c r="Z57" i="175"/>
  <c r="AA57" i="175"/>
  <c r="AB57" i="175"/>
  <c r="X8" i="174"/>
  <c r="Y8" i="174"/>
  <c r="Z8" i="174"/>
  <c r="AA8" i="174"/>
  <c r="W15" i="174"/>
  <c r="C16" i="174"/>
  <c r="D16" i="174" s="1"/>
  <c r="D17" i="174"/>
  <c r="L17" i="174"/>
  <c r="T17" i="174" s="1"/>
  <c r="U17" i="174"/>
  <c r="AB17" i="174"/>
  <c r="D18" i="174"/>
  <c r="L18" i="174"/>
  <c r="T18" i="174" s="1"/>
  <c r="U18" i="174"/>
  <c r="AB18" i="174"/>
  <c r="C19" i="174"/>
  <c r="D19" i="174" s="1"/>
  <c r="L19" i="174"/>
  <c r="C20" i="174"/>
  <c r="D20" i="174" s="1"/>
  <c r="L20" i="174"/>
  <c r="S24" i="174"/>
  <c r="S25" i="174"/>
  <c r="C57" i="174"/>
  <c r="E57" i="174"/>
  <c r="G57" i="174"/>
  <c r="H57" i="174"/>
  <c r="K57" i="174"/>
  <c r="M57" i="174"/>
  <c r="N57" i="174"/>
  <c r="O57" i="174"/>
  <c r="P57" i="174"/>
  <c r="Q57" i="174"/>
  <c r="R57" i="174"/>
  <c r="S57" i="174"/>
  <c r="V57" i="174"/>
  <c r="X57" i="174"/>
  <c r="Y57" i="174"/>
  <c r="Z57" i="174"/>
  <c r="AA57" i="174"/>
  <c r="X8" i="173"/>
  <c r="Y8" i="173"/>
  <c r="Z8" i="173"/>
  <c r="AA8" i="173"/>
  <c r="T14" i="173"/>
  <c r="T15" i="173"/>
  <c r="T16" i="173"/>
  <c r="C17" i="173"/>
  <c r="D17" i="173" s="1"/>
  <c r="T18" i="173"/>
  <c r="U18" i="173"/>
  <c r="AB18" i="173"/>
  <c r="T19" i="173"/>
  <c r="U19" i="173"/>
  <c r="AB19" i="173"/>
  <c r="D20" i="173"/>
  <c r="F20" i="173" s="1"/>
  <c r="I20" i="173" s="1"/>
  <c r="G20" i="173"/>
  <c r="U20" i="173"/>
  <c r="W20" i="173" s="1"/>
  <c r="G21" i="173"/>
  <c r="N21" i="173"/>
  <c r="T21" i="173"/>
  <c r="U21" i="173"/>
  <c r="AB21" i="173"/>
  <c r="N22" i="173"/>
  <c r="T22" i="173"/>
  <c r="U22" i="173"/>
  <c r="AB22" i="173"/>
  <c r="G23" i="173"/>
  <c r="N23" i="173" s="1"/>
  <c r="D24" i="173"/>
  <c r="F24" i="173" s="1"/>
  <c r="N24" i="173"/>
  <c r="U24" i="173"/>
  <c r="W24" i="173" s="1"/>
  <c r="X24" i="173"/>
  <c r="T25" i="173"/>
  <c r="U25" i="173"/>
  <c r="AB25" i="173"/>
  <c r="T26" i="173"/>
  <c r="U26" i="173"/>
  <c r="AB26" i="173"/>
  <c r="D27" i="173"/>
  <c r="F27" i="173" s="1"/>
  <c r="U27" i="173"/>
  <c r="W27" i="173" s="1"/>
  <c r="X27" i="173"/>
  <c r="T28" i="173"/>
  <c r="U28" i="173"/>
  <c r="AB28" i="173"/>
  <c r="T29" i="173"/>
  <c r="T30" i="173"/>
  <c r="T31" i="173"/>
  <c r="T32" i="173"/>
  <c r="T33" i="173"/>
  <c r="T34" i="173"/>
  <c r="T35" i="173"/>
  <c r="T36" i="173"/>
  <c r="T37" i="173"/>
  <c r="T38" i="173"/>
  <c r="T39" i="173"/>
  <c r="T40" i="173"/>
  <c r="T41" i="173"/>
  <c r="T42" i="173"/>
  <c r="T43" i="173"/>
  <c r="T44" i="173"/>
  <c r="T45" i="173"/>
  <c r="X46" i="173"/>
  <c r="T47" i="173"/>
  <c r="T48" i="173"/>
  <c r="T49" i="173"/>
  <c r="T50" i="173"/>
  <c r="T51" i="173"/>
  <c r="T52" i="173"/>
  <c r="T53" i="173"/>
  <c r="T54" i="173"/>
  <c r="T55" i="173"/>
  <c r="T56" i="173"/>
  <c r="T57" i="173"/>
  <c r="C58" i="173"/>
  <c r="H58" i="173"/>
  <c r="K58" i="173"/>
  <c r="M58" i="173"/>
  <c r="O58" i="173"/>
  <c r="Q58" i="173"/>
  <c r="R58" i="173"/>
  <c r="S58" i="173"/>
  <c r="Y58" i="173"/>
  <c r="Z58" i="173"/>
  <c r="AA58" i="173"/>
  <c r="X8" i="221"/>
  <c r="Y8" i="221"/>
  <c r="Z8" i="221"/>
  <c r="AA8" i="221"/>
  <c r="C16" i="221"/>
  <c r="D16" i="221" s="1"/>
  <c r="L16" i="221"/>
  <c r="R16" i="221"/>
  <c r="S16" i="221" s="1"/>
  <c r="C19" i="221"/>
  <c r="D19" i="221" s="1"/>
  <c r="L19" i="221"/>
  <c r="L58" i="221" s="1"/>
  <c r="R19" i="221"/>
  <c r="S19" i="221" s="1"/>
  <c r="C22" i="221"/>
  <c r="D22" i="221" s="1"/>
  <c r="L22" i="221"/>
  <c r="S22" i="221"/>
  <c r="C25" i="221"/>
  <c r="D25" i="221"/>
  <c r="F25" i="221" s="1"/>
  <c r="L25" i="221"/>
  <c r="S25" i="221"/>
  <c r="G58" i="221"/>
  <c r="H58" i="221"/>
  <c r="I58" i="221"/>
  <c r="J58" i="221"/>
  <c r="K58" i="221"/>
  <c r="M58" i="221"/>
  <c r="N58" i="221"/>
  <c r="O58" i="221"/>
  <c r="P58" i="221"/>
  <c r="Q58" i="221"/>
  <c r="V58" i="221"/>
  <c r="X58" i="221"/>
  <c r="Y58" i="221"/>
  <c r="Z58" i="221"/>
  <c r="AA58" i="221"/>
  <c r="X8" i="218"/>
  <c r="Y8" i="218"/>
  <c r="Z8" i="218"/>
  <c r="AA8" i="218"/>
  <c r="C16" i="218"/>
  <c r="D16" i="218" s="1"/>
  <c r="N16" i="218"/>
  <c r="N58" i="218" s="1"/>
  <c r="R16" i="218"/>
  <c r="S16" i="218" s="1"/>
  <c r="L19" i="218"/>
  <c r="T19" i="218" s="1"/>
  <c r="R19" i="218"/>
  <c r="S19" i="218"/>
  <c r="U19" i="218"/>
  <c r="W19" i="218" s="1"/>
  <c r="AB19" i="218"/>
  <c r="L22" i="218"/>
  <c r="S22" i="218"/>
  <c r="T22" i="218"/>
  <c r="U22" i="218"/>
  <c r="W22" i="218" s="1"/>
  <c r="AB22" i="218"/>
  <c r="C58" i="218"/>
  <c r="G58" i="218"/>
  <c r="H58" i="218"/>
  <c r="J58" i="218"/>
  <c r="K58" i="218"/>
  <c r="M58" i="218"/>
  <c r="O58" i="218"/>
  <c r="P58" i="218"/>
  <c r="Q58" i="218"/>
  <c r="R58" i="218"/>
  <c r="V58" i="218"/>
  <c r="X58" i="218"/>
  <c r="Y58" i="218"/>
  <c r="Z58" i="218"/>
  <c r="AA58" i="218"/>
  <c r="X8" i="250"/>
  <c r="Y8" i="250"/>
  <c r="Z8" i="250"/>
  <c r="AA8" i="250"/>
  <c r="P14" i="250"/>
  <c r="R14" i="250"/>
  <c r="D16" i="250"/>
  <c r="F16" i="250"/>
  <c r="C16" i="250" s="1"/>
  <c r="L16" i="250"/>
  <c r="N16" i="250"/>
  <c r="N57" i="250" s="1"/>
  <c r="U16" i="250"/>
  <c r="W16" i="250"/>
  <c r="T16" i="250" s="1"/>
  <c r="AB17" i="250"/>
  <c r="D18" i="250"/>
  <c r="F18" i="250" s="1"/>
  <c r="W18" i="250"/>
  <c r="T18" i="250" s="1"/>
  <c r="AB19" i="250"/>
  <c r="D20" i="250"/>
  <c r="F20" i="250"/>
  <c r="C20" i="250" s="1"/>
  <c r="U20" i="250"/>
  <c r="W20" i="250" s="1"/>
  <c r="AB21" i="250"/>
  <c r="D22" i="250"/>
  <c r="F22" i="250" s="1"/>
  <c r="C22" i="250" s="1"/>
  <c r="U22" i="250"/>
  <c r="W22" i="250" s="1"/>
  <c r="AB22" i="250" s="1"/>
  <c r="D24" i="250"/>
  <c r="F24" i="250" s="1"/>
  <c r="C24" i="250" s="1"/>
  <c r="C56" i="250"/>
  <c r="F56" i="250"/>
  <c r="G57" i="250"/>
  <c r="H57" i="250"/>
  <c r="I57" i="250"/>
  <c r="J57" i="250"/>
  <c r="K57" i="250"/>
  <c r="L57" i="250"/>
  <c r="M57" i="250"/>
  <c r="P57" i="250"/>
  <c r="R57" i="250"/>
  <c r="S57" i="250"/>
  <c r="V57" i="250"/>
  <c r="X57" i="250"/>
  <c r="Y57" i="250"/>
  <c r="Z57" i="250"/>
  <c r="AA57" i="250"/>
  <c r="X8" i="251"/>
  <c r="Y8" i="251"/>
  <c r="Z8" i="251"/>
  <c r="AA8" i="251"/>
  <c r="T14" i="251"/>
  <c r="S15" i="251"/>
  <c r="S57" i="251" s="1"/>
  <c r="T15" i="251"/>
  <c r="C16" i="251"/>
  <c r="D16" i="251"/>
  <c r="F16" i="251"/>
  <c r="J57" i="251" s="1"/>
  <c r="U16" i="251"/>
  <c r="W16" i="251" s="1"/>
  <c r="AF16" i="251"/>
  <c r="U17" i="251"/>
  <c r="AB17" i="251"/>
  <c r="AF17" i="251"/>
  <c r="U18" i="251"/>
  <c r="AB18" i="251"/>
  <c r="AF18" i="251"/>
  <c r="C19" i="251"/>
  <c r="D19" i="251"/>
  <c r="F19" i="251" s="1"/>
  <c r="T20" i="251"/>
  <c r="U20" i="251"/>
  <c r="AB20" i="251"/>
  <c r="AF20" i="251"/>
  <c r="T21" i="251"/>
  <c r="U21" i="251"/>
  <c r="AB21" i="251"/>
  <c r="AF21" i="251"/>
  <c r="C22" i="251"/>
  <c r="D22" i="251"/>
  <c r="F22" i="251" s="1"/>
  <c r="L22" i="251"/>
  <c r="T23" i="251"/>
  <c r="U23" i="251"/>
  <c r="AB23" i="251"/>
  <c r="F24" i="251"/>
  <c r="T24" i="251"/>
  <c r="U24" i="251"/>
  <c r="AB24" i="251"/>
  <c r="AF24" i="251"/>
  <c r="F25" i="251"/>
  <c r="U25" i="251" s="1"/>
  <c r="W25" i="251" s="1"/>
  <c r="C26" i="251"/>
  <c r="D26" i="251"/>
  <c r="F26" i="251" s="1"/>
  <c r="U26" i="251" s="1"/>
  <c r="W26" i="251" s="1"/>
  <c r="T27" i="251"/>
  <c r="W27" i="251"/>
  <c r="AF27" i="251"/>
  <c r="W28" i="251"/>
  <c r="T28" i="251" s="1"/>
  <c r="W29" i="251"/>
  <c r="T29" i="251" s="1"/>
  <c r="W30" i="251"/>
  <c r="T30" i="251" s="1"/>
  <c r="T31" i="251"/>
  <c r="T32" i="251"/>
  <c r="T33" i="251"/>
  <c r="T34" i="251"/>
  <c r="T35" i="251"/>
  <c r="T36" i="251"/>
  <c r="T37" i="251"/>
  <c r="T38" i="251"/>
  <c r="T39" i="251"/>
  <c r="T40" i="251"/>
  <c r="T41" i="251"/>
  <c r="T42" i="251"/>
  <c r="T43" i="251"/>
  <c r="T44" i="251"/>
  <c r="T45" i="251"/>
  <c r="T46" i="251"/>
  <c r="S47" i="251"/>
  <c r="T47" i="251"/>
  <c r="S48" i="251"/>
  <c r="T48" i="251"/>
  <c r="T49" i="251"/>
  <c r="T50" i="251"/>
  <c r="T51" i="251"/>
  <c r="T52" i="251"/>
  <c r="T53" i="251"/>
  <c r="T54" i="251"/>
  <c r="T55" i="251"/>
  <c r="L56" i="251"/>
  <c r="T56" i="251" s="1"/>
  <c r="C57" i="251"/>
  <c r="E57" i="251"/>
  <c r="G57" i="251"/>
  <c r="H57" i="251"/>
  <c r="K57" i="251"/>
  <c r="M57" i="251"/>
  <c r="N57" i="251"/>
  <c r="O57" i="251"/>
  <c r="P57" i="251"/>
  <c r="Q57" i="251"/>
  <c r="R57" i="251"/>
  <c r="V57" i="251"/>
  <c r="X57" i="251"/>
  <c r="Y57" i="251"/>
  <c r="Z57" i="251"/>
  <c r="AA57" i="251"/>
  <c r="X8" i="249"/>
  <c r="Y8" i="249"/>
  <c r="Z8" i="249"/>
  <c r="AA8" i="249"/>
  <c r="P14" i="249"/>
  <c r="R14" i="249"/>
  <c r="D16" i="249"/>
  <c r="F16" i="249"/>
  <c r="C16" i="249" s="1"/>
  <c r="L16" i="249"/>
  <c r="L57" i="249" s="1"/>
  <c r="N16" i="249"/>
  <c r="N57" i="249" s="1"/>
  <c r="U16" i="249"/>
  <c r="W16" i="249"/>
  <c r="AB17" i="249"/>
  <c r="D18" i="249"/>
  <c r="F18" i="249" s="1"/>
  <c r="W18" i="249"/>
  <c r="AB19" i="249"/>
  <c r="D20" i="249"/>
  <c r="F20" i="249"/>
  <c r="C20" i="249" s="1"/>
  <c r="U20" i="249"/>
  <c r="W20" i="249" s="1"/>
  <c r="AB20" i="249" s="1"/>
  <c r="AB21" i="249"/>
  <c r="D22" i="249"/>
  <c r="F22" i="249" s="1"/>
  <c r="C22" i="249" s="1"/>
  <c r="U22" i="249"/>
  <c r="W22" i="249" s="1"/>
  <c r="AB22" i="249" s="1"/>
  <c r="D24" i="249"/>
  <c r="F24" i="249" s="1"/>
  <c r="C24" i="249" s="1"/>
  <c r="C56" i="249"/>
  <c r="F56" i="249"/>
  <c r="G57" i="249"/>
  <c r="H57" i="249"/>
  <c r="I57" i="249"/>
  <c r="J57" i="249"/>
  <c r="K57" i="249"/>
  <c r="M57" i="249"/>
  <c r="P57" i="249"/>
  <c r="R57" i="249"/>
  <c r="S57" i="249"/>
  <c r="V57" i="249"/>
  <c r="X57" i="249"/>
  <c r="Y57" i="249"/>
  <c r="Z57" i="249"/>
  <c r="AA57" i="249"/>
  <c r="I5" i="220"/>
  <c r="X8" i="220"/>
  <c r="Y8" i="220"/>
  <c r="Z8" i="220"/>
  <c r="AA8" i="220"/>
  <c r="C16" i="220"/>
  <c r="D16" i="220"/>
  <c r="F16" i="220" s="1"/>
  <c r="G16" i="220"/>
  <c r="N16" i="220"/>
  <c r="S16" i="220"/>
  <c r="C19" i="220"/>
  <c r="D19" i="220" s="1"/>
  <c r="G19" i="220"/>
  <c r="N19" i="220" s="1"/>
  <c r="S19" i="220"/>
  <c r="C22" i="220"/>
  <c r="D22" i="220" s="1"/>
  <c r="G22" i="220"/>
  <c r="N22" i="220"/>
  <c r="S22" i="220"/>
  <c r="C25" i="220"/>
  <c r="D25" i="220" s="1"/>
  <c r="G25" i="220"/>
  <c r="S25" i="220"/>
  <c r="G58" i="220"/>
  <c r="H58" i="220"/>
  <c r="M58" i="220"/>
  <c r="O58" i="220"/>
  <c r="P58" i="220"/>
  <c r="Q58" i="220"/>
  <c r="R58" i="220"/>
  <c r="V58" i="220"/>
  <c r="X58" i="220"/>
  <c r="Y58" i="220"/>
  <c r="Z58" i="220"/>
  <c r="AA58" i="220"/>
  <c r="X8" i="255"/>
  <c r="Y8" i="255"/>
  <c r="Z8" i="255"/>
  <c r="AA8" i="255"/>
  <c r="C16" i="255"/>
  <c r="F16" i="255"/>
  <c r="W16" i="255"/>
  <c r="D17" i="255"/>
  <c r="C17" i="255" s="1"/>
  <c r="F17" i="255"/>
  <c r="I17" i="255" s="1"/>
  <c r="N17" i="255"/>
  <c r="AB17" i="255"/>
  <c r="D19" i="255"/>
  <c r="C19" i="255" s="1"/>
  <c r="L19" i="255"/>
  <c r="D20" i="255"/>
  <c r="C20" i="255" s="1"/>
  <c r="L20" i="255"/>
  <c r="D21" i="255"/>
  <c r="C21" i="255" s="1"/>
  <c r="L21" i="255"/>
  <c r="D22" i="255"/>
  <c r="C22" i="255" s="1"/>
  <c r="D23" i="255"/>
  <c r="C23" i="255" s="1"/>
  <c r="L23" i="255"/>
  <c r="L24" i="255"/>
  <c r="D25" i="255"/>
  <c r="C25" i="255" s="1"/>
  <c r="D26" i="255"/>
  <c r="C26" i="255" s="1"/>
  <c r="D27" i="255"/>
  <c r="C27" i="255" s="1"/>
  <c r="D28" i="255"/>
  <c r="C28" i="255" s="1"/>
  <c r="D29" i="255"/>
  <c r="C29" i="255" s="1"/>
  <c r="L30" i="255"/>
  <c r="D31" i="255"/>
  <c r="C31" i="255" s="1"/>
  <c r="L31" i="255"/>
  <c r="D32" i="255"/>
  <c r="C32" i="255" s="1"/>
  <c r="W33" i="255"/>
  <c r="K33" i="255" s="1"/>
  <c r="C34" i="255"/>
  <c r="F34" i="255"/>
  <c r="W34" i="255"/>
  <c r="K34" i="255" s="1"/>
  <c r="C35" i="255"/>
  <c r="F35" i="255"/>
  <c r="W35" i="255"/>
  <c r="K35" i="255" s="1"/>
  <c r="C36" i="255"/>
  <c r="F36" i="255"/>
  <c r="W36" i="255"/>
  <c r="K36" i="255" s="1"/>
  <c r="C37" i="255"/>
  <c r="F37" i="255"/>
  <c r="W37" i="255"/>
  <c r="C38" i="255"/>
  <c r="F38" i="255"/>
  <c r="W38" i="255"/>
  <c r="C52" i="255"/>
  <c r="F52" i="255"/>
  <c r="W52" i="255"/>
  <c r="C53" i="255"/>
  <c r="F53" i="255"/>
  <c r="W53" i="255"/>
  <c r="C54" i="255"/>
  <c r="F54" i="255"/>
  <c r="W54" i="255"/>
  <c r="W55" i="255"/>
  <c r="C56" i="255"/>
  <c r="F56" i="255"/>
  <c r="W56" i="255"/>
  <c r="C57" i="255"/>
  <c r="F57" i="255"/>
  <c r="W57" i="255"/>
  <c r="C58" i="255"/>
  <c r="F58" i="255"/>
  <c r="W58" i="255"/>
  <c r="C59" i="255"/>
  <c r="F59" i="255"/>
  <c r="W59" i="255"/>
  <c r="C60" i="255"/>
  <c r="F60" i="255"/>
  <c r="W60" i="255"/>
  <c r="C61" i="255"/>
  <c r="F61" i="255"/>
  <c r="W61" i="255"/>
  <c r="G62" i="255"/>
  <c r="H62" i="255"/>
  <c r="M62" i="255"/>
  <c r="N62" i="255"/>
  <c r="O62" i="255"/>
  <c r="P62" i="255"/>
  <c r="Q62" i="255"/>
  <c r="R62" i="255"/>
  <c r="S62" i="255"/>
  <c r="W62" i="255"/>
  <c r="X62" i="255"/>
  <c r="Y62" i="255"/>
  <c r="Z62" i="255"/>
  <c r="AB62" i="255"/>
  <c r="X8" i="248"/>
  <c r="Y8" i="248"/>
  <c r="Z8" i="248"/>
  <c r="AA8" i="248"/>
  <c r="P14" i="248"/>
  <c r="R14" i="248"/>
  <c r="F15" i="248"/>
  <c r="W15" i="248"/>
  <c r="D16" i="248"/>
  <c r="F16" i="248" s="1"/>
  <c r="N57" i="248"/>
  <c r="L17" i="248"/>
  <c r="M17" i="248"/>
  <c r="D18" i="248"/>
  <c r="F18" i="248" s="1"/>
  <c r="L18" i="248"/>
  <c r="L19" i="248"/>
  <c r="D20" i="248"/>
  <c r="F20" i="248" s="1"/>
  <c r="U20" i="248" s="1"/>
  <c r="W20" i="248" s="1"/>
  <c r="L20" i="248"/>
  <c r="S20" i="248"/>
  <c r="L21" i="248"/>
  <c r="W21" i="248"/>
  <c r="D22" i="248"/>
  <c r="F22" i="248" s="1"/>
  <c r="L22" i="248"/>
  <c r="L23" i="248"/>
  <c r="L24" i="248"/>
  <c r="L25" i="248"/>
  <c r="L26" i="248"/>
  <c r="L27" i="248"/>
  <c r="L28" i="248"/>
  <c r="L29" i="248"/>
  <c r="L30" i="248"/>
  <c r="L31" i="248"/>
  <c r="L32" i="248"/>
  <c r="L33" i="248"/>
  <c r="L34" i="248"/>
  <c r="L35" i="248"/>
  <c r="L36" i="248"/>
  <c r="L37" i="248"/>
  <c r="L38" i="248"/>
  <c r="L39" i="248"/>
  <c r="L40" i="248"/>
  <c r="L41" i="248"/>
  <c r="L42" i="248"/>
  <c r="L43" i="248"/>
  <c r="L46" i="248"/>
  <c r="L47" i="248"/>
  <c r="L48" i="248"/>
  <c r="L49" i="248"/>
  <c r="P49" i="248"/>
  <c r="R49" i="248"/>
  <c r="S49" i="248" s="1"/>
  <c r="S57" i="248" s="1"/>
  <c r="X49" i="248"/>
  <c r="L50" i="248"/>
  <c r="L51" i="248"/>
  <c r="L52" i="248"/>
  <c r="L54" i="248"/>
  <c r="L55" i="248"/>
  <c r="C56" i="248"/>
  <c r="F56" i="248"/>
  <c r="L56" i="248"/>
  <c r="W56" i="248"/>
  <c r="G57" i="248"/>
  <c r="H57" i="248"/>
  <c r="K57" i="248"/>
  <c r="M57" i="248"/>
  <c r="R57" i="248"/>
  <c r="X57" i="248"/>
  <c r="Y57" i="248"/>
  <c r="Z57" i="248"/>
  <c r="AA57" i="248"/>
  <c r="AB57" i="248"/>
  <c r="X8" i="254"/>
  <c r="Y8" i="254"/>
  <c r="Z8" i="254"/>
  <c r="AA8" i="254"/>
  <c r="D16" i="254"/>
  <c r="F16" i="254" s="1"/>
  <c r="G16" i="254"/>
  <c r="L16" i="254"/>
  <c r="N16" i="254"/>
  <c r="N55" i="254" s="1"/>
  <c r="U16" i="254"/>
  <c r="T16" i="254" s="1"/>
  <c r="D19" i="254"/>
  <c r="L19" i="254"/>
  <c r="S19" i="254"/>
  <c r="U19" i="254"/>
  <c r="D22" i="254"/>
  <c r="F22" i="254"/>
  <c r="L22" i="254"/>
  <c r="S22" i="254"/>
  <c r="U22" i="254"/>
  <c r="C55" i="254"/>
  <c r="G55" i="254"/>
  <c r="H55" i="254"/>
  <c r="J55" i="254"/>
  <c r="K55" i="254"/>
  <c r="M55" i="254"/>
  <c r="O55" i="254"/>
  <c r="P55" i="254"/>
  <c r="Q55" i="254"/>
  <c r="R55" i="254"/>
  <c r="V55" i="254"/>
  <c r="X55" i="254"/>
  <c r="Y55" i="254"/>
  <c r="Z55" i="254"/>
  <c r="AA55" i="254"/>
  <c r="X8" i="252"/>
  <c r="Y8" i="252"/>
  <c r="Z8" i="252"/>
  <c r="AA8" i="252"/>
  <c r="D15" i="252"/>
  <c r="G15" i="252"/>
  <c r="L15" i="252"/>
  <c r="N15" i="252"/>
  <c r="D18" i="252"/>
  <c r="F18" i="252" s="1"/>
  <c r="U18" i="252" s="1"/>
  <c r="L18" i="252"/>
  <c r="T18" i="252" s="1"/>
  <c r="R18" i="252"/>
  <c r="S18" i="252" s="1"/>
  <c r="W18" i="252"/>
  <c r="AB18" i="252" s="1"/>
  <c r="D21" i="252"/>
  <c r="F21" i="252" s="1"/>
  <c r="L21" i="252"/>
  <c r="S21" i="252"/>
  <c r="C54" i="252"/>
  <c r="G54" i="252"/>
  <c r="H54" i="252"/>
  <c r="I54" i="252"/>
  <c r="J54" i="252"/>
  <c r="K54" i="252"/>
  <c r="M54" i="252"/>
  <c r="N54" i="252"/>
  <c r="O54" i="252"/>
  <c r="P54" i="252"/>
  <c r="Q54" i="252"/>
  <c r="R54" i="252"/>
  <c r="V54" i="252"/>
  <c r="X54" i="252"/>
  <c r="Y54" i="252"/>
  <c r="Z54" i="252"/>
  <c r="AA54" i="252"/>
  <c r="X8" i="213"/>
  <c r="Y8" i="213"/>
  <c r="Z8" i="213"/>
  <c r="AA8" i="213"/>
  <c r="C16" i="213"/>
  <c r="D16" i="213"/>
  <c r="P16" i="213" s="1"/>
  <c r="R16" i="213" s="1"/>
  <c r="F16" i="213"/>
  <c r="I16" i="213"/>
  <c r="L16" i="213" s="1"/>
  <c r="U16" i="213"/>
  <c r="W16" i="213" s="1"/>
  <c r="AB16" i="213"/>
  <c r="P17" i="213"/>
  <c r="S17" i="213" s="1"/>
  <c r="W17" i="213"/>
  <c r="P18" i="213"/>
  <c r="S18" i="213" s="1"/>
  <c r="W18" i="213"/>
  <c r="C19" i="213"/>
  <c r="D19" i="213"/>
  <c r="P19" i="213" s="1"/>
  <c r="R19" i="213" s="1"/>
  <c r="S19" i="213" s="1"/>
  <c r="F19" i="213"/>
  <c r="I19" i="213"/>
  <c r="L19" i="213" s="1"/>
  <c r="T19" i="213" s="1"/>
  <c r="U19" i="213"/>
  <c r="W19" i="213" s="1"/>
  <c r="AB19" i="213"/>
  <c r="P20" i="213"/>
  <c r="S20" i="213" s="1"/>
  <c r="W20" i="213"/>
  <c r="C57" i="213"/>
  <c r="D57" i="213"/>
  <c r="F57" i="213"/>
  <c r="G57" i="213"/>
  <c r="H57" i="213"/>
  <c r="I57" i="213"/>
  <c r="J57" i="213"/>
  <c r="K57" i="213"/>
  <c r="M57" i="213"/>
  <c r="N57" i="213"/>
  <c r="O57" i="213"/>
  <c r="Q57" i="213"/>
  <c r="V57" i="213"/>
  <c r="X57" i="213"/>
  <c r="Y57" i="213"/>
  <c r="Z57" i="213"/>
  <c r="AA57" i="213"/>
  <c r="AB57" i="213"/>
  <c r="G3" i="107"/>
  <c r="H3" i="107"/>
  <c r="I3" i="107"/>
  <c r="J3" i="107"/>
  <c r="K3" i="107"/>
  <c r="L3" i="107"/>
  <c r="M3" i="107"/>
  <c r="N3" i="107"/>
  <c r="O3" i="107"/>
  <c r="N57" i="176" l="1"/>
  <c r="T57" i="262"/>
  <c r="L49" i="266"/>
  <c r="T57" i="260"/>
  <c r="L55" i="254"/>
  <c r="T22" i="254"/>
  <c r="T19" i="254"/>
  <c r="T16" i="249"/>
  <c r="T57" i="259"/>
  <c r="N57" i="189"/>
  <c r="P57" i="189"/>
  <c r="U57" i="213"/>
  <c r="P57" i="213"/>
  <c r="L54" i="252"/>
  <c r="F15" i="252"/>
  <c r="D54" i="252"/>
  <c r="U55" i="254"/>
  <c r="F19" i="254"/>
  <c r="D55" i="254"/>
  <c r="D57" i="248"/>
  <c r="F25" i="220"/>
  <c r="U25" i="220"/>
  <c r="W25" i="220" s="1"/>
  <c r="F17" i="173"/>
  <c r="U17" i="173"/>
  <c r="W17" i="173" s="1"/>
  <c r="W58" i="173" s="1"/>
  <c r="F20" i="174"/>
  <c r="U20" i="174"/>
  <c r="W20" i="174" s="1"/>
  <c r="T20" i="174" s="1"/>
  <c r="F19" i="174"/>
  <c r="U19" i="174"/>
  <c r="W19" i="174" s="1"/>
  <c r="T19" i="174" s="1"/>
  <c r="N57" i="182"/>
  <c r="F18" i="187"/>
  <c r="R18" i="187"/>
  <c r="S18" i="187" s="1"/>
  <c r="O18" i="187"/>
  <c r="O57" i="187" s="1"/>
  <c r="W20" i="190"/>
  <c r="AB20" i="190"/>
  <c r="AB57" i="190" s="1"/>
  <c r="F57" i="190"/>
  <c r="F17" i="194"/>
  <c r="AB17" i="194" s="1"/>
  <c r="AB57" i="194" s="1"/>
  <c r="U17" i="194"/>
  <c r="D57" i="194"/>
  <c r="F18" i="195"/>
  <c r="AB18" i="195" s="1"/>
  <c r="U18" i="195"/>
  <c r="W18" i="195" s="1"/>
  <c r="I18" i="195" s="1"/>
  <c r="L18" i="195" s="1"/>
  <c r="T18" i="195" s="1"/>
  <c r="D57" i="195"/>
  <c r="F23" i="196"/>
  <c r="D25" i="196"/>
  <c r="D57" i="196" s="1"/>
  <c r="D26" i="196"/>
  <c r="K62" i="255"/>
  <c r="I62" i="255"/>
  <c r="J62" i="255"/>
  <c r="F19" i="220"/>
  <c r="AB19" i="220" s="1"/>
  <c r="U19" i="220"/>
  <c r="W19" i="220" s="1"/>
  <c r="T27" i="173"/>
  <c r="AB27" i="173"/>
  <c r="F16" i="174"/>
  <c r="D57" i="174"/>
  <c r="U16" i="174"/>
  <c r="I20" i="183"/>
  <c r="W57" i="183"/>
  <c r="T22" i="185"/>
  <c r="W57" i="185"/>
  <c r="W19" i="191"/>
  <c r="AB19" i="191" s="1"/>
  <c r="U19" i="191"/>
  <c r="N58" i="220"/>
  <c r="S58" i="221"/>
  <c r="N58" i="173"/>
  <c r="C57" i="177"/>
  <c r="I19" i="184"/>
  <c r="L19" i="184" s="1"/>
  <c r="P57" i="192"/>
  <c r="F57" i="192"/>
  <c r="S54" i="252"/>
  <c r="S55" i="254"/>
  <c r="F55" i="254"/>
  <c r="F28" i="255"/>
  <c r="F26" i="255"/>
  <c r="F23" i="255"/>
  <c r="C58" i="220"/>
  <c r="S58" i="220"/>
  <c r="U16" i="220"/>
  <c r="W16" i="220" s="1"/>
  <c r="W57" i="249"/>
  <c r="U57" i="249"/>
  <c r="AB18" i="249"/>
  <c r="AB16" i="249"/>
  <c r="D57" i="251"/>
  <c r="U57" i="250"/>
  <c r="AB18" i="250"/>
  <c r="S58" i="218"/>
  <c r="R58" i="221"/>
  <c r="C58" i="221"/>
  <c r="U25" i="221"/>
  <c r="W25" i="221" s="1"/>
  <c r="G58" i="173"/>
  <c r="W57" i="175"/>
  <c r="P57" i="175"/>
  <c r="P16" i="176"/>
  <c r="F16" i="176"/>
  <c r="F18" i="177"/>
  <c r="F16" i="177"/>
  <c r="F57" i="177" s="1"/>
  <c r="R57" i="178"/>
  <c r="F32" i="178"/>
  <c r="F28" i="178"/>
  <c r="F23" i="178"/>
  <c r="P57" i="180"/>
  <c r="O57" i="180"/>
  <c r="W19" i="181"/>
  <c r="F19" i="181"/>
  <c r="C57" i="181"/>
  <c r="U57" i="182"/>
  <c r="G57" i="182"/>
  <c r="F20" i="183"/>
  <c r="N57" i="183"/>
  <c r="C57" i="183"/>
  <c r="P64" i="184"/>
  <c r="S57" i="184"/>
  <c r="D57" i="185"/>
  <c r="S17" i="185"/>
  <c r="U31" i="186"/>
  <c r="W31" i="186" s="1"/>
  <c r="U24" i="186"/>
  <c r="W24" i="186" s="1"/>
  <c r="T24" i="186" s="1"/>
  <c r="U20" i="186"/>
  <c r="U57" i="188"/>
  <c r="N57" i="188"/>
  <c r="C57" i="188"/>
  <c r="G57" i="189"/>
  <c r="S16" i="189"/>
  <c r="S57" i="189" s="1"/>
  <c r="C57" i="189"/>
  <c r="U20" i="190"/>
  <c r="U57" i="190" s="1"/>
  <c r="I57" i="192"/>
  <c r="Z19" i="192"/>
  <c r="Z57" i="192" s="1"/>
  <c r="J57" i="193"/>
  <c r="C57" i="194"/>
  <c r="C57" i="195"/>
  <c r="U19" i="195"/>
  <c r="W19" i="195" s="1"/>
  <c r="U17" i="195"/>
  <c r="R57" i="197"/>
  <c r="D57" i="197"/>
  <c r="AB18" i="197"/>
  <c r="O16" i="197"/>
  <c r="O57" i="197" s="1"/>
  <c r="AB28" i="199"/>
  <c r="C57" i="205"/>
  <c r="T57" i="257"/>
  <c r="L16" i="267"/>
  <c r="L49" i="267" s="1"/>
  <c r="F59" i="280"/>
  <c r="F49" i="271"/>
  <c r="R57" i="280"/>
  <c r="Q59" i="280"/>
  <c r="S57" i="175"/>
  <c r="S18" i="280"/>
  <c r="S55" i="280" s="1"/>
  <c r="T49" i="277"/>
  <c r="I16" i="279"/>
  <c r="W49" i="279"/>
  <c r="S16" i="277"/>
  <c r="S49" i="277" s="1"/>
  <c r="P49" i="277"/>
  <c r="S57" i="270"/>
  <c r="P57" i="270"/>
  <c r="L17" i="263"/>
  <c r="I57" i="263"/>
  <c r="I49" i="275"/>
  <c r="L19" i="274"/>
  <c r="I49" i="274"/>
  <c r="I49" i="268"/>
  <c r="L19" i="268"/>
  <c r="L49" i="268" s="1"/>
  <c r="F49" i="275"/>
  <c r="F57" i="270"/>
  <c r="F49" i="269"/>
  <c r="F49" i="264"/>
  <c r="F49" i="266"/>
  <c r="T49" i="266"/>
  <c r="I50" i="278"/>
  <c r="L21" i="278"/>
  <c r="L50" i="278" s="1"/>
  <c r="L50" i="276"/>
  <c r="L20" i="269"/>
  <c r="L49" i="269" s="1"/>
  <c r="L27" i="263"/>
  <c r="T49" i="267"/>
  <c r="L20" i="274"/>
  <c r="T20" i="274" s="1"/>
  <c r="L20" i="265"/>
  <c r="F51" i="277"/>
  <c r="T50" i="273"/>
  <c r="P17" i="282"/>
  <c r="W17" i="282"/>
  <c r="P19" i="282"/>
  <c r="S19" i="282" s="1"/>
  <c r="W19" i="282"/>
  <c r="P21" i="282"/>
  <c r="S21" i="282" s="1"/>
  <c r="W21" i="282"/>
  <c r="S16" i="275"/>
  <c r="S49" i="275" s="1"/>
  <c r="P49" i="275"/>
  <c r="S16" i="271"/>
  <c r="S49" i="271" s="1"/>
  <c r="P49" i="271"/>
  <c r="S16" i="269"/>
  <c r="S49" i="269" s="1"/>
  <c r="P49" i="269"/>
  <c r="I21" i="281"/>
  <c r="W69" i="281"/>
  <c r="L18" i="280"/>
  <c r="L55" i="280" s="1"/>
  <c r="I55" i="280"/>
  <c r="P16" i="261"/>
  <c r="P57" i="261" s="1"/>
  <c r="L57" i="261"/>
  <c r="L60" i="283"/>
  <c r="J49" i="272"/>
  <c r="L20" i="272"/>
  <c r="L49" i="272" s="1"/>
  <c r="G50" i="107" s="1"/>
  <c r="H50" i="107" s="1"/>
  <c r="T57" i="270"/>
  <c r="T49" i="268"/>
  <c r="T49" i="264"/>
  <c r="W49" i="275"/>
  <c r="L49" i="271"/>
  <c r="S16" i="213"/>
  <c r="S57" i="213" s="1"/>
  <c r="R57" i="213"/>
  <c r="U21" i="252"/>
  <c r="W21" i="252" s="1"/>
  <c r="AB21" i="252" s="1"/>
  <c r="T21" i="252"/>
  <c r="T16" i="213"/>
  <c r="L57" i="213"/>
  <c r="T15" i="252"/>
  <c r="U15" i="252"/>
  <c r="F54" i="252"/>
  <c r="W57" i="213"/>
  <c r="C18" i="248"/>
  <c r="U18" i="248"/>
  <c r="W18" i="248" s="1"/>
  <c r="C16" i="248"/>
  <c r="F57" i="248"/>
  <c r="I16" i="248"/>
  <c r="P16" i="248"/>
  <c r="P57" i="248" s="1"/>
  <c r="U16" i="248"/>
  <c r="W16" i="248" s="1"/>
  <c r="F57" i="249"/>
  <c r="C18" i="249"/>
  <c r="T26" i="251"/>
  <c r="AB26" i="251"/>
  <c r="AB25" i="251"/>
  <c r="T25" i="251"/>
  <c r="U16" i="218"/>
  <c r="F16" i="218"/>
  <c r="D58" i="218"/>
  <c r="F19" i="221"/>
  <c r="U19" i="221"/>
  <c r="W19" i="221" s="1"/>
  <c r="T24" i="173"/>
  <c r="AB24" i="173"/>
  <c r="J58" i="173"/>
  <c r="AB20" i="174"/>
  <c r="AB19" i="174"/>
  <c r="J18" i="176"/>
  <c r="J57" i="176" s="1"/>
  <c r="J18" i="177"/>
  <c r="L18" i="177" s="1"/>
  <c r="P18" i="177"/>
  <c r="W57" i="179"/>
  <c r="T20" i="179"/>
  <c r="I57" i="179"/>
  <c r="J57" i="179"/>
  <c r="W57" i="181"/>
  <c r="P57" i="182"/>
  <c r="S16" i="182"/>
  <c r="S57" i="182" s="1"/>
  <c r="W16" i="254"/>
  <c r="C62" i="255"/>
  <c r="AB57" i="249"/>
  <c r="F58" i="173"/>
  <c r="F57" i="174"/>
  <c r="C57" i="175"/>
  <c r="C57" i="178"/>
  <c r="C57" i="182"/>
  <c r="C22" i="248"/>
  <c r="U22" i="248"/>
  <c r="W22" i="248" s="1"/>
  <c r="F22" i="220"/>
  <c r="U22" i="220"/>
  <c r="D58" i="220"/>
  <c r="F58" i="220"/>
  <c r="AB16" i="220"/>
  <c r="U22" i="251"/>
  <c r="W22" i="251" s="1"/>
  <c r="AF22" i="251"/>
  <c r="AF19" i="251"/>
  <c r="U19" i="251"/>
  <c r="F57" i="251"/>
  <c r="AB20" i="250"/>
  <c r="W57" i="250"/>
  <c r="F57" i="250"/>
  <c r="C18" i="250"/>
  <c r="T25" i="221"/>
  <c r="AB25" i="221"/>
  <c r="F22" i="221"/>
  <c r="U22" i="221"/>
  <c r="W22" i="221" s="1"/>
  <c r="F16" i="221"/>
  <c r="U16" i="221"/>
  <c r="D58" i="221"/>
  <c r="AB20" i="173"/>
  <c r="AB17" i="173"/>
  <c r="AB58" i="173" s="1"/>
  <c r="I17" i="173"/>
  <c r="J57" i="175"/>
  <c r="I57" i="175"/>
  <c r="L16" i="175"/>
  <c r="I16" i="177"/>
  <c r="AB16" i="177"/>
  <c r="W57" i="177"/>
  <c r="J57" i="181"/>
  <c r="I20" i="182"/>
  <c r="W22" i="254"/>
  <c r="AB22" i="254" s="1"/>
  <c r="W19" i="254"/>
  <c r="AB19" i="254" s="1"/>
  <c r="C57" i="249"/>
  <c r="C57" i="250"/>
  <c r="C57" i="176"/>
  <c r="C57" i="179"/>
  <c r="J57" i="183"/>
  <c r="I16" i="183"/>
  <c r="T20" i="187"/>
  <c r="W57" i="187"/>
  <c r="J19" i="187"/>
  <c r="L19" i="187" s="1"/>
  <c r="T19" i="187" s="1"/>
  <c r="W57" i="188"/>
  <c r="I20" i="188"/>
  <c r="W57" i="189"/>
  <c r="I19" i="189"/>
  <c r="L19" i="189" s="1"/>
  <c r="T19" i="189" s="1"/>
  <c r="L16" i="189"/>
  <c r="T16" i="189" s="1"/>
  <c r="I19" i="191"/>
  <c r="I17" i="194"/>
  <c r="I19" i="195"/>
  <c r="L19" i="195" s="1"/>
  <c r="T19" i="195" s="1"/>
  <c r="P19" i="195"/>
  <c r="R19" i="195"/>
  <c r="AB17" i="196"/>
  <c r="W57" i="206"/>
  <c r="I18" i="206"/>
  <c r="L18" i="206" s="1"/>
  <c r="T18" i="206" s="1"/>
  <c r="T19" i="198"/>
  <c r="P21" i="198"/>
  <c r="P22" i="198"/>
  <c r="I38" i="199"/>
  <c r="L38" i="199" s="1"/>
  <c r="T38" i="199" s="1"/>
  <c r="AB38" i="199"/>
  <c r="F57" i="199"/>
  <c r="F42" i="199"/>
  <c r="T36" i="199"/>
  <c r="I36" i="199"/>
  <c r="L36" i="199" s="1"/>
  <c r="AB36" i="199"/>
  <c r="I22" i="200"/>
  <c r="L22" i="200" s="1"/>
  <c r="T22" i="200" s="1"/>
  <c r="W57" i="200"/>
  <c r="C20" i="248"/>
  <c r="AB16" i="251"/>
  <c r="I16" i="251"/>
  <c r="AB16" i="250"/>
  <c r="AB57" i="250" s="1"/>
  <c r="T16" i="175"/>
  <c r="F20" i="176"/>
  <c r="F18" i="176"/>
  <c r="I16" i="176"/>
  <c r="F34" i="178"/>
  <c r="F30" i="178"/>
  <c r="F26" i="178"/>
  <c r="F20" i="178"/>
  <c r="W16" i="178"/>
  <c r="F20" i="179"/>
  <c r="F19" i="179"/>
  <c r="F16" i="179"/>
  <c r="I16" i="180"/>
  <c r="I16" i="181"/>
  <c r="T19" i="182"/>
  <c r="S57" i="185"/>
  <c r="F57" i="198"/>
  <c r="P19" i="183"/>
  <c r="P57" i="183" s="1"/>
  <c r="I19" i="183"/>
  <c r="L19" i="183" s="1"/>
  <c r="T19" i="183" s="1"/>
  <c r="L21" i="184"/>
  <c r="T21" i="184" s="1"/>
  <c r="I57" i="184"/>
  <c r="L57" i="184"/>
  <c r="T19" i="184"/>
  <c r="L17" i="185"/>
  <c r="T17" i="185" s="1"/>
  <c r="F57" i="186"/>
  <c r="C20" i="186"/>
  <c r="C57" i="186" s="1"/>
  <c r="J27" i="187"/>
  <c r="L27" i="187"/>
  <c r="F17" i="187"/>
  <c r="R17" i="187"/>
  <c r="R57" i="187" s="1"/>
  <c r="D57" i="187"/>
  <c r="P17" i="187"/>
  <c r="J20" i="189"/>
  <c r="J57" i="189" s="1"/>
  <c r="W21" i="191"/>
  <c r="U21" i="191"/>
  <c r="F57" i="191"/>
  <c r="T16" i="193"/>
  <c r="L57" i="193"/>
  <c r="P18" i="195"/>
  <c r="AB17" i="195"/>
  <c r="AB57" i="195" s="1"/>
  <c r="F57" i="195"/>
  <c r="T17" i="196"/>
  <c r="W57" i="197"/>
  <c r="F57" i="197"/>
  <c r="I16" i="197"/>
  <c r="AB16" i="197"/>
  <c r="I57" i="206"/>
  <c r="L17" i="206"/>
  <c r="I22" i="198"/>
  <c r="L22" i="198" s="1"/>
  <c r="T22" i="198" s="1"/>
  <c r="I21" i="198"/>
  <c r="W57" i="198"/>
  <c r="W44" i="199"/>
  <c r="W57" i="199" s="1"/>
  <c r="U57" i="199"/>
  <c r="S22" i="200"/>
  <c r="P57" i="200"/>
  <c r="F23" i="205"/>
  <c r="AF23" i="205" s="1"/>
  <c r="AF57" i="205" s="1"/>
  <c r="D28" i="205"/>
  <c r="F28" i="205" s="1"/>
  <c r="I28" i="205" s="1"/>
  <c r="L28" i="205" s="1"/>
  <c r="T28" i="205" s="1"/>
  <c r="D27" i="205"/>
  <c r="F27" i="205" s="1"/>
  <c r="I27" i="205" s="1"/>
  <c r="F32" i="255"/>
  <c r="F31" i="255"/>
  <c r="F29" i="255"/>
  <c r="F27" i="255"/>
  <c r="F25" i="255"/>
  <c r="F22" i="255"/>
  <c r="F21" i="255"/>
  <c r="F20" i="255"/>
  <c r="F19" i="255"/>
  <c r="F62" i="255" s="1"/>
  <c r="F20" i="175"/>
  <c r="F18" i="175"/>
  <c r="F57" i="175" s="1"/>
  <c r="AB18" i="177"/>
  <c r="F20" i="181"/>
  <c r="P16" i="181"/>
  <c r="F16" i="181"/>
  <c r="F57" i="181" s="1"/>
  <c r="F20" i="182"/>
  <c r="W16" i="182"/>
  <c r="F16" i="182"/>
  <c r="F57" i="182" s="1"/>
  <c r="F57" i="185"/>
  <c r="S57" i="200"/>
  <c r="F57" i="205"/>
  <c r="F19" i="183"/>
  <c r="F57" i="183" s="1"/>
  <c r="I19" i="185"/>
  <c r="I17" i="187"/>
  <c r="F20" i="188"/>
  <c r="I19" i="188"/>
  <c r="L19" i="188" s="1"/>
  <c r="F19" i="188"/>
  <c r="F57" i="188" s="1"/>
  <c r="P16" i="188"/>
  <c r="I16" i="188"/>
  <c r="D57" i="191"/>
  <c r="L57" i="192"/>
  <c r="G57" i="192"/>
  <c r="I20" i="197"/>
  <c r="T17" i="206"/>
  <c r="T23" i="198"/>
  <c r="T37" i="199"/>
  <c r="AB27" i="199"/>
  <c r="AB26" i="199"/>
  <c r="AB25" i="199"/>
  <c r="AB24" i="199"/>
  <c r="AB23" i="199"/>
  <c r="AB22" i="199"/>
  <c r="AB21" i="199"/>
  <c r="T21" i="199"/>
  <c r="AB19" i="199"/>
  <c r="T19" i="199"/>
  <c r="I18" i="199"/>
  <c r="L18" i="199" s="1"/>
  <c r="T18" i="199" s="1"/>
  <c r="AB17" i="199"/>
  <c r="T17" i="199"/>
  <c r="I16" i="199"/>
  <c r="AF22" i="200"/>
  <c r="AF57" i="200" s="1"/>
  <c r="I16" i="200"/>
  <c r="T18" i="187"/>
  <c r="T19" i="188"/>
  <c r="F16" i="189"/>
  <c r="F57" i="189" s="1"/>
  <c r="AB37" i="199"/>
  <c r="AB16" i="199"/>
  <c r="L49" i="265" l="1"/>
  <c r="T20" i="265"/>
  <c r="W17" i="195"/>
  <c r="U57" i="195"/>
  <c r="W16" i="174"/>
  <c r="U57" i="174"/>
  <c r="T57" i="193"/>
  <c r="L57" i="206"/>
  <c r="AB57" i="197"/>
  <c r="R18" i="195"/>
  <c r="F57" i="187"/>
  <c r="F57" i="176"/>
  <c r="F57" i="194"/>
  <c r="I57" i="189"/>
  <c r="L20" i="183"/>
  <c r="T20" i="183" s="1"/>
  <c r="P17" i="173"/>
  <c r="P58" i="173" s="1"/>
  <c r="L25" i="220"/>
  <c r="T25" i="220" s="1"/>
  <c r="T57" i="249"/>
  <c r="P57" i="185"/>
  <c r="L17" i="255"/>
  <c r="L62" i="255" s="1"/>
  <c r="F26" i="196"/>
  <c r="AB26" i="196" s="1"/>
  <c r="I26" i="196"/>
  <c r="L26" i="196" s="1"/>
  <c r="U26" i="196"/>
  <c r="W26" i="196" s="1"/>
  <c r="W17" i="194"/>
  <c r="U57" i="194"/>
  <c r="I20" i="190"/>
  <c r="W57" i="190"/>
  <c r="U57" i="186"/>
  <c r="W20" i="186"/>
  <c r="S16" i="176"/>
  <c r="S57" i="176" s="1"/>
  <c r="P57" i="176"/>
  <c r="F25" i="196"/>
  <c r="I25" i="196"/>
  <c r="U25" i="196"/>
  <c r="T49" i="265"/>
  <c r="I69" i="281"/>
  <c r="L21" i="281"/>
  <c r="L69" i="281" s="1"/>
  <c r="P57" i="282"/>
  <c r="S17" i="282"/>
  <c r="S57" i="282" s="1"/>
  <c r="L57" i="263"/>
  <c r="T17" i="263"/>
  <c r="T57" i="263" s="1"/>
  <c r="L16" i="279"/>
  <c r="L49" i="279" s="1"/>
  <c r="I49" i="279"/>
  <c r="T49" i="271"/>
  <c r="T49" i="272"/>
  <c r="O50" i="107" s="1"/>
  <c r="L49" i="274"/>
  <c r="T49" i="269"/>
  <c r="T50" i="276"/>
  <c r="T50" i="278"/>
  <c r="T55" i="280"/>
  <c r="T57" i="261"/>
  <c r="I21" i="282"/>
  <c r="L21" i="282" s="1"/>
  <c r="T21" i="282" s="1"/>
  <c r="I19" i="282"/>
  <c r="L19" i="282" s="1"/>
  <c r="T19" i="282" s="1"/>
  <c r="I17" i="282"/>
  <c r="W57" i="282"/>
  <c r="T49" i="279"/>
  <c r="L49" i="275"/>
  <c r="L20" i="197"/>
  <c r="T20" i="197" s="1"/>
  <c r="P20" i="197"/>
  <c r="T57" i="192"/>
  <c r="S16" i="188"/>
  <c r="S57" i="188" s="1"/>
  <c r="P57" i="188"/>
  <c r="L17" i="187"/>
  <c r="I57" i="187"/>
  <c r="J19" i="185"/>
  <c r="J57" i="185" s="1"/>
  <c r="L19" i="185"/>
  <c r="T19" i="185" s="1"/>
  <c r="I16" i="182"/>
  <c r="W57" i="182"/>
  <c r="L21" i="198"/>
  <c r="I57" i="198"/>
  <c r="L16" i="197"/>
  <c r="I57" i="197"/>
  <c r="I21" i="191"/>
  <c r="L21" i="191" s="1"/>
  <c r="T21" i="191" s="1"/>
  <c r="AB21" i="191"/>
  <c r="F60" i="186"/>
  <c r="L16" i="181"/>
  <c r="I57" i="181"/>
  <c r="L16" i="176"/>
  <c r="I57" i="176"/>
  <c r="I57" i="251"/>
  <c r="L16" i="251"/>
  <c r="J20" i="188"/>
  <c r="J57" i="188" s="1"/>
  <c r="L20" i="188"/>
  <c r="T20" i="188" s="1"/>
  <c r="L16" i="183"/>
  <c r="I57" i="183"/>
  <c r="J57" i="182"/>
  <c r="W16" i="221"/>
  <c r="W58" i="221" s="1"/>
  <c r="U58" i="221"/>
  <c r="T57" i="250"/>
  <c r="AB22" i="251"/>
  <c r="T22" i="251"/>
  <c r="L22" i="220"/>
  <c r="T22" i="220" s="1"/>
  <c r="AB22" i="220"/>
  <c r="AB16" i="254"/>
  <c r="AB55" i="254" s="1"/>
  <c r="W55" i="254"/>
  <c r="T19" i="221"/>
  <c r="AB19" i="221"/>
  <c r="I16" i="218"/>
  <c r="AB16" i="218"/>
  <c r="AB58" i="218" s="1"/>
  <c r="F58" i="218"/>
  <c r="L19" i="220"/>
  <c r="T19" i="220" s="1"/>
  <c r="K58" i="220"/>
  <c r="W57" i="248"/>
  <c r="J57" i="248"/>
  <c r="I57" i="248"/>
  <c r="S18" i="195"/>
  <c r="L20" i="189"/>
  <c r="T20" i="189" s="1"/>
  <c r="T57" i="184"/>
  <c r="F57" i="179"/>
  <c r="F57" i="178"/>
  <c r="P57" i="198"/>
  <c r="S19" i="195"/>
  <c r="W57" i="191"/>
  <c r="L19" i="181"/>
  <c r="T19" i="181" s="1"/>
  <c r="AB57" i="177"/>
  <c r="L18" i="175"/>
  <c r="T18" i="175" s="1"/>
  <c r="AF57" i="251"/>
  <c r="J58" i="220"/>
  <c r="L18" i="176"/>
  <c r="T18" i="176" s="1"/>
  <c r="L20" i="173"/>
  <c r="T20" i="173" s="1"/>
  <c r="C57" i="248"/>
  <c r="AB49" i="199"/>
  <c r="L16" i="200"/>
  <c r="I57" i="200"/>
  <c r="L16" i="199"/>
  <c r="I57" i="199"/>
  <c r="L16" i="188"/>
  <c r="I57" i="188"/>
  <c r="S16" i="181"/>
  <c r="S57" i="181" s="1"/>
  <c r="P57" i="181"/>
  <c r="L27" i="205"/>
  <c r="I57" i="205"/>
  <c r="I44" i="199"/>
  <c r="L44" i="199" s="1"/>
  <c r="AB44" i="199"/>
  <c r="AB57" i="199" s="1"/>
  <c r="U57" i="191"/>
  <c r="P57" i="187"/>
  <c r="S17" i="187"/>
  <c r="S57" i="187" s="1"/>
  <c r="L16" i="180"/>
  <c r="I57" i="180"/>
  <c r="AB16" i="178"/>
  <c r="AB57" i="178" s="1"/>
  <c r="I16" i="178"/>
  <c r="W57" i="178"/>
  <c r="T57" i="206"/>
  <c r="L17" i="194"/>
  <c r="I57" i="194"/>
  <c r="L19" i="191"/>
  <c r="I57" i="191"/>
  <c r="J16" i="177"/>
  <c r="J57" i="177" s="1"/>
  <c r="P16" i="177"/>
  <c r="I57" i="177"/>
  <c r="L17" i="173"/>
  <c r="I58" i="173"/>
  <c r="X17" i="173"/>
  <c r="X58" i="173" s="1"/>
  <c r="T16" i="221"/>
  <c r="F58" i="221"/>
  <c r="AB16" i="221"/>
  <c r="AB22" i="221"/>
  <c r="T22" i="221"/>
  <c r="W19" i="251"/>
  <c r="U57" i="251"/>
  <c r="L16" i="220"/>
  <c r="W22" i="220"/>
  <c r="W58" i="220" s="1"/>
  <c r="U58" i="220"/>
  <c r="W16" i="218"/>
  <c r="U58" i="218"/>
  <c r="T57" i="213"/>
  <c r="W15" i="252"/>
  <c r="U54" i="252"/>
  <c r="I57" i="185"/>
  <c r="AB57" i="191"/>
  <c r="J57" i="187"/>
  <c r="AB58" i="220"/>
  <c r="L16" i="179"/>
  <c r="I58" i="220" l="1"/>
  <c r="L57" i="189"/>
  <c r="L57" i="185"/>
  <c r="L16" i="248"/>
  <c r="L57" i="248" s="1"/>
  <c r="L25" i="196"/>
  <c r="L57" i="196" s="1"/>
  <c r="I57" i="196"/>
  <c r="I20" i="186"/>
  <c r="T26" i="196"/>
  <c r="AB16" i="174"/>
  <c r="AB57" i="174" s="1"/>
  <c r="I16" i="174"/>
  <c r="W57" i="174"/>
  <c r="W57" i="186"/>
  <c r="I17" i="195"/>
  <c r="W57" i="195"/>
  <c r="P17" i="195"/>
  <c r="R17" i="195"/>
  <c r="R57" i="195" s="1"/>
  <c r="W25" i="196"/>
  <c r="U57" i="196"/>
  <c r="AB25" i="196"/>
  <c r="AB57" i="196" s="1"/>
  <c r="F57" i="196"/>
  <c r="L20" i="190"/>
  <c r="I57" i="190"/>
  <c r="R17" i="194"/>
  <c r="R57" i="194" s="1"/>
  <c r="W57" i="194"/>
  <c r="P17" i="194"/>
  <c r="P57" i="194" s="1"/>
  <c r="T62" i="255"/>
  <c r="L17" i="282"/>
  <c r="I57" i="282"/>
  <c r="T49" i="274"/>
  <c r="L63" i="263"/>
  <c r="P62" i="282"/>
  <c r="T69" i="281"/>
  <c r="T49" i="275"/>
  <c r="W54" i="252"/>
  <c r="AB15" i="252"/>
  <c r="AB54" i="252" s="1"/>
  <c r="W58" i="218"/>
  <c r="L58" i="220"/>
  <c r="T16" i="220"/>
  <c r="T19" i="251"/>
  <c r="W57" i="251"/>
  <c r="AB19" i="251"/>
  <c r="AB57" i="251" s="1"/>
  <c r="L58" i="173"/>
  <c r="T17" i="173"/>
  <c r="L57" i="180"/>
  <c r="T16" i="180"/>
  <c r="T27" i="205"/>
  <c r="T57" i="205" s="1"/>
  <c r="L57" i="205"/>
  <c r="L57" i="188"/>
  <c r="T16" i="188"/>
  <c r="L57" i="199"/>
  <c r="L49" i="199"/>
  <c r="T16" i="199"/>
  <c r="L57" i="200"/>
  <c r="T16" i="200"/>
  <c r="T55" i="254"/>
  <c r="L57" i="251"/>
  <c r="L57" i="187"/>
  <c r="T17" i="187"/>
  <c r="L16" i="177"/>
  <c r="L57" i="177" s="1"/>
  <c r="L57" i="175"/>
  <c r="G38" i="107" s="1"/>
  <c r="L57" i="179"/>
  <c r="T16" i="179"/>
  <c r="S16" i="177"/>
  <c r="S57" i="177" s="1"/>
  <c r="P57" i="177"/>
  <c r="L57" i="191"/>
  <c r="T19" i="191"/>
  <c r="L57" i="194"/>
  <c r="T17" i="194"/>
  <c r="J57" i="178"/>
  <c r="L16" i="178"/>
  <c r="I57" i="178"/>
  <c r="T57" i="185"/>
  <c r="L16" i="218"/>
  <c r="L58" i="218" s="1"/>
  <c r="I58" i="218"/>
  <c r="T58" i="221"/>
  <c r="L57" i="183"/>
  <c r="T16" i="183"/>
  <c r="L57" i="176"/>
  <c r="T16" i="176"/>
  <c r="L57" i="181"/>
  <c r="G53" i="107" s="1"/>
  <c r="H53" i="107" s="1"/>
  <c r="T16" i="181"/>
  <c r="L57" i="197"/>
  <c r="T16" i="197"/>
  <c r="L57" i="198"/>
  <c r="T21" i="198"/>
  <c r="L16" i="182"/>
  <c r="I57" i="182"/>
  <c r="P57" i="197"/>
  <c r="S20" i="197"/>
  <c r="S57" i="197" s="1"/>
  <c r="AB58" i="221"/>
  <c r="L20" i="182"/>
  <c r="T20" i="182" s="1"/>
  <c r="H38" i="107" l="1"/>
  <c r="H86" i="107" s="1"/>
  <c r="G86" i="107"/>
  <c r="L57" i="178"/>
  <c r="T16" i="178"/>
  <c r="T16" i="248"/>
  <c r="T57" i="189"/>
  <c r="T57" i="248"/>
  <c r="I57" i="174"/>
  <c r="J16" i="174"/>
  <c r="J57" i="174" s="1"/>
  <c r="L20" i="186"/>
  <c r="I57" i="186"/>
  <c r="T20" i="190"/>
  <c r="L57" i="190"/>
  <c r="T25" i="196"/>
  <c r="W57" i="196"/>
  <c r="S17" i="195"/>
  <c r="S57" i="195" s="1"/>
  <c r="P57" i="195"/>
  <c r="I57" i="195"/>
  <c r="L17" i="195"/>
  <c r="L57" i="282"/>
  <c r="T17" i="282"/>
  <c r="T57" i="282" s="1"/>
  <c r="T57" i="198"/>
  <c r="T57" i="194"/>
  <c r="T57" i="179"/>
  <c r="T57" i="177"/>
  <c r="L63" i="187"/>
  <c r="T57" i="187"/>
  <c r="T57" i="200"/>
  <c r="T54" i="252"/>
  <c r="T57" i="191"/>
  <c r="T58" i="220"/>
  <c r="T16" i="218"/>
  <c r="L57" i="182"/>
  <c r="T16" i="182"/>
  <c r="T57" i="197"/>
  <c r="T57" i="181"/>
  <c r="O53" i="107" s="1"/>
  <c r="T57" i="176"/>
  <c r="T57" i="183"/>
  <c r="T57" i="175"/>
  <c r="O38" i="107" s="1"/>
  <c r="T49" i="199"/>
  <c r="T57" i="199"/>
  <c r="T57" i="188"/>
  <c r="T57" i="180"/>
  <c r="T58" i="173"/>
  <c r="T57" i="251"/>
  <c r="T58" i="218"/>
  <c r="O86" i="107" l="1"/>
  <c r="T57" i="178"/>
  <c r="L57" i="195"/>
  <c r="T17" i="195"/>
  <c r="T57" i="196"/>
  <c r="T57" i="190"/>
  <c r="L16" i="174"/>
  <c r="S63" i="195"/>
  <c r="U63" i="195" s="1"/>
  <c r="L57" i="186"/>
  <c r="T20" i="186"/>
  <c r="T57" i="186" s="1"/>
  <c r="T57" i="182"/>
  <c r="L57" i="174" l="1"/>
  <c r="T16" i="174"/>
  <c r="T57" i="195"/>
  <c r="T57" i="174" l="1"/>
</calcChain>
</file>

<file path=xl/comments1.xml><?xml version="1.0" encoding="utf-8"?>
<comments xmlns="http://schemas.openxmlformats.org/spreadsheetml/2006/main">
  <authors>
    <author>Abdelghani MOUSTAID</author>
  </authors>
  <commentList>
    <comment ref="U15" authorId="0" shapeId="0">
      <text>
        <r>
          <rPr>
            <b/>
            <sz val="9"/>
            <color indexed="81"/>
            <rFont val="Tahoma"/>
            <family val="2"/>
          </rPr>
          <t>Abdelghani MOUSTAID:</t>
        </r>
        <r>
          <rPr>
            <sz val="9"/>
            <color indexed="81"/>
            <rFont val="Tahoma"/>
            <family val="2"/>
          </rPr>
          <t xml:space="preserve">
Valeure considérée par AM, en supposant que l'étudu géométrique ne dépasse pas 60 000 TTC</t>
        </r>
      </text>
    </comment>
  </commentList>
</comments>
</file>

<file path=xl/comments2.xml><?xml version="1.0" encoding="utf-8"?>
<comments xmlns="http://schemas.openxmlformats.org/spreadsheetml/2006/main">
  <authors>
    <author>Abdelghani MOUSTAID</author>
  </authors>
  <commentList>
    <comment ref="L18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  <comment ref="L21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</commentList>
</comments>
</file>

<file path=xl/comments3.xml><?xml version="1.0" encoding="utf-8"?>
<comments xmlns="http://schemas.openxmlformats.org/spreadsheetml/2006/main">
  <authors>
    <author>Hanae</author>
  </authors>
  <commentList>
    <comment ref="K15" authorId="0" shapeId="0">
      <text>
        <r>
          <rPr>
            <b/>
            <sz val="9"/>
            <color indexed="81"/>
            <rFont val="Tahoma"/>
            <family val="2"/>
          </rPr>
          <t>MOUSTAID : P° 2014 modifiée pour se conformer à la fiche compta (ST consommée = 20040 DH TTC)</t>
        </r>
      </text>
    </comment>
  </commentList>
</comments>
</file>

<file path=xl/comments4.xml><?xml version="1.0" encoding="utf-8"?>
<comments xmlns="http://schemas.openxmlformats.org/spreadsheetml/2006/main">
  <authors>
    <author>Hanae</author>
  </authors>
  <commentList>
    <comment ref="K16" authorId="0" shapeId="0">
      <text>
        <r>
          <rPr>
            <b/>
            <sz val="9"/>
            <color indexed="81"/>
            <rFont val="Tahoma"/>
            <family val="2"/>
          </rPr>
          <t>MOUSTAID : prod 2014 modifiée poue se conformer a la fiche compta (ST consomée = 10680 DH TTC)</t>
        </r>
      </text>
    </comment>
  </commentList>
</comments>
</file>

<file path=xl/comments5.xml><?xml version="1.0" encoding="utf-8"?>
<comments xmlns="http://schemas.openxmlformats.org/spreadsheetml/2006/main">
  <authors>
    <author>Abdelghani MOUSTAID</author>
  </authors>
  <commentList>
    <comment ref="L16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  <comment ref="L18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  <comment ref="L20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  <comment ref="L23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</commentList>
</comments>
</file>

<file path=xl/comments6.xml><?xml version="1.0" encoding="utf-8"?>
<comments xmlns="http://schemas.openxmlformats.org/spreadsheetml/2006/main">
  <authors>
    <author>Hanae</author>
    <author>Hanae BENELASRI</author>
  </authors>
  <commentList>
    <comment ref="J16" authorId="0" shapeId="0">
      <text>
        <r>
          <rPr>
            <b/>
            <sz val="8"/>
            <color indexed="81"/>
            <rFont val="Tahoma"/>
            <family val="2"/>
          </rPr>
          <t>MOUSTAID : P° 2014 modifiée pour se conformer à la fiche compta (DET = 144000, Compta : 150 000 , Diff = 6000 DH TTC)
Donc, colonne 8 : 30 000 au lieu de 36 000 Dh</t>
        </r>
      </text>
    </comment>
    <comment ref="N16" authorId="1" shapeId="0">
      <text>
        <r>
          <rPr>
            <b/>
            <sz val="9"/>
            <color indexed="81"/>
            <rFont val="Tahoma"/>
            <family val="2"/>
          </rPr>
          <t>ST consommée Support = 57000,00 au lieu de 53400,00</t>
        </r>
      </text>
    </comment>
  </commentList>
</comments>
</file>

<file path=xl/comments7.xml><?xml version="1.0" encoding="utf-8"?>
<comments xmlns="http://schemas.openxmlformats.org/spreadsheetml/2006/main">
  <authors>
    <author>Hanae</author>
    <author>Abdelghani MOUSTAID</author>
    <author>Hanae BENELASRI</author>
  </authors>
  <commentList>
    <comment ref="K16" authorId="0" shapeId="0">
      <text>
        <r>
          <rPr>
            <b/>
            <sz val="9"/>
            <color indexed="81"/>
            <rFont val="Tahoma"/>
            <family val="2"/>
          </rPr>
          <t>MOUSTAID : P° 2014 modifiée pour se conformer à la fiche compta (ST consommée = 212850 
DH TTC)</t>
        </r>
      </text>
    </comment>
    <comment ref="L16" authorId="1" shapeId="0">
      <text>
        <r>
          <rPr>
            <sz val="9"/>
            <color indexed="81"/>
            <rFont val="Tahoma"/>
            <family val="2"/>
          </rPr>
          <t>Dépassement_x000F_</t>
        </r>
      </text>
    </comment>
    <comment ref="N25" authorId="2" shapeId="0">
      <text>
        <r>
          <rPr>
            <b/>
            <sz val="9"/>
            <color indexed="81"/>
            <rFont val="Tahoma"/>
            <family val="2"/>
          </rPr>
          <t>ST consommée Support TOTAL ST =157200,00 au lieu de 145600,00</t>
        </r>
      </text>
    </comment>
  </commentList>
</comments>
</file>

<file path=xl/comments8.xml><?xml version="1.0" encoding="utf-8"?>
<comments xmlns="http://schemas.openxmlformats.org/spreadsheetml/2006/main">
  <authors>
    <author>Hanae</author>
    <author>Hanae BENELASRI</author>
  </authors>
  <commentList>
    <comment ref="K16" authorId="0" shapeId="0">
      <text>
        <r>
          <rPr>
            <b/>
            <sz val="9"/>
            <color indexed="81"/>
            <rFont val="Tahoma"/>
            <family val="2"/>
          </rPr>
          <t>MOUSTAID : P° 2014 modifiée pour se conformer à la fiche compta (ST consommée = 44640 DH TTC)</t>
        </r>
      </text>
    </comment>
    <comment ref="N18" authorId="1" shapeId="0">
      <text>
        <r>
          <rPr>
            <b/>
            <sz val="9"/>
            <color indexed="81"/>
            <rFont val="Tahoma"/>
            <family val="2"/>
          </rPr>
          <t>ST CONSOMMEE SUPPORT EN 2015 = 67200,00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Hanae</author>
  </authors>
  <commentList>
    <comment ref="K16" authorId="0" shapeId="0">
      <text>
        <r>
          <rPr>
            <b/>
            <sz val="9"/>
            <color indexed="81"/>
            <rFont val="Tahoma"/>
            <family val="2"/>
          </rPr>
          <t>MOUSTAID : P° 2014 modifiée pour se conformer à la fiche compta (ST consommée = 44640 DH TTC)</t>
        </r>
      </text>
    </comment>
  </commentList>
</comments>
</file>

<file path=xl/comments10.xml><?xml version="1.0" encoding="utf-8"?>
<comments xmlns="http://schemas.openxmlformats.org/spreadsheetml/2006/main">
  <authors>
    <author>Hanae BENELASRI</author>
  </authors>
  <commentList>
    <comment ref="G18" authorId="0" shapeId="0">
      <text>
        <r>
          <rPr>
            <b/>
            <sz val="9"/>
            <color indexed="81"/>
            <rFont val="Tahoma"/>
            <family val="2"/>
          </rPr>
          <t>44800 EURO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ST CONSOMMEE SUPPORT EN 2015= 300552,00</t>
        </r>
      </text>
    </comment>
  </commentList>
</comments>
</file>

<file path=xl/comments11.xml><?xml version="1.0" encoding="utf-8"?>
<comments xmlns="http://schemas.openxmlformats.org/spreadsheetml/2006/main">
  <authors>
    <author>Admin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Etude arrêtée par ADM pour motif de modification des termes de référence. Arrêt de l'étude au stade de la mission 1 de la phase 1</t>
        </r>
      </text>
    </comment>
    <comment ref="F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Etude arrêtée par ADM pour motif de modification des termes de référence. Arrêt de l'étude au stade de la mission 1 de la phase 1. Cette mission a été estimée à 280 500 DH HT et accordée par ADM.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Phase annulée suite à l'arrêt du marché par ADM pour motif de modification des termes de référence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Phase annulée suite à l'arrêt du marché par ADM pour motif de modification des termes de référence</t>
        </r>
      </text>
    </comment>
  </commentList>
</comments>
</file>

<file path=xl/comments12.xml><?xml version="1.0" encoding="utf-8"?>
<comments xmlns="http://schemas.openxmlformats.org/spreadsheetml/2006/main">
  <authors>
    <author>Abdelghani MOUSTAID</author>
    <author>Hanae BENELASRI</author>
  </authors>
  <commentList>
    <comment ref="G18" authorId="0" shapeId="0">
      <text>
        <r>
          <rPr>
            <b/>
            <sz val="9"/>
            <color indexed="81"/>
            <rFont val="Tahoma"/>
            <family val="2"/>
          </rPr>
          <t>Valeur initiale au 01/01/2015 : 0</t>
        </r>
      </text>
    </comment>
    <comment ref="N18" authorId="1" shapeId="0">
      <text>
        <r>
          <rPr>
            <b/>
            <sz val="9"/>
            <color indexed="81"/>
            <rFont val="Tahoma"/>
            <family val="2"/>
          </rPr>
          <t>ST CONSOMMEE EN 2015 SUPPORT = 77760,00</t>
        </r>
      </text>
    </comment>
  </commentList>
</comments>
</file>

<file path=xl/comments13.xml><?xml version="1.0" encoding="utf-8"?>
<comments xmlns="http://schemas.openxmlformats.org/spreadsheetml/2006/main">
  <authors>
    <author>OUSSAMA.KHOMSI</author>
    <author>Hanae BENELASRI</author>
  </authors>
  <commentList>
    <comment ref="H20" authorId="0" shapeId="0">
      <text>
        <r>
          <rPr>
            <b/>
            <sz val="8"/>
            <color indexed="81"/>
            <rFont val="Tahoma"/>
            <family val="2"/>
          </rPr>
          <t>Enquêtes de circulation</t>
        </r>
      </text>
    </comment>
    <comment ref="N20" authorId="1" shapeId="0">
      <text>
        <r>
          <rPr>
            <b/>
            <sz val="9"/>
            <color indexed="81"/>
            <rFont val="Tahoma"/>
            <family val="2"/>
          </rPr>
          <t>Hanae BENELASRI:</t>
        </r>
        <r>
          <rPr>
            <sz val="9"/>
            <color indexed="81"/>
            <rFont val="Tahoma"/>
            <family val="2"/>
          </rPr>
          <t xml:space="preserve">
ST CONSOMMEE SUPPORT =255180,00 AU LIEU DE 245580,00</t>
        </r>
      </text>
    </comment>
    <comment ref="H21" authorId="0" shapeId="0">
      <text>
        <r>
          <rPr>
            <b/>
            <sz val="8"/>
            <color indexed="81"/>
            <rFont val="Tahoma"/>
            <family val="2"/>
          </rPr>
          <t>Enquêtes ménages</t>
        </r>
      </text>
    </comment>
    <comment ref="H22" authorId="0" shapeId="0">
      <text>
        <r>
          <rPr>
            <b/>
            <sz val="8"/>
            <color indexed="81"/>
            <rFont val="Tahoma"/>
            <family val="2"/>
          </rPr>
          <t>Enquêtes ménages</t>
        </r>
      </text>
    </comment>
    <comment ref="H23" authorId="0" shapeId="0">
      <text>
        <r>
          <rPr>
            <b/>
            <sz val="8"/>
            <color indexed="81"/>
            <rFont val="Tahoma"/>
            <family val="2"/>
          </rPr>
          <t>Méthodologie enquête ménages</t>
        </r>
      </text>
    </comment>
  </commentList>
</comments>
</file>

<file path=xl/comments14.xml><?xml version="1.0" encoding="utf-8"?>
<comments xmlns="http://schemas.openxmlformats.org/spreadsheetml/2006/main">
  <authors>
    <author>ABDELGHANI.MOUSTAID</author>
  </authors>
  <commentList>
    <comment ref="N17" authorId="0" shapeId="0">
      <text>
        <r>
          <rPr>
            <b/>
            <sz val="8"/>
            <color indexed="81"/>
            <rFont val="Tahoma"/>
            <family val="2"/>
          </rPr>
          <t>Correction : 110 000 Ht remplacé par 132 000 TTC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7" authorId="0" shapeId="0">
      <text>
        <r>
          <rPr>
            <b/>
            <sz val="8"/>
            <color indexed="81"/>
            <rFont val="Tahoma"/>
            <family val="2"/>
          </rPr>
          <t>TB : 228 000
Support : 456 000
Valeur adoptée = celle du support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La production est affichée à hauteur de 100% pour être conforme à la facturation
</t>
        </r>
      </text>
    </comment>
    <comment ref="N18" authorId="0" shapeId="0">
      <text>
        <r>
          <rPr>
            <b/>
            <sz val="8"/>
            <color indexed="81"/>
            <rFont val="Tahoma"/>
            <family val="2"/>
          </rPr>
          <t>La sous traitance est considérée consomée à 100% pour la mission 2</t>
        </r>
      </text>
    </comment>
  </commentList>
</comments>
</file>

<file path=xl/comments15.xml><?xml version="1.0" encoding="utf-8"?>
<comments xmlns="http://schemas.openxmlformats.org/spreadsheetml/2006/main">
  <authors>
    <author>Hanae BENELASRI</author>
  </authors>
  <commentList>
    <comment ref="N19" authorId="0" shapeId="0">
      <text>
        <r>
          <rPr>
            <b/>
            <sz val="9"/>
            <color indexed="81"/>
            <rFont val="Tahoma"/>
            <family val="2"/>
          </rPr>
          <t>ST consommée Support TOTAL =137914,29 au lieu de 128914,29</t>
        </r>
      </text>
    </comment>
  </commentList>
</comments>
</file>

<file path=xl/comments16.xml><?xml version="1.0" encoding="utf-8"?>
<comments xmlns="http://schemas.openxmlformats.org/spreadsheetml/2006/main">
  <authors>
    <author>Hanae BENELASRI</author>
    <author>Abdelghani MOUSTAID</author>
  </authors>
  <commentList>
    <comment ref="N16" authorId="0" shapeId="0">
      <text>
        <r>
          <rPr>
            <b/>
            <sz val="9"/>
            <color indexed="81"/>
            <rFont val="Tahoma"/>
            <family val="2"/>
          </rPr>
          <t>ST CONSOMMEE SUPPORT = 139080
AU LIEU DE 141240,00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Au lieu de 60 000 Dh initialement</t>
        </r>
      </text>
    </comment>
  </commentList>
</comments>
</file>

<file path=xl/comments17.xml><?xml version="1.0" encoding="utf-8"?>
<comments xmlns="http://schemas.openxmlformats.org/spreadsheetml/2006/main">
  <authors>
    <author>Hanae BENELASRI</author>
    <author>Abdelghani MOUSTAID</author>
  </authors>
  <commentList>
    <comment ref="N16" authorId="0" shapeId="0">
      <text>
        <r>
          <rPr>
            <b/>
            <sz val="9"/>
            <color indexed="81"/>
            <rFont val="Tahoma"/>
            <family val="2"/>
          </rPr>
          <t xml:space="preserve">ST CONSOMMEE SUPPORT=197880 AU LIEU DE 180120
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Au lieu de 60000 initialement</t>
        </r>
      </text>
    </comment>
  </commentList>
</comments>
</file>

<file path=xl/comments18.xml><?xml version="1.0" encoding="utf-8"?>
<comments xmlns="http://schemas.openxmlformats.org/spreadsheetml/2006/main">
  <authors>
    <author>OUSSAMA.KHOMSI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Enquête de trafics + saisie des données réalisées en Juillet/Août 2012 avant la mise en place du contrat de l'étude en 2013</t>
        </r>
      </text>
    </comment>
  </commentList>
</comments>
</file>

<file path=xl/comments19.xml><?xml version="1.0" encoding="utf-8"?>
<comments xmlns="http://schemas.openxmlformats.org/spreadsheetml/2006/main">
  <authors>
    <author>Hanae BENELASRI</author>
  </authors>
  <commentList>
    <comment ref="N19" authorId="0" shapeId="0">
      <text>
        <r>
          <rPr>
            <b/>
            <sz val="9"/>
            <color indexed="81"/>
            <rFont val="Tahoma"/>
            <family val="2"/>
          </rPr>
          <t>ST consommée SUPPORT = 60720,00</t>
        </r>
      </text>
    </comment>
  </commentList>
</comments>
</file>

<file path=xl/comments20.xml><?xml version="1.0" encoding="utf-8"?>
<comments xmlns="http://schemas.openxmlformats.org/spreadsheetml/2006/main">
  <authors>
    <author>ABDELGHANI.MOUSTAID</author>
    <author>Hanae BENELASRI</author>
  </authors>
  <commentList>
    <comment ref="X16" authorId="0" shapeId="0">
      <text>
        <r>
          <rPr>
            <b/>
            <sz val="8"/>
            <color indexed="81"/>
            <rFont val="Tahoma"/>
            <family val="2"/>
          </rPr>
          <t>TB : 48 000 Dh
Support : 2 142,86 Dh
Adopté : 2 142,86 Dh</t>
        </r>
      </text>
    </comment>
    <comment ref="N19" authorId="1" shapeId="0">
      <text>
        <r>
          <rPr>
            <b/>
            <sz val="9"/>
            <color indexed="81"/>
            <rFont val="Tahoma"/>
            <family val="2"/>
          </rPr>
          <t>ST consommée SUPPORT = 49200,00 au lieu de 28200,00</t>
        </r>
      </text>
    </comment>
  </commentList>
</comments>
</file>

<file path=xl/comments21.xml><?xml version="1.0" encoding="utf-8"?>
<comments xmlns="http://schemas.openxmlformats.org/spreadsheetml/2006/main">
  <authors>
    <author>Hanae</author>
  </authors>
  <commentList>
    <comment ref="X20" authorId="0" shapeId="0">
      <text>
        <r>
          <rPr>
            <sz val="9"/>
            <color indexed="81"/>
            <rFont val="Tahoma"/>
            <family val="2"/>
          </rPr>
          <t>MOUSTAID : P° cumulée au 31/12/2013 corrigée de manière à avoir une P° nulle en 2014 conformément avec le fichier compta</t>
        </r>
      </text>
    </comment>
  </commentList>
</comments>
</file>

<file path=xl/comments22.xml><?xml version="1.0" encoding="utf-8"?>
<comments xmlns="http://schemas.openxmlformats.org/spreadsheetml/2006/main">
  <authors>
    <author>Hanae BENELASRI</author>
  </authors>
  <commentList>
    <comment ref="N20" authorId="0" shapeId="0">
      <text>
        <r>
          <rPr>
            <b/>
            <sz val="9"/>
            <color indexed="81"/>
            <rFont val="Tahoma"/>
            <family val="2"/>
          </rPr>
          <t xml:space="preserve">ST CONSOMMEE SUPPORT 4571,43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ST CONSOMMEE EN 2015 SUPPORT 64800</t>
        </r>
      </text>
    </comment>
  </commentList>
</comments>
</file>

<file path=xl/comments23.xml><?xml version="1.0" encoding="utf-8"?>
<comments xmlns="http://schemas.openxmlformats.org/spreadsheetml/2006/main">
  <authors>
    <author>ABDELGHANI.MOUSTAID</author>
    <author>Hanae BENELASRI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Montants réels suite à l'établissement du contrat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6" authorId="0" shapeId="0">
      <text>
        <r>
          <rPr>
            <b/>
            <sz val="8"/>
            <color indexed="81"/>
            <rFont val="Tahoma"/>
            <family val="2"/>
          </rPr>
          <t>ST consommée à hauteur de 100%</t>
        </r>
      </text>
    </comment>
    <comment ref="N20" authorId="1" shapeId="0">
      <text>
        <r>
          <rPr>
            <b/>
            <sz val="9"/>
            <color indexed="81"/>
            <rFont val="Tahoma"/>
            <family val="2"/>
          </rPr>
          <t>ST consommée SUPPORT TOTAL = 234000,00 AU LIEU DE 183600</t>
        </r>
      </text>
    </comment>
  </commentList>
</comments>
</file>

<file path=xl/comments24.xml><?xml version="1.0" encoding="utf-8"?>
<comments xmlns="http://schemas.openxmlformats.org/spreadsheetml/2006/main">
  <authors>
    <author>OUSSAMA.KHOMSI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Source : Contrat de sous-traitance</t>
        </r>
      </text>
    </comment>
    <comment ref="G19" authorId="0" shapeId="0">
      <text>
        <r>
          <rPr>
            <b/>
            <sz val="8"/>
            <color indexed="81"/>
            <rFont val="Tahoma"/>
            <family val="2"/>
          </rPr>
          <t>Source : Contrat de sous-traitance</t>
        </r>
      </text>
    </comment>
  </commentList>
</comments>
</file>

<file path=xl/comments25.xml><?xml version="1.0" encoding="utf-8"?>
<comments xmlns="http://schemas.openxmlformats.org/spreadsheetml/2006/main">
  <authors>
    <author>OUSSAMA.KHOMSI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Source : Contrat de sous-traitance</t>
        </r>
      </text>
    </comment>
    <comment ref="G19" authorId="0" shapeId="0">
      <text>
        <r>
          <rPr>
            <b/>
            <sz val="8"/>
            <color indexed="81"/>
            <rFont val="Tahoma"/>
            <family val="2"/>
          </rPr>
          <t>Source : Contrat de sous-traitance</t>
        </r>
      </text>
    </comment>
    <comment ref="G20" authorId="0" shapeId="0">
      <text>
        <r>
          <rPr>
            <b/>
            <sz val="8"/>
            <color indexed="81"/>
            <rFont val="Tahoma"/>
            <family val="2"/>
          </rPr>
          <t>Source : Contrat de sous-traitance</t>
        </r>
      </text>
    </comment>
  </commentList>
</comments>
</file>

<file path=xl/comments26.xml><?xml version="1.0" encoding="utf-8"?>
<comments xmlns="http://schemas.openxmlformats.org/spreadsheetml/2006/main">
  <authors>
    <author>ABDELGHANI.MOUSTAID</author>
    <author>Hanae</author>
    <author>Hanae BENELASRI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Correction code affaire 201100435 au lieu de 201000435</t>
        </r>
      </text>
    </comment>
    <comment ref="L16" authorId="1" shapeId="0">
      <text>
        <r>
          <rPr>
            <sz val="9"/>
            <color indexed="81"/>
            <rFont val="Tahoma"/>
            <family val="2"/>
          </rPr>
          <t>Dépassement_x000F_</t>
        </r>
      </text>
    </comment>
    <comment ref="N19" authorId="0" shapeId="0">
      <text>
        <r>
          <rPr>
            <b/>
            <sz val="8"/>
            <color indexed="81"/>
            <rFont val="Tahoma"/>
            <family val="2"/>
          </rPr>
          <t>Enquêtes Phase 2 réalisées par RSTD
Cartes élaborées en interne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MOUSTAID : P° 2014 modifiée pour se conformer à la fiche compta (ST consommée = 5429,86 DH TTC)</t>
        </r>
      </text>
    </comment>
    <comment ref="P20" authorId="2" shapeId="0">
      <text>
        <r>
          <rPr>
            <b/>
            <sz val="9"/>
            <color indexed="81"/>
            <rFont val="Tahoma"/>
            <family val="2"/>
          </rPr>
          <t>POUR SE CONFORMER AU SUPPORT</t>
        </r>
      </text>
    </comment>
  </commentList>
</comments>
</file>

<file path=xl/comments27.xml><?xml version="1.0" encoding="utf-8"?>
<comments xmlns="http://schemas.openxmlformats.org/spreadsheetml/2006/main">
  <authors>
    <author>OUSSAMA.KHOMSI</author>
    <author>Hanae BENELASRI</author>
  </authors>
  <commentList>
    <comment ref="A21" authorId="0" shapeId="0">
      <text>
        <r>
          <rPr>
            <b/>
            <sz val="8"/>
            <color indexed="81"/>
            <rFont val="Tahoma"/>
            <family val="2"/>
          </rPr>
          <t>Avenant au contrat de base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ST consommée SUPPORT = 18960,00</t>
        </r>
      </text>
    </comment>
  </commentList>
</comments>
</file>

<file path=xl/comments28.xml><?xml version="1.0" encoding="utf-8"?>
<comments xmlns="http://schemas.openxmlformats.org/spreadsheetml/2006/main">
  <authors>
    <author>Hanae BENELASRI</author>
  </authors>
  <commentList>
    <comment ref="N19" authorId="0" shapeId="0">
      <text>
        <r>
          <rPr>
            <b/>
            <sz val="9"/>
            <color indexed="81"/>
            <rFont val="Tahoma"/>
            <family val="2"/>
          </rPr>
          <t>ST consommée SUPPORT = 144000,00 au lieu de 72000,00</t>
        </r>
      </text>
    </comment>
  </commentList>
</comments>
</file>

<file path=xl/comments29.xml><?xml version="1.0" encoding="utf-8"?>
<comments xmlns="http://schemas.openxmlformats.org/spreadsheetml/2006/main">
  <authors>
    <author>OUSSAMA.KHOMSI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Source fiche de production au 31-12-2012</t>
        </r>
      </text>
    </comment>
    <comment ref="G19" authorId="0" shapeId="0">
      <text>
        <r>
          <rPr>
            <b/>
            <sz val="8"/>
            <color indexed="81"/>
            <rFont val="Tahoma"/>
            <family val="2"/>
          </rPr>
          <t>Source : Fiche de production au 31-12-2012</t>
        </r>
      </text>
    </comment>
    <comment ref="G20" authorId="0" shapeId="0">
      <text>
        <r>
          <rPr>
            <b/>
            <sz val="8"/>
            <color indexed="81"/>
            <rFont val="Tahoma"/>
            <family val="2"/>
          </rPr>
          <t>Source : Fiche de production au 31-12-2012</t>
        </r>
      </text>
    </comment>
    <comment ref="Y20" authorId="0" shapeId="0">
      <text>
        <r>
          <rPr>
            <b/>
            <sz val="8"/>
            <color indexed="81"/>
            <rFont val="Tahoma"/>
            <family val="2"/>
          </rPr>
          <t>Montant rajouté par le service administratif dans la version comptabilisée des fiches au 31-12-2013</t>
        </r>
      </text>
    </comment>
  </commentList>
</comments>
</file>

<file path=xl/comments30.xml><?xml version="1.0" encoding="utf-8"?>
<comments xmlns="http://schemas.openxmlformats.org/spreadsheetml/2006/main">
  <authors>
    <author>OUSSAMA.KHOMSI</author>
    <author>Hanae BENELASRI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Source : Fiche de production au 31-12-2012</t>
        </r>
      </text>
    </comment>
    <comment ref="G19" authorId="0" shapeId="0">
      <text>
        <r>
          <rPr>
            <b/>
            <sz val="8"/>
            <color indexed="81"/>
            <rFont val="Tahoma"/>
            <family val="2"/>
          </rPr>
          <t>Source : Fiche de production au 31-12-2012</t>
        </r>
      </text>
    </comment>
    <comment ref="N19" authorId="1" shapeId="0">
      <text>
        <r>
          <rPr>
            <b/>
            <sz val="9"/>
            <color indexed="81"/>
            <rFont val="Tahoma"/>
            <family val="2"/>
          </rPr>
          <t>ST consommée SUPPORT = 98152,00 au lieu de 66400,00</t>
        </r>
      </text>
    </comment>
    <comment ref="G20" authorId="0" shapeId="0">
      <text>
        <r>
          <rPr>
            <b/>
            <sz val="8"/>
            <color indexed="81"/>
            <rFont val="Tahoma"/>
            <family val="2"/>
          </rPr>
          <t>Source : Fiche de production au 31-12-2012</t>
        </r>
      </text>
    </comment>
    <comment ref="Y20" authorId="0" shapeId="0">
      <text>
        <r>
          <rPr>
            <b/>
            <sz val="8"/>
            <color indexed="81"/>
            <rFont val="Tahoma"/>
            <family val="2"/>
          </rPr>
          <t>Montant rajouté par le service administratif dans la version comptabilisée des fiches au 31-12-2013</t>
        </r>
      </text>
    </comment>
    <comment ref="Z20" authorId="1" shapeId="0">
      <text>
        <r>
          <rPr>
            <b/>
            <sz val="9"/>
            <color indexed="81"/>
            <rFont val="Tahoma"/>
            <family val="2"/>
          </rPr>
          <t>POUR SE CONFORMER AU SUPPORT</t>
        </r>
      </text>
    </comment>
  </commentList>
</comments>
</file>

<file path=xl/comments31.xml><?xml version="1.0" encoding="utf-8"?>
<comments xmlns="http://schemas.openxmlformats.org/spreadsheetml/2006/main">
  <authors>
    <author>Hanae</author>
    <author>Abdelghani MOUSTAID</author>
  </authors>
  <commentList>
    <comment ref="K17" authorId="0" shapeId="0">
      <text>
        <r>
          <rPr>
            <b/>
            <sz val="9"/>
            <color indexed="81"/>
            <rFont val="Tahoma"/>
            <family val="2"/>
          </rPr>
          <t>MOUSTAID : P° 2014 modifiée pour se conformer a la fiche compta (ST consommée = 3240 DH TTC)</t>
        </r>
      </text>
    </comment>
    <comment ref="L17" authorId="1" shapeId="0">
      <text>
        <r>
          <rPr>
            <sz val="9"/>
            <color indexed="81"/>
            <rFont val="Tahoma"/>
            <family val="2"/>
          </rPr>
          <t>Dépassement_x000F_</t>
        </r>
      </text>
    </comment>
  </commentList>
</comments>
</file>

<file path=xl/comments32.xml><?xml version="1.0" encoding="utf-8"?>
<comments xmlns="http://schemas.openxmlformats.org/spreadsheetml/2006/main">
  <authors>
    <author>ABDELGHANI.MOUSTAID</author>
  </authors>
  <commentList>
    <comment ref="I16" authorId="0" shapeId="0">
      <text>
        <r>
          <rPr>
            <sz val="8"/>
            <color indexed="81"/>
            <rFont val="Tahoma"/>
            <family val="2"/>
          </rPr>
          <t xml:space="preserve">AM - 31/12/2011
Phase 1  approuvée
</t>
        </r>
      </text>
    </comment>
  </commentList>
</comments>
</file>

<file path=xl/comments33.xml><?xml version="1.0" encoding="utf-8"?>
<comments xmlns="http://schemas.openxmlformats.org/spreadsheetml/2006/main">
  <authors>
    <author>OUSSAMA.KHOMSI</author>
    <author>Hanae</author>
  </authors>
  <commentList>
    <comment ref="D20" authorId="0" shapeId="0">
      <text>
        <r>
          <rPr>
            <b/>
            <sz val="8"/>
            <color indexed="81"/>
            <rFont val="Tahoma"/>
            <family val="2"/>
          </rPr>
          <t>Ce prix est différent par rapport à celui qui a été déclaré dans le marché. Il a été réajusté en concertation avec M. EL HARAMI après avoir estimé le travail réel que demande la réalisation de cette prestation.
PRIX INITIAL: 24 000,00 DH TTC</t>
        </r>
      </text>
    </comment>
    <comment ref="P20" authorId="0" shapeId="0">
      <text>
        <r>
          <rPr>
            <b/>
            <sz val="8"/>
            <color indexed="81"/>
            <rFont val="Tahoma"/>
            <family val="2"/>
          </rPr>
          <t xml:space="preserve">Le reliquat du montant de la prestation a été facturé par M. El Harami (puisque la valeur du montant du prix 1 a été rebvue à la hausse en interne et pris en charge par la DivRT) </t>
        </r>
      </text>
    </comment>
    <comment ref="X20" authorId="1" shapeId="0">
      <text>
        <r>
          <rPr>
            <b/>
            <sz val="9"/>
            <color indexed="81"/>
            <rFont val="Tahoma"/>
            <family val="2"/>
          </rPr>
          <t>MOUSTAID : P° cumulée au 31/12/2013 corrigée de manière à avoir une P° nulle en 2014 conformément avec le fichier compta</t>
        </r>
      </text>
    </comment>
  </commentList>
</comments>
</file>

<file path=xl/comments34.xml><?xml version="1.0" encoding="utf-8"?>
<comments xmlns="http://schemas.openxmlformats.org/spreadsheetml/2006/main">
  <authors>
    <author>OUSSAMA.KHOMSI</author>
  </authors>
  <commentList>
    <comment ref="H15" authorId="0" shapeId="0">
      <text>
        <r>
          <rPr>
            <b/>
            <sz val="8"/>
            <color indexed="81"/>
            <rFont val="Tahoma"/>
            <family val="2"/>
          </rPr>
          <t>Source : Fiches de production au 31-05-2013. 
NB : Erreur, pas de soustraitance prévue pour cette prestations car elle a été réalisée à 100% par les ressources de la DivET</t>
        </r>
      </text>
    </comment>
    <comment ref="N15" authorId="0" shapeId="0">
      <text>
        <r>
          <rPr>
            <b/>
            <sz val="8"/>
            <color indexed="81"/>
            <rFont val="Tahoma"/>
            <family val="2"/>
          </rPr>
          <t>Valeur ramenée à 0. Ancienne valeur dans la fiche de production au 31-12-2012 = 63 168 DH TTC</t>
        </r>
      </text>
    </comment>
    <comment ref="H16" authorId="0" shapeId="0">
      <text>
        <r>
          <rPr>
            <b/>
            <sz val="8"/>
            <color indexed="81"/>
            <rFont val="Tahoma"/>
            <family val="2"/>
          </rPr>
          <t>Source : Fiches de production au 31-05-2013. 
NB : Erreur, pas de soustraitance prévue pour cette prestations car elle a été réalisée à 100% par les ressources de la DivET</t>
        </r>
      </text>
    </comment>
    <comment ref="N16" authorId="0" shapeId="0">
      <text>
        <r>
          <rPr>
            <b/>
            <sz val="8"/>
            <color indexed="81"/>
            <rFont val="Tahoma"/>
            <family val="2"/>
          </rPr>
          <t>Valeur ramenée à 0. Ancienne valeur dans la fiche de production au 31-12-2012 = 215 032,67 DH TTC</t>
        </r>
      </text>
    </comment>
    <comment ref="H17" authorId="0" shapeId="0">
      <text>
        <r>
          <rPr>
            <b/>
            <sz val="8"/>
            <color indexed="81"/>
            <rFont val="Tahoma"/>
            <family val="2"/>
          </rPr>
          <t>Source : Fiches de production au 31-05-2013. 
NB : Erreur, pas de soustraitance prévue pour cette prestations car elle a été réalisée à 100% par les ressources de la DivET</t>
        </r>
      </text>
    </comment>
    <comment ref="F23" authorId="0" shapeId="0">
      <text>
        <r>
          <rPr>
            <b/>
            <sz val="8"/>
            <color indexed="81"/>
            <rFont val="Tahoma"/>
            <family val="2"/>
          </rPr>
          <t xml:space="preserve">Prestation en option non commandée par ADM
</t>
        </r>
      </text>
    </comment>
  </commentList>
</comments>
</file>

<file path=xl/comments35.xml><?xml version="1.0" encoding="utf-8"?>
<comments xmlns="http://schemas.openxmlformats.org/spreadsheetml/2006/main">
  <authors>
    <author>Hanae</author>
  </authors>
  <commentList>
    <comment ref="X16" authorId="0" shapeId="0">
      <text>
        <r>
          <rPr>
            <b/>
            <sz val="9"/>
            <color indexed="81"/>
            <rFont val="Tahoma"/>
            <family val="2"/>
          </rPr>
          <t>MOUSTAID : P° cumulée au 31/12/2013 corrigée afin d'avoir une P° nulle en 2014 conformément avec le fichier compta</t>
        </r>
      </text>
    </comment>
  </commentList>
</comments>
</file>

<file path=xl/comments36.xml><?xml version="1.0" encoding="utf-8"?>
<comments xmlns="http://schemas.openxmlformats.org/spreadsheetml/2006/main">
  <authors>
    <author>OUSSAMA.KHOMSI</author>
  </authors>
  <commentList>
    <comment ref="G19" authorId="0" shapeId="0">
      <text>
        <r>
          <rPr>
            <b/>
            <sz val="8"/>
            <color indexed="81"/>
            <rFont val="Tahoma"/>
            <family val="2"/>
          </rPr>
          <t>Enquête de trafics en période normale (Juin 2012) et en période estivale (Juillet2011)</t>
        </r>
      </text>
    </comment>
  </commentList>
</comments>
</file>

<file path=xl/comments37.xml><?xml version="1.0" encoding="utf-8"?>
<comments xmlns="http://schemas.openxmlformats.org/spreadsheetml/2006/main">
  <authors>
    <author>SARA.CHEBKI</author>
  </authors>
  <commentList>
    <comment ref="H21" authorId="0" shapeId="0">
      <text>
        <r>
          <rPr>
            <b/>
            <sz val="8"/>
            <color indexed="81"/>
            <rFont val="Tahoma"/>
            <family val="2"/>
          </rPr>
          <t>SARA.CHEBKI:</t>
        </r>
        <r>
          <rPr>
            <sz val="8"/>
            <color indexed="81"/>
            <rFont val="Tahoma"/>
            <family val="2"/>
          </rPr>
          <t xml:space="preserve">
ali ghazal</t>
        </r>
      </text>
    </comment>
  </commentList>
</comments>
</file>

<file path=xl/comments38.xml><?xml version="1.0" encoding="utf-8"?>
<comments xmlns="http://schemas.openxmlformats.org/spreadsheetml/2006/main">
  <authors>
    <author>Abdelghani MOUSTAID</author>
  </authors>
  <commentList>
    <comment ref="L36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  <comment ref="L38" authorId="0" shapeId="0">
      <text>
        <r>
          <rPr>
            <sz val="9"/>
            <color indexed="81"/>
            <rFont val="Tahoma"/>
            <charset val="1"/>
          </rPr>
          <t>Dépassement_x000F_</t>
        </r>
      </text>
    </comment>
  </commentList>
</comments>
</file>

<file path=xl/comments39.xml><?xml version="1.0" encoding="utf-8"?>
<comments xmlns="http://schemas.openxmlformats.org/spreadsheetml/2006/main">
  <authors>
    <author>ABDELGHANI.MOUSTAID</author>
  </authors>
  <commentList>
    <comment ref="C21" authorId="0" shapeId="0">
      <text>
        <r>
          <rPr>
            <b/>
            <sz val="8"/>
            <color indexed="81"/>
            <rFont val="Tahoma"/>
            <family val="2"/>
          </rPr>
          <t>AM - 31/12/2011
21972000 FCFA
1 DH = 58,57 FCFA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0.xml><?xml version="1.0" encoding="utf-8"?>
<comments xmlns="http://schemas.openxmlformats.org/spreadsheetml/2006/main">
  <authors>
    <author>ABDELGHANI.MOUSTAID</author>
  </authors>
  <commentList>
    <comment ref="G17" authorId="0" shapeId="0">
      <text>
        <r>
          <rPr>
            <b/>
            <sz val="8"/>
            <color indexed="81"/>
            <rFont val="Tahoma"/>
            <family val="2"/>
          </rPr>
          <t xml:space="preserve">MA - 31/12/2010 :  Cf Jamal : 990000+40000 = 1030000
</t>
        </r>
      </text>
    </comment>
  </commentList>
</comments>
</file>

<file path=xl/comments41.xml><?xml version="1.0" encoding="utf-8"?>
<comments xmlns="http://schemas.openxmlformats.org/spreadsheetml/2006/main">
  <authors>
    <author>OUSSAMA.KHOMSI</author>
  </authors>
  <commentList>
    <comment ref="G16" authorId="0" shapeId="0">
      <text>
        <r>
          <rPr>
            <b/>
            <sz val="8"/>
            <color indexed="81"/>
            <rFont val="Tahoma"/>
            <family val="2"/>
          </rPr>
          <t>Cette sous-traitance a été déjà consommée en 2012 et ne figure pas dans la colonne des sous-traitance consommée de la fiche de production au 31-12-2012</t>
        </r>
      </text>
    </comment>
  </commentList>
</comments>
</file>

<file path=xl/comments42.xml><?xml version="1.0" encoding="utf-8"?>
<comments xmlns="http://schemas.openxmlformats.org/spreadsheetml/2006/main">
  <authors>
    <author>SARA.CHEBKI</author>
  </authors>
  <commentList>
    <comment ref="H27" authorId="0" shapeId="0">
      <text>
        <r>
          <rPr>
            <b/>
            <sz val="8"/>
            <color indexed="81"/>
            <rFont val="Tahoma"/>
            <family val="2"/>
          </rPr>
          <t>SARA.CHEBKI:</t>
        </r>
        <r>
          <rPr>
            <sz val="8"/>
            <color indexed="81"/>
            <rFont val="Tahoma"/>
            <family val="2"/>
          </rPr>
          <t xml:space="preserve">
ali ghazal</t>
        </r>
      </text>
    </comment>
  </commentList>
</comments>
</file>

<file path=xl/sharedStrings.xml><?xml version="1.0" encoding="utf-8"?>
<sst xmlns="http://schemas.openxmlformats.org/spreadsheetml/2006/main" count="7681" uniqueCount="821">
  <si>
    <t>PRIX</t>
  </si>
  <si>
    <t>MISSION</t>
  </si>
  <si>
    <t>PRIX GLOBAL TTC</t>
  </si>
  <si>
    <t>PART CID</t>
  </si>
  <si>
    <t xml:space="preserve">   SOUS TRAITANCE</t>
  </si>
  <si>
    <t xml:space="preserve">  MISS. AYANT FAIT L'OBJET</t>
  </si>
  <si>
    <t>MISS. N'AYANT</t>
  </si>
  <si>
    <t>FACTURATION</t>
  </si>
  <si>
    <t>ENCAISSEMENTS</t>
  </si>
  <si>
    <t>N°</t>
  </si>
  <si>
    <t xml:space="preserve">  DE LA REMISE D'1 RAPPORT</t>
  </si>
  <si>
    <t>PAS FAIT</t>
  </si>
  <si>
    <t>VALEUR</t>
  </si>
  <si>
    <t>COMPTE</t>
  </si>
  <si>
    <t>CARNET</t>
  </si>
  <si>
    <t>PX ,UNITAIRE</t>
  </si>
  <si>
    <t>Qt</t>
  </si>
  <si>
    <t>TOTAL</t>
  </si>
  <si>
    <t>L'OBJET DE LA</t>
  </si>
  <si>
    <t>MISS. NON</t>
  </si>
  <si>
    <t>S. TRAITANCE</t>
  </si>
  <si>
    <t>CLIENT</t>
  </si>
  <si>
    <t>DE</t>
  </si>
  <si>
    <t>CID</t>
  </si>
  <si>
    <t>VAL. GLOBALE</t>
  </si>
  <si>
    <t>S. TRAITANT</t>
  </si>
  <si>
    <t>TOTAL MISS.</t>
  </si>
  <si>
    <t>RESTE A ENGAGER</t>
  </si>
  <si>
    <t xml:space="preserve">REMISE D'1 </t>
  </si>
  <si>
    <t>(7)-(8)+(9)</t>
  </si>
  <si>
    <t>ENTAMEES</t>
  </si>
  <si>
    <t>CONSOMMEE</t>
  </si>
  <si>
    <t>COMMANDE</t>
  </si>
  <si>
    <t>POUR RAPP. DEF.</t>
  </si>
  <si>
    <t>RAPPORT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</si>
  <si>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</si>
  <si>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</si>
  <si>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</si>
  <si>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</si>
  <si>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</si>
  <si>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</si>
  <si>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</si>
  <si>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</si>
  <si>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</si>
  <si>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</si>
  <si>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(12)</t>
  </si>
  <si>
    <t>(14)</t>
  </si>
  <si>
    <t>(15)</t>
  </si>
  <si>
    <t>(16)</t>
  </si>
  <si>
    <t>LIBELLE :</t>
  </si>
  <si>
    <t>TR</t>
  </si>
  <si>
    <t>MARCHE N°:</t>
  </si>
  <si>
    <t>ET</t>
  </si>
  <si>
    <t>CODE</t>
  </si>
  <si>
    <t>OBJET</t>
  </si>
  <si>
    <t>Autes Div</t>
  </si>
  <si>
    <t>DIV</t>
  </si>
  <si>
    <t>FICHE INVENTAIRE DE PRODUCTION AU</t>
  </si>
  <si>
    <t xml:space="preserve">Chef Projet </t>
  </si>
  <si>
    <t xml:space="preserve">   </t>
  </si>
  <si>
    <t>POLE     :</t>
  </si>
  <si>
    <t xml:space="preserve">CLIENT   :   </t>
  </si>
  <si>
    <t>CODE   :</t>
  </si>
  <si>
    <t>BUDGET REEL-PART DIV
TTC</t>
  </si>
  <si>
    <t>BUDGET MARCHE
PART DIV
TTC</t>
  </si>
  <si>
    <t xml:space="preserve">LIBELLE : </t>
  </si>
  <si>
    <t xml:space="preserve">DIVISION : </t>
  </si>
  <si>
    <t>Division</t>
  </si>
  <si>
    <t>Part Marché</t>
  </si>
  <si>
    <t>RT</t>
  </si>
  <si>
    <t>POLE              :</t>
  </si>
  <si>
    <t xml:space="preserve"> TR</t>
  </si>
  <si>
    <t>ETR</t>
  </si>
  <si>
    <t>CLIENT          :</t>
  </si>
  <si>
    <t xml:space="preserve">CODE N°        : </t>
  </si>
  <si>
    <t xml:space="preserve">MARCHE N° :  </t>
  </si>
  <si>
    <t xml:space="preserve">                 </t>
  </si>
  <si>
    <t>POLE :</t>
  </si>
  <si>
    <t>CLIENT :</t>
  </si>
  <si>
    <t xml:space="preserve">CODE N° : </t>
  </si>
  <si>
    <t xml:space="preserve">MARCHE N°  :  </t>
  </si>
  <si>
    <t>Autres DIV</t>
  </si>
  <si>
    <t>PART DIV</t>
  </si>
  <si>
    <t xml:space="preserve">Date de mise à jour </t>
  </si>
  <si>
    <t>Chef de projet</t>
  </si>
  <si>
    <t xml:space="preserve">         DIVISION ECONOMIE DES TRANSPORTS PRODUCTION ET CARNET DE COMMANDE AU </t>
  </si>
  <si>
    <t>(20)</t>
  </si>
  <si>
    <t xml:space="preserve"> </t>
  </si>
  <si>
    <t>Phase 2 : Diagnostic du systéme de transport existant</t>
  </si>
  <si>
    <t>Phase 1 : Caractéristiques socioéconomiques et des déplacements des populationd des communes rurales revelant de la  province</t>
  </si>
  <si>
    <t>Phase 3 : Elaboration du plan d'actions</t>
  </si>
  <si>
    <t>(17)</t>
  </si>
  <si>
    <t>(18)</t>
  </si>
  <si>
    <t>(19)</t>
  </si>
  <si>
    <t>ENQUETEURS</t>
  </si>
  <si>
    <t>Ali Ghazzal</t>
  </si>
  <si>
    <t>I2S</t>
  </si>
  <si>
    <t>Dépassement des quantités</t>
  </si>
  <si>
    <t>PRM</t>
  </si>
  <si>
    <t>DIRECTION DES ROUTES</t>
  </si>
  <si>
    <t>Phase 1 : Caractéristiques socioéconomiques et des déplacements des populations des communes rurales relevant de la  province</t>
  </si>
  <si>
    <t>Phase 2 : Diagnostic du système de transport existant</t>
  </si>
  <si>
    <t>DRE RSZZ</t>
  </si>
  <si>
    <t>DRET DE L'ORIENTAL</t>
  </si>
  <si>
    <t>RSTD</t>
  </si>
  <si>
    <t>ETUDE RELATIVES A L'ETABLISSEMENT DU PLAN DE DEPLACEMENTS URBAINS DE L'AGGLOMERATION DE KENITRA</t>
  </si>
  <si>
    <t>Oussama KHOMSI</t>
  </si>
  <si>
    <t xml:space="preserve">CLIENT : </t>
  </si>
  <si>
    <t>COMMUNE URBAINE DE KENITRA</t>
  </si>
  <si>
    <t>CODE N° :</t>
  </si>
  <si>
    <t xml:space="preserve">MARCHE N°         : </t>
  </si>
  <si>
    <t>RAPPORT D'ETABLISSEMENT</t>
  </si>
  <si>
    <t>MISSION 1</t>
  </si>
  <si>
    <t>MISSION 2</t>
  </si>
  <si>
    <t>MISSION 3</t>
  </si>
  <si>
    <t>ETUDE DE PROXIMITE POUR L'AMELIORATION DES CONDITIONS DE TRANSPORT DANS LES COMMUNES RURALES RELEVANT DE LA PROVINCE DE GUERCIF</t>
  </si>
  <si>
    <t>DRE TAZA-AL HOCEIMA-TAOUNATE</t>
  </si>
  <si>
    <t>ETUDE RELATIVE A L'IDENTIFICATION DES ZONES D'ACCUMULATION DES ACCIDENTS DE LA CIRCULATION SURVENUS DANS LA VILLE DE TETOUAN</t>
  </si>
  <si>
    <t>CNPAC</t>
  </si>
  <si>
    <t>CODE:</t>
  </si>
  <si>
    <t>CONTRAT:</t>
  </si>
  <si>
    <t>11/CNPAC/2012</t>
  </si>
  <si>
    <t>Mission 1:</t>
  </si>
  <si>
    <t>Le Forfait</t>
  </si>
  <si>
    <t xml:space="preserve">Mission 2: </t>
  </si>
  <si>
    <t xml:space="preserve">Mission 3: </t>
  </si>
  <si>
    <t xml:space="preserve">                                                                            </t>
  </si>
  <si>
    <t>ETUDE RELATIVE A L'IDENTIFICATION DES ZONES D'ACCUMULATION DES ACCIDENTS DE LA CIRCULATION SURVENUS DANS LA VILLE DE TANGER</t>
  </si>
  <si>
    <t>10/CNPAC/2012</t>
  </si>
  <si>
    <t>CONSULTATION POUR LA REALISATION DE L'ETUDE DE CIRCULATION A L'INTERIEUR ET AUX ALENTOURS DU SITE LES ARENES DE CASABLANCA</t>
  </si>
  <si>
    <t>ROUTES</t>
  </si>
  <si>
    <t>ALLIANCES  SA</t>
  </si>
  <si>
    <t>Mission 1:ETUDE DE CIRCULATION AUX ALENTOURS DU SITE</t>
  </si>
  <si>
    <t>Mission 2: ETUDE DE CIRCULATION A L'INTERIEUR DU SITE</t>
  </si>
  <si>
    <t>Mission 3: VALIDATION DES ETUDES PAR L'ADMINISTRATION</t>
  </si>
  <si>
    <t>ETUDE D'AMENAGEMENT ET DE CONSTRUCTION D'UN ACCES AU PARKING DES POIDS LOURDS A PARTIR DE LA PLATEFORME LOGISTIQUE DE ZENATA.</t>
  </si>
  <si>
    <t xml:space="preserve">ETR </t>
  </si>
  <si>
    <t>DPE MOHAMMEDIA</t>
  </si>
  <si>
    <t>ROUTES + DAO</t>
  </si>
  <si>
    <t>MO/01/2012</t>
  </si>
  <si>
    <t>PARTIE N° 1: Etude de trafic</t>
  </si>
  <si>
    <t xml:space="preserve">Etude de trafic </t>
  </si>
  <si>
    <t>Enquête Maroc</t>
  </si>
  <si>
    <t xml:space="preserve">Partie N° 1 : Etude de trafic </t>
  </si>
  <si>
    <t>OA</t>
  </si>
  <si>
    <t>PARTIE N° 2: Etude d'aménagement et de construction d'une voie rapide reliant le parking des poids lourds à la zone logistique en traversant l'autoroute Rabat-Casablanca sur 3 Kms. Et d'un OA de franchissement de l'autoroute</t>
  </si>
  <si>
    <t>ARTICLES III . 5</t>
  </si>
  <si>
    <t>Le Forfait……………………</t>
  </si>
  <si>
    <t>Plan topographique ordinaire</t>
  </si>
  <si>
    <t>Al'echelle 1/1000</t>
  </si>
  <si>
    <t>L'hectare</t>
  </si>
  <si>
    <t xml:space="preserve">Partie N° 2 : Etude d'aménagement ou de construction d'une voie rapide reliant le parking des poids lourds à la zone logistique en traversant l'autoroute Rabat-Casablanca sur 3 Kms. Et d'un OA de franchissement de l'autoroute </t>
  </si>
  <si>
    <t>Implantation directe</t>
  </si>
  <si>
    <t>ARTICLE III.5</t>
  </si>
  <si>
    <t xml:space="preserve"> Plan topographiques ordinaire</t>
  </si>
  <si>
    <t xml:space="preserve">  A l ‘échelle 1/1000</t>
  </si>
  <si>
    <t>Etude de définition</t>
  </si>
  <si>
    <t xml:space="preserve">  L’hectare :………………</t>
  </si>
  <si>
    <t>Etude d'avant projet</t>
  </si>
  <si>
    <t>Le Kilomètre</t>
  </si>
  <si>
    <t xml:space="preserve">  A l’échelle 1/1000</t>
  </si>
  <si>
    <t>Etude du projet d'execution</t>
  </si>
  <si>
    <t xml:space="preserve">  Le Kilométre :………………</t>
  </si>
  <si>
    <t>Production des plans er état parcellaires</t>
  </si>
  <si>
    <t>Le forfait</t>
  </si>
  <si>
    <t>Le Forfait :………………</t>
  </si>
  <si>
    <t>Etablissement de DCE</t>
  </si>
  <si>
    <t>Etude d'Avant Projet</t>
  </si>
  <si>
    <t xml:space="preserve">Etude du projet d’exécution </t>
  </si>
  <si>
    <t>Production des plans et état parcellaires</t>
  </si>
  <si>
    <t>Total Hors TVA</t>
  </si>
  <si>
    <t>ETUDE DE PROXIMITE POUR L'AMELIORATION DES CONDITIONS DE TRANSPORT DANS LES COMMUNES RURALES RELEVANT DE LA PROVINCE DE SKHIRAT-TEMARA</t>
  </si>
  <si>
    <t>43/2011</t>
  </si>
  <si>
    <t>TRAFFIC STUDY FOR HOUARA COASTAL RESORT PROJECT</t>
  </si>
  <si>
    <t>QATARI DIAR</t>
  </si>
  <si>
    <t>CONTRACT N° 55001643</t>
  </si>
  <si>
    <t>Review the previous Study 2009</t>
  </si>
  <si>
    <t>Baselines conditions</t>
  </si>
  <si>
    <t>Proposed Development</t>
  </si>
  <si>
    <t>Trip Generation and Distribution</t>
  </si>
  <si>
    <t>Impacts and Mitigation</t>
  </si>
  <si>
    <t>Submissions for Approval</t>
  </si>
  <si>
    <t>ETUDE DE PROXIMITE POUR L'AMELIORATION DES CONDITIONS DE TRANSPORT DANS LES COMMUNES RURALES RELEVANT DE LA PROVINCE DE TETOUAN</t>
  </si>
  <si>
    <t>DRET TANGER TETOUAN</t>
  </si>
  <si>
    <t>TG-18/2011</t>
  </si>
  <si>
    <t>ETUDE DE PROXIMITE POUR L'AMELIORATION DES CONDITIONS DE TRANSPORT DANS LES COMMUNES RURALES RELEVANT DE LA PROVINCE DE TAOURIRT</t>
  </si>
  <si>
    <t>Salim I2S-KHOMSI</t>
  </si>
  <si>
    <t>OU 21/2011</t>
  </si>
  <si>
    <t>ETUDE DE PROXIMITE POUR L'AMELIORATION DES CONDITIONS DE TRANSPORT DANS LES COMMUNES RURALES RELEVANT DE LA PROVINCE DE FIGUIG</t>
  </si>
  <si>
    <t>OU 20/2011</t>
  </si>
  <si>
    <t xml:space="preserve">LA REALISATION DE L'ETUDE DE CIRCULATION ET D'ACCESSIBILITE AU PROJET SINDIBAD </t>
  </si>
  <si>
    <t>STE SINDIBAD BEACH RESORT</t>
  </si>
  <si>
    <t>Mission  1   :   Analyse sommaire visant à vérifier les conditions de viabilité du projet en termes d'accessibilité et de circulation</t>
  </si>
  <si>
    <t>Mission  2  : Consolidation du projet et accompagnement du maître d'ouvrage pour la validation de l'étude auprés des autoroutiés locales</t>
  </si>
  <si>
    <t>Actualisation des rapports de l'étude sur la base d'une nouvelle campagne de comptages de trafics</t>
  </si>
  <si>
    <t>ETUDE DE PROXIMITE  POUR L'AMELIORATION DES CONDITIONS DE TRANSPORT DANS LES COMMUNES RURALES RELEVANT DES  PROVINCES  DE SETTAT, BERRECHID,  KHOURIBGA et BENSLIMANE</t>
  </si>
  <si>
    <t>Driss Lasfar-KHOMSI</t>
  </si>
  <si>
    <t>DRET DE LA CHAOUIA-OUARDIGHA</t>
  </si>
  <si>
    <t>SE 23/2011</t>
  </si>
  <si>
    <t xml:space="preserve">CARACTERISTIQUES SOCIOECONOMIQUES  ET DES DEPLACEMENTS DES POPULATIONS DES COMMUNES RURALES RELEVANT DE LA PROVINCE </t>
  </si>
  <si>
    <t>Lasfar+ Enquete Maroc</t>
  </si>
  <si>
    <t xml:space="preserve">DIAGNOSTIC DU SYSTEME DE TRANSPORT EXISTANT </t>
  </si>
  <si>
    <t>ELABORATION DU PLAN D'ACTIONS</t>
  </si>
  <si>
    <t>JESA</t>
  </si>
  <si>
    <t>BVP+AEE</t>
  </si>
  <si>
    <t>TRANCHE FERME</t>
  </si>
  <si>
    <t>AVANT PROJET SUR EMPRISE GLOBAL</t>
  </si>
  <si>
    <t>ETUDES VRD</t>
  </si>
  <si>
    <t>ETUDES TRANSPORT</t>
  </si>
  <si>
    <t>ETUDES D'IMPACT</t>
  </si>
  <si>
    <t>ETUDES D'EXECUTION (EXE) SUR EMPRISE PHASE 1</t>
  </si>
  <si>
    <t>CONSULTATION ET ACT PHASE 1</t>
  </si>
  <si>
    <t>SUIVI DE TRAVAUX PHASE 1</t>
  </si>
  <si>
    <t>RECEPTION DE TRAVAUX PHASE 1</t>
  </si>
  <si>
    <t>TRANCHE CONDITIONNELLE</t>
  </si>
  <si>
    <t>ETUDES D'EXECUTION (EXE) SUR EMPRISE PHASE 2</t>
  </si>
  <si>
    <t>CONSULTATION ET ACT PHASE 2</t>
  </si>
  <si>
    <t>SUIVI DE TRAVAUX PHASE 2</t>
  </si>
  <si>
    <t>RECEPTION DE TRAVAUX PHASE 2</t>
  </si>
  <si>
    <t>HT</t>
  </si>
  <si>
    <t>ETUDE DE PROXIMITE DES CONDITIONS DE TRANSPORT DANS LES COMMUNES RURALES RELEVANT DE LA PROVINCE DE KENITRA, SIDI SLIMANE, SIDI KACEM</t>
  </si>
  <si>
    <t>LASFAR Driss-KHOMSI</t>
  </si>
  <si>
    <t>DRET GHARB CHRARDA BNI HSSEN</t>
  </si>
  <si>
    <t xml:space="preserve">CARACTERISTIQUES SOCIOECONOMIQUES  DES DEPLACEMENTS DES POPULATIONS DES COMMUNES RURALES RELEVANT DE LA PROVINCE </t>
  </si>
  <si>
    <t>Lasfar</t>
  </si>
  <si>
    <t>El bahloul</t>
  </si>
  <si>
    <t>ENQUET MAROC</t>
  </si>
  <si>
    <t>ETUDE DE PROXIMITE POUR L'AMELIORATION DES CONDITIONS DE TRANSPORT DANS LES COMMUNES RURALES RELEVANT DE LA PROVINCE TAZA</t>
  </si>
  <si>
    <t>Rmili-KHOMSI</t>
  </si>
  <si>
    <t>AH/36/2010</t>
  </si>
  <si>
    <t>Rmili + i2s</t>
  </si>
  <si>
    <t>EL BAHLOULI</t>
  </si>
  <si>
    <t>ETUDE DE PROXIMITE POUR L'AMELIORATION DES CONDITIONS DE TRANSPORT DANS LES COMMUNES RURALES RELEVANT DE LA PROVINCE D'AL HOCEIMA</t>
  </si>
  <si>
    <t>AH/37/2010</t>
  </si>
  <si>
    <t>Rmili + I2s</t>
  </si>
  <si>
    <t>ETUDES TECHNIQUES POUR LA MISE EN OEVRE DE LA PREMIERE TRANCHE DU PDU LOT 2</t>
  </si>
  <si>
    <t xml:space="preserve">DIVISION: </t>
  </si>
  <si>
    <t>COMMUNE URBAINE DE MARRAKECH</t>
  </si>
  <si>
    <t>64/10/CC</t>
  </si>
  <si>
    <t xml:space="preserve">ETUDE TECHNIQUE DE VOIRIE ET DES </t>
  </si>
  <si>
    <t>CARREFOURS:</t>
  </si>
  <si>
    <t xml:space="preserve">axe:ROUTE DE GUEMASSA ANTRE </t>
  </si>
  <si>
    <t>AVENUE ALYARMOUK ET MHAMID 9</t>
  </si>
  <si>
    <t>ETUDE DE REGULATION DES CARREFOURS</t>
  </si>
  <si>
    <t>ETUDE D'EXECUTION DE L'AUTOROUTE EL JADIDA-JORF</t>
  </si>
  <si>
    <t>POLE         :</t>
  </si>
  <si>
    <t>CLIENT     :</t>
  </si>
  <si>
    <t>ADM</t>
  </si>
  <si>
    <t xml:space="preserve">CODE N°   : </t>
  </si>
  <si>
    <t>Avenant N° 1 au marché 443/10/S</t>
  </si>
  <si>
    <t>IMSRN</t>
  </si>
  <si>
    <t>SOCREGE</t>
  </si>
  <si>
    <t>SETRA</t>
  </si>
  <si>
    <t>1.2</t>
  </si>
  <si>
    <t>Actualisation de l'étude de rentabilité économique de l'autoroute El Jadida Safi</t>
  </si>
  <si>
    <t>1.2.1</t>
  </si>
  <si>
    <t>Réalisation des prévisions des trafics dans l'aire de l'étude  à différents horizons (en se basant sur le couloir autoroutier retenu dans le cadre de l'AVP)</t>
  </si>
  <si>
    <t>1.2.2</t>
  </si>
  <si>
    <t>Actualisation de l'étude de rentabilité économique de l'autoroute Safi El Jadida</t>
  </si>
  <si>
    <t>1.2.3</t>
  </si>
  <si>
    <t>Etablissement du rapport de l'étude de trafics (en option)</t>
  </si>
  <si>
    <t>ETUDE DE DEFINITION DE L'AUTOROUTE DE CONTOURNEMENT DE FNIDEQ</t>
  </si>
  <si>
    <t>AUTRES DIV</t>
  </si>
  <si>
    <t>AR</t>
  </si>
  <si>
    <t>N° de la ligne des totaux</t>
  </si>
  <si>
    <t xml:space="preserve">N° PRIX 
</t>
  </si>
  <si>
    <t xml:space="preserve">  MISS. AYANT FAIT L'OBJET                 DE LA REMISE D'1 RAPPORT</t>
  </si>
  <si>
    <t>MISS. N'AYANT PAS FAIT 'L'OBJET DE LA REMISE D'1 RAPPORT</t>
  </si>
  <si>
    <t>MISS. NON ENTAMEES</t>
  </si>
  <si>
    <t>VALEUR 'S. TRAITANCE CONSOMMEE</t>
  </si>
  <si>
    <t>COMPTE CLIENT</t>
  </si>
  <si>
    <t>CARNET DE COMMANDE</t>
  </si>
  <si>
    <t>BUDGET MARCHE
PART DIV</t>
  </si>
  <si>
    <t>PX ,UNITAIRE 
CID</t>
  </si>
  <si>
    <t>TOTAL 
CID</t>
  </si>
  <si>
    <t>TOTAL
(7)-(8)+(9)</t>
  </si>
  <si>
    <t>TOTAL
CID</t>
  </si>
  <si>
    <t>PX ,UNITAIRE
DIV</t>
  </si>
  <si>
    <t>TOTAL
DIV</t>
  </si>
  <si>
    <t>RESTE A ENGAGER POUR RAPP. DEF.</t>
  </si>
  <si>
    <t>Etude de trafic y compris l'enquête origine - destination.</t>
  </si>
  <si>
    <t>Evaluation de la rentabilité économique et financière.</t>
  </si>
  <si>
    <t>ETUDE D'ELABORATION D'UN SHEMA DE CIRCULION A L'INTERIEUR DES PARKINGS SOUTERRAINS DU PROJET CASABLANCA MARINA</t>
  </si>
  <si>
    <t xml:space="preserve">AL MANAR DEVLOPEMENT COMPAGNIE </t>
  </si>
  <si>
    <t>Pour le Secteur des Portes Océanes</t>
  </si>
  <si>
    <t>Pour le Secteur des Jardins de la Mosquée</t>
  </si>
  <si>
    <t>Pour le Secteur Ramblas</t>
  </si>
  <si>
    <t>Pour le Secteur Marina</t>
  </si>
  <si>
    <t>ETUDE DE FONCTIONNEMENT DES PROPOSITIONS D'AMENAGEMENT DES ACCES DU PROJET ANFA PLACE</t>
  </si>
  <si>
    <t>INVEREVANTE</t>
  </si>
  <si>
    <t>ETUDE DE CIRCULATION ET D'ACCESSIBILITE AU PROJET MOROCCO MALL</t>
  </si>
  <si>
    <t>AL AMINE GESTION</t>
  </si>
  <si>
    <t>Mission I : Etat des lieux et estimation des trafics futurs dans l'environnemet du projet</t>
  </si>
  <si>
    <t>Okmeni</t>
  </si>
  <si>
    <t>Mission II : Conception d'aménagement et choix du type d'exploitation des carrefours d'accès</t>
  </si>
  <si>
    <t>Mission III : Parkings sous sols du projet : Examen de la capacité à satisfaire la demande prévue et élaboration d'un schéma de circulation interne</t>
  </si>
  <si>
    <t>ETUDE DEFINITION DE L'AUTOROUTE RELIANT LA PARTIE TERMINALE DE L'AUTOROUTE FES-OUJDA A L'AUTOROUTE EST-OUEST ALGERIENNE</t>
  </si>
  <si>
    <t>DR</t>
  </si>
  <si>
    <t>Etude de définition Etape 1 (AR)</t>
  </si>
  <si>
    <t>Etude de définition Etape 2 (AR)</t>
  </si>
  <si>
    <t xml:space="preserve">Etude de trafic  </t>
  </si>
  <si>
    <t>Etude de trafic Etape 1</t>
  </si>
  <si>
    <t>Etude de trafic Etape 2</t>
  </si>
  <si>
    <t>Etude de la rentabilité économique et financière</t>
  </si>
  <si>
    <t>REALISATION D'UNE ETUDE RELATIVE A L'IDENTIFICATION DES ZONES D'ACCUMULATION DES ACCIDENTS SURVENUS DANS LA VILLE DE MARRAKECH</t>
  </si>
  <si>
    <t>4/CNPAC/2009</t>
  </si>
  <si>
    <t>Mission I Diagnostic,statistique</t>
  </si>
  <si>
    <t>I2S INGENIERIE</t>
  </si>
  <si>
    <t>Mission II Analyse approfondies des zones d'accumulation d'accidents</t>
  </si>
  <si>
    <t>Mission III:Synthéses et propositions</t>
  </si>
  <si>
    <t xml:space="preserve">POLE : </t>
  </si>
  <si>
    <t xml:space="preserve"> TR </t>
  </si>
  <si>
    <t>CLIENT:</t>
  </si>
  <si>
    <t xml:space="preserve">CODE N°: </t>
  </si>
  <si>
    <t xml:space="preserve">MARCHE N°: </t>
  </si>
  <si>
    <t>DR 34/2006</t>
  </si>
  <si>
    <t>Etude de définition Etape 1</t>
  </si>
  <si>
    <t>Etude de définition Etape 2</t>
  </si>
  <si>
    <t xml:space="preserve">Etude de traffic et évaluation de la rentabilité économique et fiancière </t>
  </si>
  <si>
    <t>Sous détail du Prix 3</t>
  </si>
  <si>
    <t>MAITRISE D'OUEVRE DE LA REALISATION  DE LA PREMIERE LIGNE DE TRAMWAY DE CASABLANCA</t>
  </si>
  <si>
    <t>CASA TRANSPORTS</t>
  </si>
  <si>
    <t>RT+ATCL+BVP</t>
  </si>
  <si>
    <t>ETU</t>
  </si>
  <si>
    <t>ACT</t>
  </si>
  <si>
    <t>EXE</t>
  </si>
  <si>
    <t>SYN</t>
  </si>
  <si>
    <t>VISA</t>
  </si>
  <si>
    <t>DET</t>
  </si>
  <si>
    <t>OPC</t>
  </si>
  <si>
    <t>AOR</t>
  </si>
  <si>
    <t>CAI</t>
  </si>
  <si>
    <t>ACI</t>
  </si>
  <si>
    <t>ESE</t>
  </si>
  <si>
    <t>APE</t>
  </si>
  <si>
    <t>PDQ</t>
  </si>
  <si>
    <t>Tot marché de base</t>
  </si>
  <si>
    <t>Avenant</t>
  </si>
  <si>
    <t>PNU</t>
  </si>
  <si>
    <t>PCV</t>
  </si>
  <si>
    <t>Bd ZEF ZEF</t>
  </si>
  <si>
    <t>Coord Réseaux</t>
  </si>
  <si>
    <t>Tot Avenant</t>
  </si>
  <si>
    <t>Frais de mandataire</t>
  </si>
  <si>
    <t>(juste sur le marché de base)</t>
  </si>
  <si>
    <t>ETUDE DE TRAFIC ET DE RENTABILITE ECONOMIQUE DE L'AUTOROUTE TIT MELLIL - BERRECHID</t>
  </si>
  <si>
    <t>214/08/S</t>
  </si>
  <si>
    <t>MISSION 1 : Etude de trafic</t>
  </si>
  <si>
    <t>ali ghazal</t>
  </si>
  <si>
    <t>Mission 2 : Etude du système d'exploitation</t>
  </si>
  <si>
    <t>Mission 3 : Etude de la rentabilité économique</t>
  </si>
  <si>
    <t>Mission 4 : Mise à disposition d'expert</t>
  </si>
  <si>
    <t>Ce prix rémunère la journée effective de réalisation devla mission, de déplacement, de séjour et de rédaction de rapports sont réputés inclus dans le prix</t>
  </si>
  <si>
    <t>La journée</t>
  </si>
  <si>
    <t>* 1 Euro = 11,449 Dirhams</t>
  </si>
  <si>
    <t>DRCR</t>
  </si>
  <si>
    <t>Enquete Maroc</t>
  </si>
  <si>
    <t>ETUDE D'IMPACT DU PROJET CASABLANCA-MARINA SUR LA CIRCULATION ROUTIERE DES BDS ALMOHADES ET SMBA</t>
  </si>
  <si>
    <t>CGI</t>
  </si>
  <si>
    <t>Mission I : Rapport d'établissement</t>
  </si>
  <si>
    <t>Mission II : Exécution des enquetes, analyse des résultats et recommandations + synthèse en arabe</t>
  </si>
  <si>
    <r>
      <t xml:space="preserve"> </t>
    </r>
    <r>
      <rPr>
        <b/>
        <sz val="11"/>
        <color indexed="10"/>
        <rFont val="Times New Roman"/>
        <family val="1"/>
      </rPr>
      <t>Implantation directe</t>
    </r>
  </si>
  <si>
    <t>200600317_ET</t>
  </si>
  <si>
    <t>EL BOUANANI</t>
  </si>
  <si>
    <t>LASFAR</t>
  </si>
  <si>
    <t>ETUDE DE TARIFICATION DE L'AUTOROUTE BERRECHID BENI MELLAL</t>
  </si>
  <si>
    <t>Avenant N° 1 au marché 202/08/S</t>
  </si>
  <si>
    <t>2.18.1</t>
  </si>
  <si>
    <t>MISSION 1 : Méthodologie et recueil des données</t>
  </si>
  <si>
    <t>2.18.2</t>
  </si>
  <si>
    <t>Mission 2 : Recherche de l'optimum tarifaire</t>
  </si>
  <si>
    <t>Total</t>
  </si>
  <si>
    <t>Etude de trafic</t>
  </si>
  <si>
    <t>ACSR</t>
  </si>
  <si>
    <t>BRACHMI</t>
  </si>
  <si>
    <t>356/13/S</t>
  </si>
  <si>
    <t>Etude de rentabilité économique et financière</t>
  </si>
  <si>
    <t>3.1</t>
  </si>
  <si>
    <t>Mise à disposition d'expert national</t>
  </si>
  <si>
    <t>Journée</t>
  </si>
  <si>
    <t>ONCF</t>
  </si>
  <si>
    <t>Réalisation des études de circulation et d'intermodalité au niveau des sites des gares LGV</t>
  </si>
  <si>
    <t>Lot 1</t>
  </si>
  <si>
    <t>Lot 2</t>
  </si>
  <si>
    <t>Lot 3</t>
  </si>
  <si>
    <t>Lot 4</t>
  </si>
  <si>
    <t>Gare LGV Casa Voyageurs</t>
  </si>
  <si>
    <t>Gare LGV Rabat Agdal</t>
  </si>
  <si>
    <t>Gare LGV Kénitra</t>
  </si>
  <si>
    <t>Gare LGV Tanger</t>
  </si>
  <si>
    <t>Bilans économique et socio-économque</t>
  </si>
  <si>
    <t>Analyse financière et Business plan</t>
  </si>
  <si>
    <t>Faisabilité de la réalisation du projet par phase</t>
  </si>
  <si>
    <t>PRIX GLOBAL HT</t>
  </si>
  <si>
    <t>Marché complémentaire</t>
  </si>
  <si>
    <t>REALISATION DE L'ETUDE DU PLAN DE DEPLACEMENT URBAIN DE LA VILLE D'IMZOUREN (PDU - CIRCULATION ET SIGNALISATION), PROVINCE D'AL HOCEIMA</t>
  </si>
  <si>
    <t>KHOMSI</t>
  </si>
  <si>
    <t>PROVINCE D'AL HOCEIMA</t>
  </si>
  <si>
    <t>23/PA/BP/2013</t>
  </si>
  <si>
    <t>MISSION 1:Rapport d'établissement</t>
  </si>
  <si>
    <t>Mission 2:Analyses prospectives,recommandations générales</t>
  </si>
  <si>
    <t>Mission 3:Rapport plan d'actions</t>
  </si>
  <si>
    <t>Mission 4:Recommandations méthodologiques et document de synthése</t>
  </si>
  <si>
    <t>Skydesk</t>
  </si>
  <si>
    <t>RMILI-I2S</t>
  </si>
  <si>
    <t>Actualisation de l'étude de définition de l'autoroute reliant les bipôles Tanger-Tétouan et Fès-Méknès</t>
  </si>
  <si>
    <t>DRETL Tanger Tétouan</t>
  </si>
  <si>
    <t>XXX</t>
  </si>
  <si>
    <t>Actualisation de l'étape 1 de l'étude de définition</t>
  </si>
  <si>
    <t>Actualisation de l'étape 2 de l'étude de définition</t>
  </si>
  <si>
    <t xml:space="preserve"> Actualisation de l'étude d'évaluation de la rentabilité économique et financière</t>
  </si>
  <si>
    <t>Actualisation de l'étude  d’impact sur l’environnement</t>
  </si>
  <si>
    <t>Actualisation de l'étude de trafic</t>
  </si>
  <si>
    <t>Etude de l'axe autoroutier Agadir-Guelmim</t>
  </si>
  <si>
    <t>DRETL Agadir Sous Massa Draa</t>
  </si>
  <si>
    <t>Etude préliminaire de l’axe autoroutier  Agadir- Guelmim y compris le Contournement autoroutier d’Agadir</t>
  </si>
  <si>
    <t xml:space="preserve"> Etude de définition de l’axe autoroutier Agadir- Guelmim y compris le Contournement autoroutier d’Agadir</t>
  </si>
  <si>
    <t xml:space="preserve"> Etude de trafics et d’exploitation de l’axe autoroutier Agadir- Guelmim y compris le Contournement autoroutier d’Agadir</t>
  </si>
  <si>
    <t>Etude de rentabilité économique et de rentabilité financière de l’axe autoroutier Agadir- Guelmim y compris le Contournement autoroutier d’Agadir</t>
  </si>
  <si>
    <t xml:space="preserve"> Etude d’impact sur l’environnement de l’axe autoroutier Agadir- Guelmim y compris le Contournement autoroutier d’Agadir</t>
  </si>
  <si>
    <t>ETUDE DU SCHEMA DIRECTEUR DE MOBILITE NATIONALE</t>
  </si>
  <si>
    <t>DSPCT</t>
  </si>
  <si>
    <t>MISSION 1 :</t>
  </si>
  <si>
    <t>Mission 2 :</t>
  </si>
  <si>
    <t>Mission 4 :</t>
  </si>
  <si>
    <t>Etude du système de péage</t>
  </si>
  <si>
    <t>Etude de faisabilité de la mise sous péage de la RN6 entre l’échangeur Sidi Allal El Bahraoui et Dar Assikah</t>
  </si>
  <si>
    <t>64P522/PIC/PI</t>
  </si>
  <si>
    <t>LOT1</t>
  </si>
  <si>
    <t>Schema circulation</t>
  </si>
  <si>
    <t>Mission 2</t>
  </si>
  <si>
    <t>Pont rail au pk 128+073</t>
  </si>
  <si>
    <t>Pont route au pk 129+054</t>
  </si>
  <si>
    <t>Pont route au pk 129+218</t>
  </si>
  <si>
    <t>Passerelle</t>
  </si>
  <si>
    <t>Etude elargissement</t>
  </si>
  <si>
    <t>Etude APD des Ouvrages</t>
  </si>
  <si>
    <t>LOT 2</t>
  </si>
  <si>
    <t>Ouvrage differencié APS</t>
  </si>
  <si>
    <t>Ouvrage differencié APD</t>
  </si>
  <si>
    <t>,</t>
  </si>
  <si>
    <t>ETUDES DES OUVRAGES DE FRANCHIISSEMENT DE LA VOIE FERREE EN VILLE DE KENITRA LOT 1 ET LOT 2</t>
  </si>
  <si>
    <t>RSTD+NUMBERS</t>
  </si>
  <si>
    <t>FRAIS DE TRANSPORTS</t>
  </si>
  <si>
    <t>FRAIS DE VOYAGES INTERNATIONAUX</t>
  </si>
  <si>
    <t>ECONOMISTE DES TRANSPORTS</t>
  </si>
  <si>
    <t>CHEF DE MISSION</t>
  </si>
  <si>
    <t>DNR MALI</t>
  </si>
  <si>
    <t>MOUSTAID</t>
  </si>
  <si>
    <t>ETUDES D'AVANT PROJET DETAILLE (APD) ET ELABORATION DU DOSSIER D'APPEL D'OFFRES (DAO) DES TRAVAUX D'AMAENAGEMENT DE LA TRAVERSEE DE SIKASSO.</t>
  </si>
  <si>
    <t>ACTUALISATION DE L'ETUDE DE RENTABILITE AR MARRAKECH AGADIR</t>
  </si>
  <si>
    <t>BC 91/14/S</t>
  </si>
  <si>
    <t>ACTUALISATION DE L'ETUDE DE RENTABILITE ECONOMIQUE DE L'AUTOROUTE MARRAKECH-AGADIR</t>
  </si>
  <si>
    <t>Mission 4,4 : EIE</t>
  </si>
  <si>
    <t>Mission 3,3 : APS</t>
  </si>
  <si>
    <t>Mission 2,3 : Etude de marché</t>
  </si>
  <si>
    <t>POLE OUED EDDAHAB LAGOUIRA</t>
  </si>
  <si>
    <t>Mission 4,2 : EIE</t>
  </si>
  <si>
    <t>Mission 3,2 : APS</t>
  </si>
  <si>
    <t>Mission 2,2 : Etude de marché</t>
  </si>
  <si>
    <t>Mission 4,1 : EIE</t>
  </si>
  <si>
    <t>Mission 3,1 : APS</t>
  </si>
  <si>
    <t>Mission 2,1 : Etude de marché</t>
  </si>
  <si>
    <t>POLE SOUSS-MASSA DRAA</t>
  </si>
  <si>
    <t>Mission 1: Cadrage générale des prestations</t>
  </si>
  <si>
    <t>5   2014</t>
  </si>
  <si>
    <t>ENV- VRD</t>
  </si>
  <si>
    <t>Autres DIV :</t>
  </si>
  <si>
    <t>AMDL</t>
  </si>
  <si>
    <t>Abdelghani Moustaid</t>
  </si>
  <si>
    <t>ETUDE DE MARCHE ET DE STRUCTURATION DES PROJETS DES PREMIERES ZONES LOGISTIQUES DANS LES POLES DE SOUSS-MASSA-DRAA, MARRAKECH-TENSIFT EL HAOUZ ET OUED EDDAHAB LAGOUIRA</t>
  </si>
  <si>
    <t>POLE FES-MEKNES</t>
  </si>
  <si>
    <t>POLE RABAT KENITRA</t>
  </si>
  <si>
    <t>POLE TANGER TETOUAN</t>
  </si>
  <si>
    <t>4   2014</t>
  </si>
  <si>
    <t>ETUDE DE MARCHE ET DE STRUCTURATION DES PROJETS DES PREMIERES ZONES LOGISTIQUES DANS LES POLES DE RABAT - KENITRA, TANGER - TETOUAN, ET FES-MEKNES</t>
  </si>
  <si>
    <t>PRESENTATION DU GUIDE</t>
  </si>
  <si>
    <t>ELABORATION DU GUIDE</t>
  </si>
  <si>
    <t>DIAGNOSTIC DE L'EXISTANT</t>
  </si>
  <si>
    <t>25/CNPAC/2013</t>
  </si>
  <si>
    <t>RELATIF AU CHOIX D'UN BUEREAU D'ETUDES POUR L'ELABORATION D'UN GUIDE REFERENTIEL POUR AMENAGEMENTS DE SECURITE ROUTIERE EN MILIEU URBAIN</t>
  </si>
  <si>
    <t>QUATRIEME PHASE</t>
  </si>
  <si>
    <t>d</t>
  </si>
  <si>
    <t>TROISIEME PHASE</t>
  </si>
  <si>
    <t>c</t>
  </si>
  <si>
    <t>DEUXIEME PHASE</t>
  </si>
  <si>
    <t>b</t>
  </si>
  <si>
    <t>PREMIERE PHASE</t>
  </si>
  <si>
    <t>a</t>
  </si>
  <si>
    <t>PLAN DEPLACEMENTS URBAINS DE LA VILLE DE TIFLET</t>
  </si>
  <si>
    <t>04/2013 AUKH</t>
  </si>
  <si>
    <t>AGENCE URBAINE DE KHEMISSET</t>
  </si>
  <si>
    <t>PLAN DE DEPLACEMENTS URBAINS DE LA VILLE DE TIFLET (PROVINCE KHEMISSET)</t>
  </si>
  <si>
    <t>Mission 4: Evaluation économique, sociale et environnementale du programme et définition de son système de suivi et évaluation (y compris indicateurs de performance)</t>
  </si>
  <si>
    <t>Mission 3: Appui de la DR pendant le déroulement de l'approche participative et intégrée du programme</t>
  </si>
  <si>
    <t>Mission 2: Appui de la DR pendant l'étape de l'identification préliminaire des pistes potentielles</t>
  </si>
  <si>
    <t>Mission 1: Appui de la DR pendant l'étape de l'inventaire des pistes rurales</t>
  </si>
  <si>
    <t>DR 4/2012</t>
  </si>
  <si>
    <t xml:space="preserve">CLIENT          :   </t>
  </si>
  <si>
    <t>Abdelghani MOUSTAID</t>
  </si>
  <si>
    <t>MISSION D'ACCOMPAGNEMENT DE LA DIRECTION DES ROUTES POUR LA DEFINITION DU 3EME PROGRAMME DES ROUTES RURALES</t>
  </si>
  <si>
    <t>RSTD+Bouanani</t>
  </si>
  <si>
    <t>RS 27/2012</t>
  </si>
  <si>
    <t>DRE SOUSS MASSA</t>
  </si>
  <si>
    <t>ETUDE DE PROXIMITE POUR L'AMELIORATION DES CONDITIONS DE TRANSPORT DANS LES COMMUNES RURALES RELEVANT DES PROVINCES DE TINGHIR ET SIDI IFNI</t>
  </si>
  <si>
    <t>CA/28/2011</t>
  </si>
  <si>
    <t>DRET CASABLANCA</t>
  </si>
  <si>
    <t>ETUDE DE PROXIMITE POUR L'AMELIORATION DES CONDITIONS DE TRANSPORT DANS LES COMMUNES RURALES RELEVANT DES PROVINCES DE NOUACEUR ET MEDIOUNA</t>
  </si>
  <si>
    <t>49/2011</t>
  </si>
  <si>
    <t>ETUDE DE PROXIMITE POUR L'AMELIORATION DES CONDITIONS DE TRANSPORT DANS LES COMMUNES RURALES RELEVANT DE LA PROVINCE DE KHEMISSET</t>
  </si>
  <si>
    <t>48/2011</t>
  </si>
  <si>
    <t>ETUDE DE PROXIMITE POUR L'AMELIORATION DES CONDITIONS DE TRANSPORT DANS LES COMMUNES RURALES RELEVANT DE LA PROVINCE DE SALE</t>
  </si>
  <si>
    <t>ENCAISSEMENT NON DISPATCHE</t>
  </si>
  <si>
    <t>EL Bouanani</t>
  </si>
  <si>
    <t>22/2011</t>
  </si>
  <si>
    <t>DRET FES BOULEMANE</t>
  </si>
  <si>
    <t>ETUDE DE PROXIMITE POUR L'AMELIORATION DES CONDITIONS DE TRANSPORT DANS LES COMMUNES RURALES RELEVANT DE LA PROVINCE DE FES</t>
  </si>
  <si>
    <t>RP</t>
  </si>
  <si>
    <t>CLIN</t>
  </si>
  <si>
    <t xml:space="preserve"> RSTD </t>
  </si>
  <si>
    <t>21/2011</t>
  </si>
  <si>
    <t>ETUDE DE PROXIMITE POUR L'AMELIORATION DES CONDITIONS DE TRANSPORT DANS LES COMMUNES RURALES RELEVANT DE LA PROVINCE DE SEFROU</t>
  </si>
  <si>
    <t>EM</t>
  </si>
  <si>
    <t>20/2011</t>
  </si>
  <si>
    <t>ETUDE DE PROXIMITE POUR L'AMELIORATION DES CONDITIONS DE TRANSPORT DANS LES COMMUNES RURALES RELEVANT DE LA PROVINCE DE BOULEMANE</t>
  </si>
  <si>
    <t>Bahlouli</t>
  </si>
  <si>
    <t>19/2011</t>
  </si>
  <si>
    <t>ETUDE DE PROXIMITE POUR L'AMELIORATION DES CONDITIONS DE TRANSPORT DANS LES COMMUNES RURALES RELEVANT DE LA PROVINCE DE MOULAY YACOUB</t>
  </si>
  <si>
    <t>PART ITEM: 38,98%</t>
  </si>
  <si>
    <t>PART CID : 61,02%</t>
  </si>
  <si>
    <t>Remise des documents finaux</t>
  </si>
  <si>
    <t>DERKAOUI</t>
  </si>
  <si>
    <t>Mission 4: Dossier final et instruments de suivi</t>
  </si>
  <si>
    <t>Azaari</t>
  </si>
  <si>
    <t>Mission 3: Schéma directeur des déplacements</t>
  </si>
  <si>
    <t>Brachmi</t>
  </si>
  <si>
    <t>Mission 2:Variantes conceptuelles et concept recommandé</t>
  </si>
  <si>
    <t>Mission 1: Diagnostic, objectifs et scénarios contrastés</t>
  </si>
  <si>
    <t>22 TME 2011</t>
  </si>
  <si>
    <t xml:space="preserve"> ITEM</t>
  </si>
  <si>
    <t>COMMUNE URBAINE D'OUJDA</t>
  </si>
  <si>
    <t>PLAN DIRECTEUR DE LA MOBILITE URBAINE DE LA VILLE D'OUJDA</t>
  </si>
  <si>
    <t>DC</t>
  </si>
  <si>
    <t>PHASE  3:Plan d'action pour l'atténuation des impacts</t>
  </si>
  <si>
    <t xml:space="preserve">PHASE  2: Coûts de dysfonctionnement </t>
  </si>
  <si>
    <t xml:space="preserve">PHASE  1 : Compte transport de l'agglomération de Nouakchott </t>
  </si>
  <si>
    <t>MINISTERE DU DEVLOPPEMENT RURAL  ET DE L'ENVIRONNEMENT - MAURITANIE</t>
  </si>
  <si>
    <t>CHEF DE PROJET</t>
  </si>
  <si>
    <t>ETABLISSEMENT DU COMPTE TRANSPORT ET EVALUATION DES COUTS DE DYSFONCTIONNEMENT DES TRANSPORTS URBAINS A NOUAKCHOTT - MAURITANIE</t>
  </si>
  <si>
    <t>OU 22/2011</t>
  </si>
  <si>
    <t>ETUDE DE PROXIMITE POUR L'AMELIORATION DES CONDITIONS DE TRANSPORT DANS LES COMMUNES RURALES RELEVANT DE LA PREFECTURE D'OUJDA ANGAD</t>
  </si>
  <si>
    <t>I2S, RSTD</t>
  </si>
  <si>
    <t>RS/10/2011</t>
  </si>
  <si>
    <t>DRE SOUSS-MASSA-DRAA</t>
  </si>
  <si>
    <t>ETUDE DE PROXIMITE POUR L'AMELIORATION DES CONDITIONS DE TRANSPORT DANS LES COMMUNES RURALES RELEVANT DES PROVINCES DE TIZNIT ET CHTOUKA AIT BAHA</t>
  </si>
  <si>
    <t>Phase 3 : Elaboration du plan d'action</t>
  </si>
  <si>
    <t>Phase 1 : Caractéristiques socioéconomiques et des déplacements des populationd des communes rurales revelant de chaque  province</t>
  </si>
  <si>
    <t>RS /33/2010</t>
  </si>
  <si>
    <t>DRE SOUSS MASSA DARAA - AGADIR -</t>
  </si>
  <si>
    <t>ETUDE DE PROXIMITE POUR L'AMELIORATION DES CONDITIONS DE TRANSPORT DANS LES COMMUNES RURALES REVELANT DES PROVINCES DE : ZAGORA, TAROUDANNT ET OURZAZATE</t>
  </si>
  <si>
    <t>Ali Ghazal</t>
  </si>
  <si>
    <t>MA/54/2010</t>
  </si>
  <si>
    <t>DRE MARRAKECH-TANSIFT-AL HAOUZ</t>
  </si>
  <si>
    <t>ETUDE DE PROXIMITE POUR L'AMELIORATION DES CONDITIONS DE TRANSPORT DANS LES COMMUNES RURALES RELEVANT DE LA PROVINCE D'EL KELAA DES SRAGHNA</t>
  </si>
  <si>
    <t>PHASE  3: Elaboration du plan d'action</t>
  </si>
  <si>
    <t>PHASE  2: Diagnostic du systéme de transport existant</t>
  </si>
  <si>
    <t>PHASE  1: Caractéristiques socioéconomiques et des déplacements des populationd des communes rurales revelant de la province</t>
  </si>
  <si>
    <t>OU / 57 /2010</t>
  </si>
  <si>
    <t>DRE OUJDA</t>
  </si>
  <si>
    <t>ETUDE DE PROXIMITE POUR L'AMELIORATION DES CONDITIONS DE TRANSPORT DANS LES COMMUNES RURALES RELEVENT DE LA PROVINCE DE NADOR</t>
  </si>
  <si>
    <t>Phase  3: Plan final</t>
  </si>
  <si>
    <t>Phase 2 : Rapport diagnostic et prespectives d'aménagement</t>
  </si>
  <si>
    <t xml:space="preserve">Phase 1 : Rapport d'établissement </t>
  </si>
  <si>
    <t>AGENCE URBAINE DE TAZA</t>
  </si>
  <si>
    <t>ETUDE DU PLAN DIRECTEUR DE CIRCULATION ET DE TRANSPORT DE LA VILLE DE TAZA</t>
  </si>
  <si>
    <t>I2s</t>
  </si>
  <si>
    <t>Phase  III  : Elaboration du projet signalétique</t>
  </si>
  <si>
    <t>Phase  II   : Elaboration des principales et stratégie d'orientation</t>
  </si>
  <si>
    <t>Phase  I   : Evaluation de la signalisation et positionnement actuel sur le périmétre de l'Etude (Ville de Fés)</t>
  </si>
  <si>
    <t>FE  /  23 / 2010</t>
  </si>
  <si>
    <t>D.R.E.T Fés</t>
  </si>
  <si>
    <t>ETUDES DE LA MISE A NIVEAU DE LA SIGNALISATION HORIZONTALE ET VERTICALE DE LA VILLE DE FES</t>
  </si>
  <si>
    <t>rapport geotechnique en 5 exemplaires</t>
  </si>
  <si>
    <t>5_24</t>
  </si>
  <si>
    <t>Essais cedométrique</t>
  </si>
  <si>
    <t>5_23</t>
  </si>
  <si>
    <t>densité sèche</t>
  </si>
  <si>
    <t>5_22</t>
  </si>
  <si>
    <t>limites d'atterberg</t>
  </si>
  <si>
    <t>5_21</t>
  </si>
  <si>
    <t>mesure de cohésion et angle de frott</t>
  </si>
  <si>
    <t>5_20</t>
  </si>
  <si>
    <t>teneur en eau naturelle</t>
  </si>
  <si>
    <t>5_19</t>
  </si>
  <si>
    <t>sédimentométrie</t>
  </si>
  <si>
    <t>5_18</t>
  </si>
  <si>
    <t>granulométrie</t>
  </si>
  <si>
    <t>5_17</t>
  </si>
  <si>
    <t>essais pressiométriques et dépouillement</t>
  </si>
  <si>
    <t>5_16</t>
  </si>
  <si>
    <t>sondages pressiometriques de 20 à 30 m</t>
  </si>
  <si>
    <t>5_15</t>
  </si>
  <si>
    <t>sondages pressiometriques de 10 à 20 m</t>
  </si>
  <si>
    <t>5_14</t>
  </si>
  <si>
    <t>sondages pressiometriques de 0 à 10 m</t>
  </si>
  <si>
    <t>5_13</t>
  </si>
  <si>
    <t>prélèvements dechantillons intacts foumiture de caisse à carotte, conditionnement des échantillons, débitage et essai de compression sur carottes</t>
  </si>
  <si>
    <t>5_12</t>
  </si>
  <si>
    <t>sondages carottés de 0 à 30 m</t>
  </si>
  <si>
    <t>5_11</t>
  </si>
  <si>
    <t>sondages carottés de 0 à 20 m</t>
  </si>
  <si>
    <t>5_10</t>
  </si>
  <si>
    <t>sondages carottés de 0 à 10 m</t>
  </si>
  <si>
    <t>5_9</t>
  </si>
  <si>
    <t>mise en fiche pour sondage pressiométrique</t>
  </si>
  <si>
    <t>5_8</t>
  </si>
  <si>
    <t>mise en fiche pour sondage carotté</t>
  </si>
  <si>
    <t>5_7</t>
  </si>
  <si>
    <t>amenée et repli de matériel</t>
  </si>
  <si>
    <t>5_6</t>
  </si>
  <si>
    <t>mesure de déflexion</t>
  </si>
  <si>
    <t>5_5</t>
  </si>
  <si>
    <t>prélèvement dechantillons  et identification</t>
  </si>
  <si>
    <t>5_4</t>
  </si>
  <si>
    <t>prélèvement d'échantillons  et identification</t>
  </si>
  <si>
    <t>5_3</t>
  </si>
  <si>
    <t>essai proctor et CBR (sec et humides)</t>
  </si>
  <si>
    <t>5_2</t>
  </si>
  <si>
    <t>prélèvement d'échantillons de sol et identification</t>
  </si>
  <si>
    <t>5_1</t>
  </si>
  <si>
    <t>TRAVAUX GEOTECHNIQUES</t>
  </si>
  <si>
    <t>levé de profils en travers</t>
  </si>
  <si>
    <t>4_6</t>
  </si>
  <si>
    <t>implantation de l'axe projeté sur le terrain</t>
  </si>
  <si>
    <t>4_5</t>
  </si>
  <si>
    <t>levé expédié au 1/5000 ème</t>
  </si>
  <si>
    <t>4_4</t>
  </si>
  <si>
    <t>levé de détail à l'échelle 1/5000 ème au niveau des carrefours</t>
  </si>
  <si>
    <t>4_3</t>
  </si>
  <si>
    <t>levé de bande cotée à l'echelle 1/2000 ème au niveau des ouvrages</t>
  </si>
  <si>
    <t>4_2</t>
  </si>
  <si>
    <t>levé de bande cotée à l'echelle 1/1000 ème y compris polygonale de base</t>
  </si>
  <si>
    <t>4_1</t>
  </si>
  <si>
    <t>TRAVAUX TOPOGRAPHIQUES</t>
  </si>
  <si>
    <t xml:space="preserve">dossier E </t>
  </si>
  <si>
    <t>3_8</t>
  </si>
  <si>
    <t>dossier D (4 lots )</t>
  </si>
  <si>
    <t>3_7</t>
  </si>
  <si>
    <t>dossier C (4 lots )</t>
  </si>
  <si>
    <t>3_6</t>
  </si>
  <si>
    <t>dossier B (4 lots )</t>
  </si>
  <si>
    <t>3_5</t>
  </si>
  <si>
    <t>dossier A (4 lots )</t>
  </si>
  <si>
    <t>3_4</t>
  </si>
  <si>
    <t>rapport d'étude d'impact sur l'environnement</t>
  </si>
  <si>
    <t>3_3</t>
  </si>
  <si>
    <t>dossier APS</t>
  </si>
  <si>
    <t>3_2</t>
  </si>
  <si>
    <t>rapport d'étude préliminaire</t>
  </si>
  <si>
    <t>3_1</t>
  </si>
  <si>
    <t>FRAIS D'EDITION</t>
  </si>
  <si>
    <t>enquete de trafic</t>
  </si>
  <si>
    <t>2_1</t>
  </si>
  <si>
    <t>FRAIS D'ENQUETE DE TRAFIC</t>
  </si>
  <si>
    <t>expert en NTIC</t>
  </si>
  <si>
    <t>1_11</t>
  </si>
  <si>
    <t>ingenieur topographe</t>
  </si>
  <si>
    <t>1_10</t>
  </si>
  <si>
    <t>expert en batiments</t>
  </si>
  <si>
    <t>1_9</t>
  </si>
  <si>
    <t>specialiste en environnement</t>
  </si>
  <si>
    <t>1_8</t>
  </si>
  <si>
    <t>economiste des transports et de trafic</t>
  </si>
  <si>
    <t>1_7</t>
  </si>
  <si>
    <t>Expert socio-economique</t>
  </si>
  <si>
    <t>1_6</t>
  </si>
  <si>
    <t>ingenieur hydrologue/hydraulicien</t>
  </si>
  <si>
    <t>1_5</t>
  </si>
  <si>
    <t>ingenieur ouvrages d'art</t>
  </si>
  <si>
    <t>1_4</t>
  </si>
  <si>
    <t>ingenieur geotechnicien</t>
  </si>
  <si>
    <t>1_3</t>
  </si>
  <si>
    <t>ingenieur routier,chef de mission</t>
  </si>
  <si>
    <t>1_2</t>
  </si>
  <si>
    <t>DIRECTEUR DE PROJET</t>
  </si>
  <si>
    <t>1_1</t>
  </si>
  <si>
    <t>HONORAIRES</t>
  </si>
  <si>
    <t>38/TP/2010</t>
  </si>
  <si>
    <t>MINISTERE DE L'EQUIPEMENT, DES INFRASTRUCTURES ET DE L'AMENAGEMENT DU TERRITOIRE - REPUBLIQUE GABONAISE</t>
  </si>
  <si>
    <t>RENFORCEMENT DE LA VOIE EXPRESS DE LIBREVILLE</t>
  </si>
  <si>
    <t>DIFFERENCE DE CHANGE</t>
  </si>
  <si>
    <t>Frais de transport de bagages</t>
  </si>
  <si>
    <t>Voyages internationaux</t>
  </si>
  <si>
    <t>Indemnités de logement</t>
  </si>
  <si>
    <t>Hassen Abid</t>
  </si>
  <si>
    <t>Economiste des transports</t>
  </si>
  <si>
    <t>Chef de mission</t>
  </si>
  <si>
    <t>Encaissement cumulé au 31/12/2012</t>
  </si>
  <si>
    <t>Facturation cumulée au 31/12/2012</t>
  </si>
  <si>
    <t>DNR - MALI</t>
  </si>
  <si>
    <t>ETUDES DE FAISABILITE TECHNICO-ECONOMIQUE, ENVIRONNEMENTALE ET SOCIALE (APS), ETUDE D'APD ET DAO POUR L'AMENAGEMENT EN 2 X 2 VOIES DE LA ROUTE SIKASSO-ZEGOUA</t>
  </si>
  <si>
    <t>Phase 4 : Elaboration du plan d'action et communication des résultats</t>
  </si>
  <si>
    <t>AZAARI</t>
  </si>
  <si>
    <t>Phase 3 : Validation et mise en place des baromètres renseignés</t>
  </si>
  <si>
    <t>Beta-structures</t>
  </si>
  <si>
    <t>Phase 2 : Réalisation des enquetes</t>
  </si>
  <si>
    <t>Phase 1 : Etat des lieux et conception des baromètres</t>
  </si>
  <si>
    <t>DEPCT</t>
  </si>
  <si>
    <t>REALISATION D'UNE ETUDE RELATIVE A LA CONCEPTION ET LA MISE EN PLACE DE BAROMETRE "SATISFACTION ET IMAGE 2008"</t>
  </si>
  <si>
    <t>POLE MARRAKECH-TENSIFT</t>
  </si>
  <si>
    <t>Mission 5,1 : Etude Rentabilité Financière</t>
  </si>
  <si>
    <t>Mission 5,2 : Etude Rentabilité Financière</t>
  </si>
  <si>
    <t>Mission 5,3 : Etude Rentabilité Financière</t>
  </si>
  <si>
    <t>200800365_ET</t>
  </si>
  <si>
    <t>200800500_ET</t>
  </si>
  <si>
    <t>MINE VERTE DE KHOURIBGA MAITRISE D'ŒUVRE VRD-TRANSPORT- ETUDES D'IMPACT ENVIRONNEMENTAL</t>
  </si>
  <si>
    <t>ETUDE DE TRAFIC ET DE RENTABILITE ECONOMIQUE ET FINANCIERE DES AUTOROUTES EXISTANTES ET PROJETEES ENTRE CASABLANCA ET BERRECHID</t>
  </si>
  <si>
    <t>ETUDE DE FAISABILITE DE MISE SOUS PEAGE DE LA SECTION DE LA RN6 SITUEE ENTRE LES ECHANGEURS DAR ASSIKAH ET SIDI ALLAL BAHRAOUI</t>
  </si>
  <si>
    <t>ETUDE DE TRAFIC ET DE RENTABILITE ECONOMIQUE DE FINANCIERE DE L'AUTOROUTE RELIANT LA PARTIE TERMINALE DE L'AUTOROUTE FES-OUJDA A L'AUTOROUTE EST-OUEST ALGERIENNE</t>
  </si>
  <si>
    <t>RER DE CASABLANCA : ETUDE DE TRAFIC ET DE RENTABILITE ECONOMIQUE ET FINANCIERE</t>
  </si>
  <si>
    <t>ETUDE DE DEFINITION DE LA DESSERTE DE LA VILLE DE NADOR</t>
  </si>
  <si>
    <t xml:space="preserve">ETUDE DE DEFINITION DE LA LIAISON AUTOROUTIERE TANGER - TETOUAN  </t>
  </si>
  <si>
    <t>ETUDE DE FONCTIONNEMENT DU CARREFOUR D'ACCES AU NOUVEAU PORT DE PECHE DANS LE CADRE DU PROJET DE RECONCERSION DE LA ZONE PORTUAIRE DE TANGER VILLE</t>
  </si>
  <si>
    <t>SAPT</t>
  </si>
  <si>
    <t xml:space="preserve"> 27/BC/2015</t>
  </si>
  <si>
    <t>Etude de fonctionnement du carrefour d'accès au nouveau port de pêche conformément à l'article 2</t>
  </si>
  <si>
    <t>REALISATION D'UNE ETUDE VISANT LE CALCUL, L'ACTUALISATION ET LE SUIVI DE LA STRUCTURE DES COUTS DE REFERENCE DU TRANSPORT ROUTIER ET LA MISE EN PLACE D'UNE APPLICATION INFORMATIQUE</t>
  </si>
  <si>
    <t>10   2014</t>
  </si>
  <si>
    <t>PHASE 1 APPROCHE METHODOLOGIQUE</t>
  </si>
  <si>
    <t>PHASE 2 ETABLISSEMENTS DES COUTS DE REF</t>
  </si>
  <si>
    <t>PHASE 3 CONCEPTION ELABORATION APPLICATION INFORMATIQUE</t>
  </si>
  <si>
    <t>VILLE DE CASABLANCA TRANSPORT EN COMMUN EN SITE PROPRE MISSION N°1 : ACTUALISATION DES ETUDES DE DEFINITION DU RESEAU LONG TERME DE TRANSPORT EN COMMUN EN SITE PROPRE A CASABLANCA; MISSION N°2 : ETUDES D'AVANT - PROJET SOMMAIRE (APS) DE LA LIGNE TRAMWAY T</t>
  </si>
  <si>
    <t>REVUE EP</t>
  </si>
  <si>
    <t>DOSSIER O: SIGNALISATION LUMINEUSE DE TRAFIC</t>
  </si>
  <si>
    <t>ETUDE DE DEFINITION DE L'AXE AUTOROUTIER FES - TAOUNATE</t>
  </si>
  <si>
    <t>DRE FES  BOULEMANE</t>
  </si>
  <si>
    <t xml:space="preserve"> 34/2014</t>
  </si>
  <si>
    <t>ETUDE PRELIMINAIRE AXE AUTOROUTIER</t>
  </si>
  <si>
    <t>Etude de trafics et d'exploitation</t>
  </si>
  <si>
    <t>Etude de rentabilté économique</t>
  </si>
  <si>
    <t>ETUDE DE L'AXE AUTOROUTIER GUELMIM - GUERGARAT</t>
  </si>
  <si>
    <t>DRE LAAYOUNE</t>
  </si>
  <si>
    <t xml:space="preserve"> 16/2014</t>
  </si>
  <si>
    <t>SECTION GUELMIM-GUERGARAT</t>
  </si>
  <si>
    <t>ETUDE PRELIMINAIRE</t>
  </si>
  <si>
    <t>SECTION GUELMIM-LAAYOUNE</t>
  </si>
  <si>
    <t>SECTION LAAYOUNE-DAKHLA</t>
  </si>
  <si>
    <t>SECTION DAKHLA-GUERGARAT</t>
  </si>
  <si>
    <t>ETUDE DE PROGRAMMATION FONCTIONNELLE DES ZONES D'ACTIVITES LOGISTIQUES DES REGIONS DE GRAND CASABLANCA, TANGER, FES ET MARRAKECH</t>
  </si>
  <si>
    <t>15P545/PDV/PI</t>
  </si>
  <si>
    <t>LOT 1</t>
  </si>
  <si>
    <t>ETUDE PROGAMMATION FONCTIONNELLE ZONE GR CASA</t>
  </si>
  <si>
    <t>ETUDE PROGAMMATION FONCTIONNELLE ZONE REGION FES</t>
  </si>
  <si>
    <t>LOT3</t>
  </si>
  <si>
    <t>ETUDE PROGAMMATION FONCTIONNELLE ZONE MARRAKECH</t>
  </si>
  <si>
    <t>LOT 4</t>
  </si>
  <si>
    <t>ETUDE PROGAMMATION FONCTIONNELLE ZONE TANGER</t>
  </si>
  <si>
    <t>ETUDE DE TRAFIC ET DE RENTABILITE ECONOMIQUE ET FINANCIERE: LOT 2 AR RELIANT LA PARTIE TERMINALE DE AR FES-OUJDA A AR EST-OUEST ALGERIENNE</t>
  </si>
  <si>
    <t>302/14/S</t>
  </si>
  <si>
    <t>ETUDE DE TRAFIC</t>
  </si>
  <si>
    <t>ETUDE DE RENTABILITE ECONOMIQUE ET FINANCIERE</t>
  </si>
  <si>
    <t>ETUDE DE TRAFIC ET DE RENTABILITE ECONOMIQUE ET FINANCIERE: LOT 1 AUTOROUTE DE DESSERTE DE NADOR</t>
  </si>
  <si>
    <t>303/14/S</t>
  </si>
  <si>
    <t>REALISATION DE L'ETUDE DU MARCHE DU TRANSPORT FERROVIAIRE DE MARCHANDISES</t>
  </si>
  <si>
    <t>44P588/PFL/PI</t>
  </si>
  <si>
    <t>Expert en etude de marché</t>
  </si>
  <si>
    <t>Expert en logistique transport</t>
  </si>
  <si>
    <t>Analyste de données</t>
  </si>
  <si>
    <t>ENCAISSEMENT A FACTURER</t>
  </si>
  <si>
    <t>JLR CONSEIL</t>
  </si>
  <si>
    <t>Baie de Cocody - Période d'incubation</t>
  </si>
  <si>
    <t>Marchica Med</t>
  </si>
  <si>
    <t>JLR</t>
  </si>
  <si>
    <t>VILLE CASABLANCA - PROJET D'AMELIORATION DE LA CIRCULATION ETUDES DE FAISABILITE DE PROJETS D'AMENAGEMENT : CARREFOUR D'INTERSECTION BD GHANDI ET ROUTE EL JADIDA; - AXE DU BD ZERKTOUNI ENTRE BD MOHAMMED VI ET BD ANFA</t>
  </si>
  <si>
    <t xml:space="preserve">CASA TRANSPORTS </t>
  </si>
  <si>
    <t>34/2015/CT-ETU</t>
  </si>
  <si>
    <t>ETUDE FAISABILITE DU PROJET 1:Aménagement carrefour Ghandi</t>
  </si>
  <si>
    <t>PG 1.1</t>
  </si>
  <si>
    <t>PHASE 1 DIAGNOSTIC SITUATION ACTUELLE</t>
  </si>
  <si>
    <t>PG1.2</t>
  </si>
  <si>
    <t>PHASE 2 ETUDE DE FAISABILITE TECHNIQUE</t>
  </si>
  <si>
    <t>PG 1.3</t>
  </si>
  <si>
    <t>PHASE 3 ETUDE D'IMPACT SUR LES DEPLACEMENTS</t>
  </si>
  <si>
    <t>PG 2</t>
  </si>
  <si>
    <t>ETUDE FAISABILITE DU PROJET 2:Aménagement AXE BD ZERKTOUNI</t>
  </si>
  <si>
    <t>PG 2.1</t>
  </si>
  <si>
    <t>PG2.2</t>
  </si>
  <si>
    <t>PG 2.3</t>
  </si>
  <si>
    <t>ACCOMPAGNEMENT DE LA DR POUR LA DEFINITION DU RESEAU ROUTIER STRUCTURANT.</t>
  </si>
  <si>
    <t>BC N°:</t>
  </si>
  <si>
    <t>Assistance et accompagnement dans la définition des critéres de selection et de hierarchisation du reseau structurant.</t>
  </si>
  <si>
    <t>ETUDE DE TRAFIC ET DE CIRCULATION DU PROJET TANGER WATERFRONT</t>
  </si>
  <si>
    <t>EAGLE HILLS ABU DAHABI</t>
  </si>
  <si>
    <t>Etat des lieux et estimation des trafics futurs dans l'environnement du projet</t>
  </si>
  <si>
    <t>Etude d'accessibilité du projet et analyse de son impact sur le reseau ,</t>
  </si>
  <si>
    <t>PRESTATION DE MAITRISE D'ŒUVRE POUR LA REALISATION DES PROJETS DE TRAMWAYS LIGNE 2 ET EXTENSION DE LA LIGNE 1</t>
  </si>
  <si>
    <t>CASA TRANSPORT</t>
  </si>
  <si>
    <t>DRT-DOA-ATCL-BAT</t>
  </si>
  <si>
    <t>PART POLE TRANSPORT</t>
  </si>
  <si>
    <t>Revue de la Synthèse Réseaux</t>
  </si>
  <si>
    <t>Réseaux ETUDES</t>
  </si>
  <si>
    <t>Plateforme et voies ferrées</t>
  </si>
  <si>
    <t>Centre de maintenance et Remisage</t>
  </si>
  <si>
    <t>Ouvrages d'art</t>
  </si>
  <si>
    <t>Responsable matériels Roulant</t>
  </si>
  <si>
    <t>Stations</t>
  </si>
  <si>
    <t>Ligne Aérienne de Contact LAC</t>
  </si>
  <si>
    <t>Alimentation électrique</t>
  </si>
  <si>
    <t>Les systèmes d’exploitation électriques (Poste de commande centralisée, Courant Faible …..</t>
  </si>
  <si>
    <t>Signalisation ferroviaire</t>
  </si>
  <si>
    <t>Signalisation Lumineuse de Trafic</t>
  </si>
  <si>
    <t>Voirie et aménagement paysager de façade à façade</t>
  </si>
  <si>
    <t>Eclairage Public</t>
  </si>
  <si>
    <t>Billettique</t>
  </si>
  <si>
    <t>Allotissements et organisation des travaux</t>
  </si>
  <si>
    <t>Plan de circulation pendant la phase des travaux</t>
  </si>
  <si>
    <t>Exploitation et maintenance</t>
  </si>
  <si>
    <t>Budget</t>
  </si>
  <si>
    <t>Synthèse des études</t>
  </si>
  <si>
    <t>Organisation des essais</t>
  </si>
  <si>
    <t>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</si>
</sst>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);\(#,##0.00\)"/>
    <numFmt numFmtId="165" formatCode="#,##0_);\(#,##0\)"/>
    <numFmt numFmtId="166" formatCode="#,##0.0_);\(#,##0.0\)"/>
    <numFmt numFmtId="167" formatCode="0.00_)"/>
    <numFmt numFmtId="168" formatCode="#,##0.0000"/>
    <numFmt numFmtId="169" formatCode="#,##0.000000"/>
    <numFmt numFmtId="170" formatCode="#,##0.00000"/>
    <numFmt numFmtId="171" formatCode="#,##0.00\ _€"/>
    <numFmt numFmtId="172" formatCode="#,##0.00&quot;*&quot;"/>
    <numFmt numFmtId="173" formatCode="#,##0&quot;*&quot;"/>
    <numFmt numFmtId="174" formatCode="_-* #,##0.00\ _F_-;\-* #,##0.00\ _F_-;_-* &quot;-&quot;??\ _F_-;_-@_-"/>
    <numFmt numFmtId="175" formatCode="#,##0.0"/>
    <numFmt numFmtId="176" formatCode="#,##0.000000000"/>
    <numFmt numFmtId="177" formatCode="d/m/yyyy"/>
    <numFmt numFmtId="178" formatCode="0.000%"/>
  </numFmts>
  <fonts count="84">
    <font>
      <sz val="10"/>
      <name val="Courier"/>
    </font>
    <font>
      <u/>
      <sz val="10"/>
      <color indexed="12"/>
      <name val="Courier"/>
      <family val="3"/>
    </font>
    <font>
      <sz val="10"/>
      <name val="Arial"/>
      <family val="2"/>
    </font>
    <font>
      <b/>
      <sz val="7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b/>
      <sz val="6"/>
      <name val="Times New Roman"/>
      <family val="1"/>
    </font>
    <font>
      <b/>
      <sz val="8"/>
      <name val="Arial"/>
      <family val="2"/>
    </font>
    <font>
      <b/>
      <u/>
      <sz val="9"/>
      <name val="Times New Roman"/>
      <family val="1"/>
    </font>
    <font>
      <sz val="10"/>
      <name val="Courier"/>
      <family val="3"/>
    </font>
    <font>
      <b/>
      <sz val="14"/>
      <name val="Times New Roman"/>
      <family val="1"/>
    </font>
    <font>
      <sz val="10"/>
      <name val="Courier"/>
      <family val="3"/>
    </font>
    <font>
      <sz val="9"/>
      <name val="Times New Roman"/>
      <family val="1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b/>
      <sz val="8"/>
      <color indexed="10"/>
      <name val="Arial"/>
      <family val="2"/>
    </font>
    <font>
      <b/>
      <sz val="10"/>
      <name val="Courier"/>
      <family val="3"/>
    </font>
    <font>
      <b/>
      <u/>
      <sz val="8"/>
      <name val="Times New Roman"/>
      <family val="1"/>
    </font>
    <font>
      <b/>
      <u/>
      <sz val="8"/>
      <name val="Arial"/>
      <family val="2"/>
    </font>
    <font>
      <b/>
      <sz val="9"/>
      <name val="Arial"/>
      <family val="2"/>
    </font>
    <font>
      <b/>
      <sz val="9"/>
      <name val="Courier"/>
      <family val="3"/>
    </font>
    <font>
      <b/>
      <sz val="9"/>
      <color indexed="8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sz val="10"/>
      <name val="Courier"/>
      <family val="3"/>
    </font>
    <font>
      <sz val="10"/>
      <name val="Arial"/>
      <family val="2"/>
    </font>
    <font>
      <b/>
      <sz val="7"/>
      <name val="Times New Roman"/>
      <family val="1"/>
    </font>
    <font>
      <b/>
      <sz val="10"/>
      <name val="Times New Roman"/>
      <family val="1"/>
    </font>
    <font>
      <b/>
      <sz val="6"/>
      <name val="Times New Roman"/>
      <family val="1"/>
    </font>
    <font>
      <b/>
      <sz val="8"/>
      <color indexed="81"/>
      <name val="Tahoma"/>
      <family val="2"/>
    </font>
    <font>
      <b/>
      <sz val="8"/>
      <color indexed="9"/>
      <name val="Arial"/>
      <family val="2"/>
    </font>
    <font>
      <sz val="10"/>
      <name val="Tahoma"/>
      <family val="2"/>
    </font>
    <font>
      <b/>
      <sz val="12"/>
      <name val="Arial"/>
      <family val="2"/>
    </font>
    <font>
      <b/>
      <sz val="7"/>
      <color indexed="10"/>
      <name val="Arial"/>
      <family val="2"/>
    </font>
    <font>
      <sz val="10"/>
      <color indexed="10"/>
      <name val="Arial"/>
      <family val="2"/>
    </font>
    <font>
      <b/>
      <sz val="6"/>
      <color indexed="10"/>
      <name val="Arial"/>
      <family val="2"/>
    </font>
    <font>
      <sz val="6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10"/>
      <name val="Times New Roman"/>
      <family val="1"/>
    </font>
    <font>
      <b/>
      <u/>
      <sz val="11"/>
      <color indexed="10"/>
      <name val="Times New Roman"/>
      <family val="1"/>
    </font>
    <font>
      <u/>
      <sz val="11"/>
      <color indexed="10"/>
      <name val="Times New Roman"/>
      <family val="1"/>
    </font>
    <font>
      <sz val="10"/>
      <color indexed="10"/>
      <name val="Courier"/>
      <family val="3"/>
    </font>
    <font>
      <b/>
      <sz val="10"/>
      <name val="Courier"/>
      <family val="3"/>
    </font>
    <font>
      <b/>
      <sz val="7"/>
      <color indexed="12"/>
      <name val="Arial"/>
      <family val="2"/>
    </font>
    <font>
      <b/>
      <sz val="12"/>
      <color indexed="10"/>
      <name val="Times New Roman"/>
      <family val="1"/>
    </font>
    <font>
      <sz val="10"/>
      <name val="Times New Roman"/>
      <family val="1"/>
    </font>
    <font>
      <b/>
      <sz val="8"/>
      <name val="Courier"/>
      <family val="3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b/>
      <sz val="14"/>
      <color indexed="1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ourier"/>
    </font>
    <font>
      <sz val="10"/>
      <name val="Arial"/>
      <family val="2"/>
    </font>
    <font>
      <b/>
      <sz val="7"/>
      <name val="Times New Roman"/>
      <family val="1"/>
    </font>
    <font>
      <b/>
      <sz val="10"/>
      <name val="Times New Roman"/>
      <family val="1"/>
    </font>
    <font>
      <sz val="11"/>
      <color indexed="8"/>
      <name val="Calibri"/>
      <family val="2"/>
    </font>
    <font>
      <sz val="9"/>
      <name val="Courier"/>
      <family val="3"/>
    </font>
    <font>
      <sz val="6"/>
      <name val="Times New Roman"/>
      <family val="1"/>
    </font>
    <font>
      <b/>
      <u/>
      <sz val="9"/>
      <name val="Arial"/>
      <family val="2"/>
    </font>
    <font>
      <sz val="9"/>
      <name val="Arial"/>
      <family val="2"/>
    </font>
    <font>
      <sz val="8"/>
      <name val="Courier"/>
    </font>
    <font>
      <b/>
      <sz val="8"/>
      <name val="Ariel"/>
    </font>
    <font>
      <b/>
      <sz val="8"/>
      <color indexed="10"/>
      <name val="Ariel"/>
    </font>
    <font>
      <b/>
      <u/>
      <sz val="8"/>
      <name val="Ariel"/>
    </font>
    <font>
      <b/>
      <i/>
      <sz val="8"/>
      <name val="Arial"/>
      <family val="2"/>
    </font>
    <font>
      <sz val="8"/>
      <name val="Ariel"/>
    </font>
    <font>
      <sz val="11"/>
      <name val="Calibri"/>
      <family val="2"/>
    </font>
    <font>
      <b/>
      <sz val="8"/>
      <color rgb="FFFF0000"/>
      <name val="Arial"/>
      <family val="2"/>
    </font>
    <font>
      <b/>
      <sz val="7"/>
      <color rgb="FFFF0000"/>
      <name val="Times New Roman"/>
      <family val="1"/>
    </font>
    <font>
      <sz val="14"/>
      <name val="Times New Roman"/>
      <family val="1"/>
    </font>
    <font>
      <sz val="9"/>
      <color indexed="81"/>
      <name val="Tahoma"/>
      <charset val="1"/>
    </font>
    <font>
      <b/>
      <sz val="9"/>
      <color indexed="56"/>
      <name val="Calibri"/>
      <family val="2"/>
    </font>
    <font>
      <b/>
      <sz val="7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80">
    <xf numFmtId="0" fontId="0" fillId="0" borderId="0"/>
    <xf numFmtId="44" fontId="2" fillId="0" borderId="0" applyFont="0" applyFill="0" applyBorder="0" applyAlignment="0" applyProtection="0"/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1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11" fillId="0" borderId="0"/>
    <xf numFmtId="0" fontId="9" fillId="0" borderId="0"/>
    <xf numFmtId="0" fontId="19" fillId="0" borderId="0"/>
    <xf numFmtId="0" fontId="19" fillId="0" borderId="0"/>
    <xf numFmtId="0" fontId="2" fillId="0" borderId="0"/>
    <xf numFmtId="0" fontId="9" fillId="0" borderId="0"/>
    <xf numFmtId="0" fontId="62" fillId="0" borderId="0"/>
    <xf numFmtId="0" fontId="32" fillId="0" borderId="0"/>
    <xf numFmtId="0" fontId="33" fillId="0" borderId="0"/>
    <xf numFmtId="0" fontId="33" fillId="0" borderId="0"/>
    <xf numFmtId="0" fontId="9" fillId="0" borderId="0"/>
    <xf numFmtId="0" fontId="2" fillId="0" borderId="0"/>
    <xf numFmtId="0" fontId="33" fillId="0" borderId="0"/>
    <xf numFmtId="0" fontId="33" fillId="0" borderId="0"/>
    <xf numFmtId="0" fontId="2" fillId="0" borderId="0"/>
    <xf numFmtId="0" fontId="32" fillId="0" borderId="0"/>
    <xf numFmtId="0" fontId="33" fillId="0" borderId="0"/>
    <xf numFmtId="0" fontId="39" fillId="0" borderId="0"/>
    <xf numFmtId="0" fontId="33" fillId="0" borderId="0"/>
    <xf numFmtId="0" fontId="9" fillId="0" borderId="0"/>
    <xf numFmtId="0" fontId="9" fillId="0" borderId="0"/>
    <xf numFmtId="0" fontId="2" fillId="0" borderId="0"/>
    <xf numFmtId="0" fontId="33" fillId="0" borderId="0"/>
    <xf numFmtId="0" fontId="9" fillId="0" borderId="0"/>
    <xf numFmtId="0" fontId="62" fillId="0" borderId="0"/>
    <xf numFmtId="0" fontId="32" fillId="0" borderId="0"/>
    <xf numFmtId="0" fontId="2" fillId="0" borderId="0"/>
    <xf numFmtId="0" fontId="2" fillId="0" borderId="0"/>
    <xf numFmtId="0" fontId="63" fillId="0" borderId="0"/>
    <xf numFmtId="0" fontId="33" fillId="0" borderId="0"/>
    <xf numFmtId="0" fontId="63" fillId="0" borderId="0"/>
    <xf numFmtId="0" fontId="33" fillId="0" borderId="0"/>
    <xf numFmtId="0" fontId="9" fillId="0" borderId="0"/>
    <xf numFmtId="0" fontId="32" fillId="0" borderId="0"/>
    <xf numFmtId="0" fontId="6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2" fillId="0" borderId="0"/>
    <xf numFmtId="0" fontId="33" fillId="0" borderId="0"/>
    <xf numFmtId="0" fontId="9" fillId="0" borderId="0"/>
    <xf numFmtId="0" fontId="32" fillId="0" borderId="0"/>
    <xf numFmtId="0" fontId="2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" fillId="9" borderId="17" applyNumberFormat="0" applyFont="0" applyAlignment="0" applyProtection="0"/>
    <xf numFmtId="174" fontId="63" fillId="0" borderId="0" applyFont="0" applyFill="0" applyBorder="0" applyAlignment="0" applyProtection="0"/>
    <xf numFmtId="174" fontId="2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2" fillId="0" borderId="0"/>
    <xf numFmtId="0" fontId="9" fillId="0" borderId="0"/>
    <xf numFmtId="0" fontId="66" fillId="0" borderId="0"/>
    <xf numFmtId="0" fontId="2" fillId="0" borderId="0"/>
    <xf numFmtId="0" fontId="63" fillId="0" borderId="0"/>
    <xf numFmtId="0" fontId="9" fillId="0" borderId="0"/>
    <xf numFmtId="0" fontId="9" fillId="0" borderId="0"/>
    <xf numFmtId="9" fontId="6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3" fillId="0" borderId="0"/>
    <xf numFmtId="0" fontId="62" fillId="0" borderId="0"/>
    <xf numFmtId="0" fontId="63" fillId="0" borderId="0"/>
    <xf numFmtId="0" fontId="62" fillId="0" borderId="0"/>
    <xf numFmtId="0" fontId="62" fillId="0" borderId="0"/>
    <xf numFmtId="43" fontId="62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0" fontId="2" fillId="0" borderId="0"/>
    <xf numFmtId="0" fontId="9" fillId="0" borderId="0"/>
    <xf numFmtId="0" fontId="9" fillId="0" borderId="0"/>
    <xf numFmtId="0" fontId="9" fillId="0" borderId="0"/>
    <xf numFmtId="9" fontId="62" fillId="0" borderId="0" applyFont="0" applyFill="0" applyBorder="0" applyAlignment="0" applyProtection="0"/>
    <xf numFmtId="0" fontId="66" fillId="0" borderId="0"/>
  </cellStyleXfs>
  <cellXfs count="2526">
    <xf numFmtId="0" fontId="0" fillId="0" borderId="0" xfId="0"/>
    <xf numFmtId="0" fontId="3" fillId="0" borderId="0" xfId="0" applyFont="1"/>
    <xf numFmtId="4" fontId="3" fillId="0" borderId="0" xfId="0" applyNumberFormat="1" applyFont="1"/>
    <xf numFmtId="0" fontId="4" fillId="0" borderId="0" xfId="0" applyFont="1"/>
    <xf numFmtId="4" fontId="7" fillId="0" borderId="2" xfId="0" applyNumberFormat="1" applyFont="1" applyFill="1" applyBorder="1" applyAlignment="1" applyProtection="1">
      <alignment horizontal="center"/>
    </xf>
    <xf numFmtId="4" fontId="7" fillId="0" borderId="3" xfId="38" applyNumberFormat="1" applyFont="1" applyBorder="1" applyProtection="1"/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left"/>
    </xf>
    <xf numFmtId="4" fontId="6" fillId="0" borderId="2" xfId="38" applyNumberFormat="1" applyFont="1" applyBorder="1" applyAlignment="1">
      <alignment horizontal="center"/>
    </xf>
    <xf numFmtId="4" fontId="4" fillId="0" borderId="0" xfId="38" applyNumberFormat="1" applyFont="1" applyProtection="1"/>
    <xf numFmtId="4" fontId="3" fillId="0" borderId="0" xfId="38" applyNumberFormat="1" applyFont="1"/>
    <xf numFmtId="0" fontId="3" fillId="0" borderId="0" xfId="38" applyFont="1"/>
    <xf numFmtId="0" fontId="9" fillId="0" borderId="0" xfId="38"/>
    <xf numFmtId="0" fontId="4" fillId="0" borderId="0" xfId="38" applyFont="1"/>
    <xf numFmtId="0" fontId="4" fillId="0" borderId="0" xfId="38" applyFont="1" applyAlignment="1">
      <alignment horizontal="left"/>
    </xf>
    <xf numFmtId="4" fontId="4" fillId="0" borderId="0" xfId="38" applyNumberFormat="1" applyFont="1"/>
    <xf numFmtId="0" fontId="6" fillId="0" borderId="1" xfId="38" applyFont="1" applyBorder="1" applyAlignment="1">
      <alignment horizontal="center"/>
    </xf>
    <xf numFmtId="0" fontId="6" fillId="0" borderId="2" xfId="38" applyFont="1" applyBorder="1" applyAlignment="1">
      <alignment horizontal="center"/>
    </xf>
    <xf numFmtId="0" fontId="6" fillId="0" borderId="2" xfId="38" applyFont="1" applyBorder="1" applyAlignment="1">
      <alignment horizontal="left"/>
    </xf>
    <xf numFmtId="0" fontId="6" fillId="0" borderId="2" xfId="38" applyFont="1" applyBorder="1"/>
    <xf numFmtId="0" fontId="6" fillId="0" borderId="3" xfId="38" applyFont="1" applyBorder="1" applyAlignment="1">
      <alignment horizontal="center"/>
    </xf>
    <xf numFmtId="0" fontId="6" fillId="0" borderId="3" xfId="38" applyFont="1" applyBorder="1" applyAlignment="1">
      <alignment horizontal="left"/>
    </xf>
    <xf numFmtId="0" fontId="5" fillId="0" borderId="2" xfId="38" applyFont="1" applyBorder="1" applyAlignment="1">
      <alignment horizontal="center"/>
    </xf>
    <xf numFmtId="0" fontId="5" fillId="0" borderId="2" xfId="38" applyFont="1" applyBorder="1" applyAlignment="1">
      <alignment horizontal="left"/>
    </xf>
    <xf numFmtId="165" fontId="5" fillId="0" borderId="2" xfId="38" quotePrefix="1" applyNumberFormat="1" applyFont="1" applyBorder="1" applyAlignment="1" applyProtection="1">
      <alignment horizontal="center" vertical="top"/>
    </xf>
    <xf numFmtId="165" fontId="5" fillId="0" borderId="2" xfId="38" applyNumberFormat="1" applyFont="1" applyBorder="1" applyAlignment="1" applyProtection="1">
      <alignment horizontal="left" wrapText="1"/>
    </xf>
    <xf numFmtId="4" fontId="5" fillId="0" borderId="2" xfId="38" applyNumberFormat="1" applyFont="1" applyBorder="1" applyAlignment="1" applyProtection="1">
      <alignment horizontal="center"/>
    </xf>
    <xf numFmtId="4" fontId="7" fillId="0" borderId="2" xfId="38" applyNumberFormat="1" applyFont="1" applyBorder="1" applyProtection="1"/>
    <xf numFmtId="165" fontId="5" fillId="0" borderId="2" xfId="38" quotePrefix="1" applyNumberFormat="1" applyFont="1" applyBorder="1" applyAlignment="1" applyProtection="1">
      <alignment horizontal="center" vertical="top" wrapText="1"/>
    </xf>
    <xf numFmtId="165" fontId="5" fillId="0" borderId="2" xfId="38" applyNumberFormat="1" applyFont="1" applyBorder="1" applyAlignment="1" applyProtection="1">
      <alignment horizontal="left" vertical="top" wrapText="1"/>
    </xf>
    <xf numFmtId="165" fontId="8" fillId="0" borderId="2" xfId="38" applyNumberFormat="1" applyFont="1" applyBorder="1" applyAlignment="1" applyProtection="1">
      <alignment horizontal="left" vertical="top" wrapText="1"/>
    </xf>
    <xf numFmtId="4" fontId="7" fillId="0" borderId="2" xfId="38" applyNumberFormat="1" applyFont="1" applyBorder="1" applyAlignment="1" applyProtection="1">
      <alignment horizontal="center" vertical="top" wrapText="1"/>
    </xf>
    <xf numFmtId="165" fontId="8" fillId="0" borderId="2" xfId="38" applyNumberFormat="1" applyFont="1" applyBorder="1" applyAlignment="1" applyProtection="1">
      <alignment horizontal="left" wrapText="1"/>
    </xf>
    <xf numFmtId="165" fontId="12" fillId="0" borderId="2" xfId="38" quotePrefix="1" applyNumberFormat="1" applyFont="1" applyBorder="1" applyAlignment="1" applyProtection="1">
      <alignment horizontal="center" vertical="top" wrapText="1"/>
    </xf>
    <xf numFmtId="165" fontId="13" fillId="0" borderId="2" xfId="38" quotePrefix="1" applyNumberFormat="1" applyFont="1" applyBorder="1" applyAlignment="1" applyProtection="1">
      <alignment horizontal="center" vertical="top" wrapText="1"/>
    </xf>
    <xf numFmtId="165" fontId="24" fillId="0" borderId="2" xfId="38" applyNumberFormat="1" applyFont="1" applyBorder="1" applyAlignment="1" applyProtection="1">
      <alignment horizontal="left" vertical="top" wrapText="1"/>
    </xf>
    <xf numFmtId="4" fontId="7" fillId="0" borderId="2" xfId="38" applyNumberFormat="1" applyFont="1" applyBorder="1" applyAlignment="1" applyProtection="1">
      <alignment horizontal="center"/>
    </xf>
    <xf numFmtId="165" fontId="14" fillId="0" borderId="2" xfId="38" quotePrefix="1" applyNumberFormat="1" applyFont="1" applyBorder="1" applyAlignment="1" applyProtection="1">
      <alignment horizontal="center" vertical="top" wrapText="1"/>
    </xf>
    <xf numFmtId="165" fontId="14" fillId="0" borderId="2" xfId="38" applyNumberFormat="1" applyFont="1" applyBorder="1" applyAlignment="1" applyProtection="1">
      <alignment horizontal="left" vertical="top" wrapText="1"/>
    </xf>
    <xf numFmtId="165" fontId="7" fillId="0" borderId="2" xfId="38" applyNumberFormat="1" applyFont="1" applyBorder="1" applyAlignment="1" applyProtection="1">
      <alignment horizontal="center"/>
    </xf>
    <xf numFmtId="165" fontId="7" fillId="0" borderId="2" xfId="38" applyNumberFormat="1" applyFont="1" applyBorder="1" applyAlignment="1" applyProtection="1">
      <alignment horizontal="left"/>
    </xf>
    <xf numFmtId="165" fontId="7" fillId="0" borderId="3" xfId="38" applyNumberFormat="1" applyFont="1" applyBorder="1" applyAlignment="1" applyProtection="1">
      <alignment horizontal="center"/>
    </xf>
    <xf numFmtId="165" fontId="7" fillId="0" borderId="3" xfId="38" applyNumberFormat="1" applyFont="1" applyBorder="1" applyAlignment="1" applyProtection="1">
      <alignment horizontal="left"/>
    </xf>
    <xf numFmtId="0" fontId="23" fillId="0" borderId="0" xfId="38" applyFont="1" applyAlignment="1">
      <alignment horizontal="left"/>
    </xf>
    <xf numFmtId="165" fontId="3" fillId="0" borderId="0" xfId="38" applyNumberFormat="1" applyFont="1" applyAlignment="1" applyProtection="1">
      <alignment horizontal="left"/>
    </xf>
    <xf numFmtId="4" fontId="7" fillId="0" borderId="2" xfId="38" applyNumberFormat="1" applyFont="1" applyFill="1" applyBorder="1" applyAlignment="1" applyProtection="1">
      <alignment horizontal="center" vertical="top" wrapText="1"/>
    </xf>
    <xf numFmtId="0" fontId="15" fillId="0" borderId="0" xfId="49" applyFont="1" applyFill="1" applyBorder="1" applyAlignment="1">
      <alignment horizontal="center" vertical="center" wrapText="1"/>
    </xf>
    <xf numFmtId="0" fontId="26" fillId="0" borderId="0" xfId="49" applyFont="1" applyBorder="1" applyAlignment="1">
      <alignment horizontal="center" vertical="center"/>
    </xf>
    <xf numFmtId="0" fontId="15" fillId="0" borderId="0" xfId="49" applyNumberFormat="1" applyFont="1" applyFill="1" applyBorder="1" applyAlignment="1">
      <alignment horizontal="left" vertical="top" wrapText="1"/>
    </xf>
    <xf numFmtId="0" fontId="5" fillId="2" borderId="1" xfId="49" applyNumberFormat="1" applyFont="1" applyFill="1" applyBorder="1" applyAlignment="1" applyProtection="1">
      <alignment horizontal="left" vertical="top" wrapText="1"/>
    </xf>
    <xf numFmtId="167" fontId="5" fillId="2" borderId="1" xfId="49" applyNumberFormat="1" applyFont="1" applyFill="1" applyBorder="1" applyAlignment="1" applyProtection="1">
      <alignment horizontal="center" vertical="center" wrapText="1"/>
    </xf>
    <xf numFmtId="4" fontId="5" fillId="2" borderId="1" xfId="49" applyNumberFormat="1" applyFont="1" applyFill="1" applyBorder="1" applyAlignment="1" applyProtection="1">
      <alignment horizontal="center" vertical="center" wrapText="1"/>
    </xf>
    <xf numFmtId="0" fontId="26" fillId="0" borderId="0" xfId="49" applyFont="1" applyAlignment="1">
      <alignment horizontal="center" vertical="center"/>
    </xf>
    <xf numFmtId="0" fontId="27" fillId="0" borderId="3" xfId="0" applyNumberFormat="1" applyFont="1" applyBorder="1" applyAlignment="1">
      <alignment horizontal="left" vertical="top" wrapText="1"/>
    </xf>
    <xf numFmtId="4" fontId="27" fillId="0" borderId="3" xfId="0" applyNumberFormat="1" applyFont="1" applyBorder="1" applyAlignment="1">
      <alignment horizontal="center" vertical="center"/>
    </xf>
    <xf numFmtId="4" fontId="27" fillId="0" borderId="3" xfId="0" applyNumberFormat="1" applyFont="1" applyBorder="1" applyAlignment="1">
      <alignment horizontal="left" vertical="center"/>
    </xf>
    <xf numFmtId="0" fontId="27" fillId="0" borderId="12" xfId="0" applyFont="1" applyBorder="1" applyAlignment="1">
      <alignment horizontal="center"/>
    </xf>
    <xf numFmtId="37" fontId="27" fillId="0" borderId="12" xfId="0" applyNumberFormat="1" applyFont="1" applyBorder="1" applyAlignment="1">
      <alignment horizontal="center"/>
    </xf>
    <xf numFmtId="4" fontId="27" fillId="2" borderId="3" xfId="0" applyNumberFormat="1" applyFont="1" applyFill="1" applyBorder="1" applyAlignment="1">
      <alignment horizontal="center" vertical="center"/>
    </xf>
    <xf numFmtId="0" fontId="26" fillId="0" borderId="0" xfId="49" applyNumberFormat="1" applyFont="1" applyAlignment="1">
      <alignment horizontal="left" vertical="top" wrapText="1"/>
    </xf>
    <xf numFmtId="0" fontId="28" fillId="0" borderId="0" xfId="49" applyFont="1" applyFill="1" applyBorder="1" applyAlignment="1">
      <alignment horizontal="right" wrapText="1"/>
    </xf>
    <xf numFmtId="14" fontId="28" fillId="0" borderId="0" xfId="49" applyNumberFormat="1" applyFont="1" applyFill="1" applyBorder="1" applyAlignment="1">
      <alignment horizontal="left" wrapText="1"/>
    </xf>
    <xf numFmtId="165" fontId="7" fillId="0" borderId="2" xfId="0" applyNumberFormat="1" applyFont="1" applyBorder="1" applyAlignment="1" applyProtection="1">
      <alignment horizontal="left" vertical="center" wrapText="1"/>
    </xf>
    <xf numFmtId="37" fontId="7" fillId="0" borderId="2" xfId="17" applyNumberFormat="1" applyFont="1" applyBorder="1" applyAlignment="1" applyProtection="1">
      <alignment horizontal="left" vertical="center"/>
    </xf>
    <xf numFmtId="4" fontId="17" fillId="0" borderId="0" xfId="32" applyNumberFormat="1" applyFont="1" applyFill="1" applyProtection="1"/>
    <xf numFmtId="4" fontId="4" fillId="0" borderId="0" xfId="0" applyNumberFormat="1" applyFont="1" applyFill="1"/>
    <xf numFmtId="0" fontId="4" fillId="0" borderId="0" xfId="38" applyFont="1" applyFill="1" applyAlignment="1">
      <alignment horizontal="left"/>
    </xf>
    <xf numFmtId="4" fontId="18" fillId="0" borderId="0" xfId="32" applyNumberFormat="1" applyFont="1" applyFill="1"/>
    <xf numFmtId="0" fontId="18" fillId="0" borderId="0" xfId="32" applyFont="1" applyFill="1"/>
    <xf numFmtId="4" fontId="17" fillId="0" borderId="0" xfId="32" applyNumberFormat="1" applyFont="1" applyFill="1"/>
    <xf numFmtId="0" fontId="17" fillId="0" borderId="0" xfId="32" applyFont="1" applyFill="1"/>
    <xf numFmtId="0" fontId="4" fillId="0" borderId="0" xfId="38" applyFont="1" applyFill="1" applyAlignment="1">
      <alignment horizontal="justify"/>
    </xf>
    <xf numFmtId="164" fontId="17" fillId="0" borderId="0" xfId="32" applyNumberFormat="1" applyFont="1" applyFill="1" applyProtection="1"/>
    <xf numFmtId="1" fontId="4" fillId="0" borderId="0" xfId="38" applyNumberFormat="1" applyFont="1" applyFill="1" applyAlignment="1">
      <alignment horizontal="left"/>
    </xf>
    <xf numFmtId="0" fontId="4" fillId="0" borderId="0" xfId="0" applyFont="1" applyFill="1" applyAlignment="1">
      <alignment wrapText="1"/>
    </xf>
    <xf numFmtId="4" fontId="17" fillId="0" borderId="0" xfId="32" applyNumberFormat="1" applyFont="1" applyFill="1" applyBorder="1" applyAlignment="1" applyProtection="1">
      <alignment horizontal="left"/>
    </xf>
    <xf numFmtId="4" fontId="15" fillId="0" borderId="0" xfId="32" applyNumberFormat="1" applyFont="1" applyFill="1" applyBorder="1" applyAlignment="1" applyProtection="1">
      <alignment horizontal="left"/>
    </xf>
    <xf numFmtId="0" fontId="15" fillId="0" borderId="0" xfId="32" applyFont="1" applyFill="1" applyBorder="1" applyAlignment="1">
      <alignment horizontal="left"/>
    </xf>
    <xf numFmtId="0" fontId="15" fillId="0" borderId="0" xfId="32" applyFont="1" applyFill="1"/>
    <xf numFmtId="0" fontId="17" fillId="0" borderId="0" xfId="32" applyFont="1" applyFill="1" applyAlignment="1">
      <alignment horizontal="center"/>
    </xf>
    <xf numFmtId="0" fontId="20" fillId="0" borderId="1" xfId="32" applyFont="1" applyFill="1" applyBorder="1" applyAlignment="1">
      <alignment horizontal="center"/>
    </xf>
    <xf numFmtId="4" fontId="20" fillId="0" borderId="1" xfId="32" applyNumberFormat="1" applyFont="1" applyFill="1" applyBorder="1" applyAlignment="1">
      <alignment horizontal="center" vertical="center" wrapText="1"/>
    </xf>
    <xf numFmtId="4" fontId="20" fillId="0" borderId="4" xfId="32" applyNumberFormat="1" applyFont="1" applyFill="1" applyBorder="1" applyAlignment="1">
      <alignment horizontal="centerContinuous"/>
    </xf>
    <xf numFmtId="4" fontId="20" fillId="0" borderId="5" xfId="32" applyNumberFormat="1" applyFont="1" applyFill="1" applyBorder="1" applyAlignment="1">
      <alignment horizontal="centerContinuous"/>
    </xf>
    <xf numFmtId="4" fontId="20" fillId="0" borderId="6" xfId="32" applyNumberFormat="1" applyFont="1" applyFill="1" applyBorder="1" applyAlignment="1">
      <alignment horizontal="centerContinuous"/>
    </xf>
    <xf numFmtId="4" fontId="20" fillId="0" borderId="4" xfId="32" applyNumberFormat="1" applyFont="1" applyFill="1" applyBorder="1" applyAlignment="1" applyProtection="1">
      <alignment horizontal="centerContinuous"/>
    </xf>
    <xf numFmtId="4" fontId="20" fillId="0" borderId="6" xfId="32" applyNumberFormat="1" applyFont="1" applyFill="1" applyBorder="1" applyAlignment="1" applyProtection="1">
      <alignment horizontal="centerContinuous"/>
    </xf>
    <xf numFmtId="4" fontId="20" fillId="0" borderId="1" xfId="32" applyNumberFormat="1" applyFont="1" applyFill="1" applyBorder="1" applyAlignment="1" applyProtection="1">
      <alignment horizontal="center"/>
    </xf>
    <xf numFmtId="4" fontId="20" fillId="0" borderId="1" xfId="32" applyNumberFormat="1" applyFont="1" applyFill="1" applyBorder="1"/>
    <xf numFmtId="0" fontId="20" fillId="0" borderId="1" xfId="32" applyFont="1" applyFill="1" applyBorder="1"/>
    <xf numFmtId="4" fontId="6" fillId="0" borderId="4" xfId="38" applyNumberFormat="1" applyFont="1" applyFill="1" applyBorder="1" applyAlignment="1">
      <alignment horizontal="centerContinuous"/>
    </xf>
    <xf numFmtId="4" fontId="6" fillId="0" borderId="5" xfId="38" applyNumberFormat="1" applyFont="1" applyFill="1" applyBorder="1" applyAlignment="1">
      <alignment horizontal="centerContinuous"/>
    </xf>
    <xf numFmtId="4" fontId="6" fillId="0" borderId="6" xfId="38" applyNumberFormat="1" applyFont="1" applyFill="1" applyBorder="1" applyAlignment="1">
      <alignment horizontal="centerContinuous"/>
    </xf>
    <xf numFmtId="0" fontId="20" fillId="0" borderId="0" xfId="32" applyFont="1" applyFill="1"/>
    <xf numFmtId="0" fontId="21" fillId="0" borderId="0" xfId="32" applyFont="1" applyFill="1"/>
    <xf numFmtId="0" fontId="20" fillId="0" borderId="2" xfId="32" applyFont="1" applyFill="1" applyBorder="1" applyAlignment="1">
      <alignment horizontal="center"/>
    </xf>
    <xf numFmtId="0" fontId="20" fillId="0" borderId="2" xfId="32" applyFont="1" applyFill="1" applyBorder="1"/>
    <xf numFmtId="4" fontId="20" fillId="0" borderId="2" xfId="32" applyNumberFormat="1" applyFont="1" applyFill="1" applyBorder="1"/>
    <xf numFmtId="4" fontId="20" fillId="0" borderId="7" xfId="32" applyNumberFormat="1" applyFont="1" applyFill="1" applyBorder="1" applyAlignment="1">
      <alignment horizontal="center"/>
    </xf>
    <xf numFmtId="4" fontId="20" fillId="0" borderId="8" xfId="32" applyNumberFormat="1" applyFont="1" applyFill="1" applyBorder="1" applyAlignment="1">
      <alignment horizontal="center"/>
    </xf>
    <xf numFmtId="4" fontId="20" fillId="0" borderId="9" xfId="32" applyNumberFormat="1" applyFont="1" applyFill="1" applyBorder="1" applyAlignment="1" applyProtection="1">
      <alignment horizontal="center"/>
    </xf>
    <xf numFmtId="4" fontId="20" fillId="0" borderId="0" xfId="32" applyNumberFormat="1" applyFont="1" applyFill="1" applyBorder="1" applyAlignment="1" applyProtection="1">
      <alignment horizontal="centerContinuous"/>
    </xf>
    <xf numFmtId="4" fontId="20" fillId="0" borderId="10" xfId="32" applyNumberFormat="1" applyFont="1" applyFill="1" applyBorder="1" applyAlignment="1" applyProtection="1">
      <alignment horizontal="centerContinuous"/>
    </xf>
    <xf numFmtId="4" fontId="20" fillId="0" borderId="2" xfId="32" applyNumberFormat="1" applyFont="1" applyFill="1" applyBorder="1" applyAlignment="1" applyProtection="1">
      <alignment horizontal="center"/>
    </xf>
    <xf numFmtId="4" fontId="20" fillId="0" borderId="0" xfId="32" applyNumberFormat="1" applyFont="1" applyFill="1" applyBorder="1" applyAlignment="1">
      <alignment horizontal="center"/>
    </xf>
    <xf numFmtId="4" fontId="20" fillId="0" borderId="2" xfId="32" applyNumberFormat="1" applyFont="1" applyFill="1" applyBorder="1" applyAlignment="1">
      <alignment horizontal="center"/>
    </xf>
    <xf numFmtId="0" fontId="20" fillId="0" borderId="2" xfId="32" quotePrefix="1" applyFont="1" applyFill="1" applyBorder="1" applyAlignment="1">
      <alignment horizontal="center"/>
    </xf>
    <xf numFmtId="4" fontId="13" fillId="0" borderId="7" xfId="29" applyNumberFormat="1" applyFont="1" applyFill="1" applyBorder="1" applyAlignment="1" applyProtection="1">
      <alignment horizontal="center" vertical="center"/>
      <protection locked="0"/>
    </xf>
    <xf numFmtId="4" fontId="13" fillId="0" borderId="8" xfId="29" applyNumberFormat="1" applyFont="1" applyFill="1" applyBorder="1" applyAlignment="1" applyProtection="1">
      <alignment horizontal="center" vertical="center"/>
      <protection locked="0"/>
    </xf>
    <xf numFmtId="4" fontId="13" fillId="0" borderId="9" xfId="29" applyNumberFormat="1" applyFont="1" applyFill="1" applyBorder="1" applyAlignment="1" applyProtection="1">
      <alignment horizontal="center" vertical="center"/>
      <protection locked="0"/>
    </xf>
    <xf numFmtId="4" fontId="20" fillId="0" borderId="1" xfId="32" applyNumberFormat="1" applyFont="1" applyFill="1" applyBorder="1" applyAlignment="1">
      <alignment horizontal="center"/>
    </xf>
    <xf numFmtId="4" fontId="20" fillId="0" borderId="2" xfId="32" quotePrefix="1" applyNumberFormat="1" applyFont="1" applyFill="1" applyBorder="1" applyAlignment="1" applyProtection="1">
      <alignment horizontal="center"/>
    </xf>
    <xf numFmtId="4" fontId="20" fillId="0" borderId="2" xfId="32" applyNumberFormat="1" applyFont="1" applyFill="1" applyBorder="1" applyProtection="1"/>
    <xf numFmtId="4" fontId="20" fillId="0" borderId="13" xfId="32" applyNumberFormat="1" applyFont="1" applyFill="1" applyBorder="1"/>
    <xf numFmtId="0" fontId="20" fillId="0" borderId="13" xfId="32" applyFont="1" applyFill="1" applyBorder="1" applyAlignment="1">
      <alignment horizontal="center"/>
    </xf>
    <xf numFmtId="0" fontId="20" fillId="0" borderId="3" xfId="32" applyFont="1" applyFill="1" applyBorder="1" applyAlignment="1">
      <alignment horizontal="center"/>
    </xf>
    <xf numFmtId="4" fontId="20" fillId="0" borderId="3" xfId="32" applyNumberFormat="1" applyFont="1" applyFill="1" applyBorder="1" applyAlignment="1">
      <alignment horizontal="center"/>
    </xf>
    <xf numFmtId="4" fontId="20" fillId="0" borderId="3" xfId="32" applyNumberFormat="1" applyFont="1" applyFill="1" applyBorder="1" applyAlignment="1" applyProtection="1">
      <alignment horizontal="center"/>
    </xf>
    <xf numFmtId="4" fontId="20" fillId="0" borderId="3" xfId="32" quotePrefix="1" applyNumberFormat="1" applyFont="1" applyFill="1" applyBorder="1" applyAlignment="1">
      <alignment horizontal="center"/>
    </xf>
    <xf numFmtId="0" fontId="20" fillId="0" borderId="3" xfId="32" quotePrefix="1" applyFont="1" applyFill="1" applyBorder="1" applyAlignment="1">
      <alignment horizontal="center"/>
    </xf>
    <xf numFmtId="1" fontId="20" fillId="0" borderId="2" xfId="32" applyNumberFormat="1" applyFont="1" applyFill="1" applyBorder="1" applyAlignment="1">
      <alignment horizontal="center"/>
    </xf>
    <xf numFmtId="0" fontId="7" fillId="0" borderId="2" xfId="32" applyFont="1" applyFill="1" applyBorder="1" applyAlignment="1">
      <alignment horizontal="center"/>
    </xf>
    <xf numFmtId="2" fontId="20" fillId="0" borderId="2" xfId="32" applyNumberFormat="1" applyFont="1" applyFill="1" applyBorder="1" applyAlignment="1">
      <alignment horizontal="center"/>
    </xf>
    <xf numFmtId="4" fontId="20" fillId="0" borderId="2" xfId="32" quotePrefix="1" applyNumberFormat="1" applyFont="1" applyFill="1" applyBorder="1" applyAlignment="1">
      <alignment horizontal="center"/>
    </xf>
    <xf numFmtId="4" fontId="7" fillId="0" borderId="2" xfId="32" applyNumberFormat="1" applyFont="1" applyFill="1" applyBorder="1" applyAlignment="1" applyProtection="1">
      <alignment horizontal="center" vertical="center"/>
    </xf>
    <xf numFmtId="2" fontId="15" fillId="0" borderId="2" xfId="32" applyNumberFormat="1" applyFont="1" applyFill="1" applyBorder="1" applyAlignment="1">
      <alignment horizontal="center" vertical="center"/>
    </xf>
    <xf numFmtId="1" fontId="15" fillId="0" borderId="2" xfId="32" applyNumberFormat="1" applyFont="1" applyFill="1" applyBorder="1" applyAlignment="1">
      <alignment horizontal="center" vertical="center"/>
    </xf>
    <xf numFmtId="4" fontId="15" fillId="0" borderId="2" xfId="32" applyNumberFormat="1" applyFont="1" applyFill="1" applyBorder="1" applyAlignment="1" applyProtection="1">
      <alignment horizontal="center"/>
    </xf>
    <xf numFmtId="4" fontId="15" fillId="0" borderId="2" xfId="32" applyNumberFormat="1" applyFont="1" applyFill="1" applyBorder="1" applyAlignment="1">
      <alignment horizontal="center"/>
    </xf>
    <xf numFmtId="0" fontId="15" fillId="0" borderId="2" xfId="32" quotePrefix="1" applyFont="1" applyFill="1" applyBorder="1" applyAlignment="1">
      <alignment horizontal="center"/>
    </xf>
    <xf numFmtId="165" fontId="7" fillId="0" borderId="2" xfId="38" applyNumberFormat="1" applyFont="1" applyFill="1" applyBorder="1" applyAlignment="1" applyProtection="1">
      <alignment horizontal="left" vertical="center" wrapText="1"/>
    </xf>
    <xf numFmtId="2" fontId="7" fillId="0" borderId="10" xfId="32" applyNumberFormat="1" applyFont="1" applyFill="1" applyBorder="1" applyAlignment="1" applyProtection="1">
      <alignment horizontal="center" vertical="center"/>
    </xf>
    <xf numFmtId="1" fontId="7" fillId="0" borderId="2" xfId="32" applyNumberFormat="1" applyFont="1" applyFill="1" applyBorder="1" applyAlignment="1" applyProtection="1">
      <alignment horizontal="center" vertical="center"/>
    </xf>
    <xf numFmtId="4" fontId="7" fillId="0" borderId="2" xfId="32" applyNumberFormat="1" applyFont="1" applyFill="1" applyBorder="1" applyProtection="1"/>
    <xf numFmtId="4" fontId="7" fillId="0" borderId="2" xfId="32" applyNumberFormat="1" applyFont="1" applyFill="1" applyBorder="1" applyAlignment="1" applyProtection="1">
      <alignment horizontal="center"/>
    </xf>
    <xf numFmtId="4" fontId="7" fillId="0" borderId="2" xfId="32" applyNumberFormat="1" applyFont="1" applyFill="1" applyBorder="1" applyAlignment="1">
      <alignment horizontal="center"/>
    </xf>
    <xf numFmtId="167" fontId="7" fillId="0" borderId="2" xfId="32" applyNumberFormat="1" applyFont="1" applyFill="1" applyBorder="1" applyAlignment="1" applyProtection="1">
      <alignment vertical="center"/>
    </xf>
    <xf numFmtId="167" fontId="7" fillId="0" borderId="2" xfId="32" applyNumberFormat="1" applyFont="1" applyFill="1" applyBorder="1" applyProtection="1"/>
    <xf numFmtId="164" fontId="7" fillId="0" borderId="2" xfId="32" applyNumberFormat="1" applyFont="1" applyFill="1" applyBorder="1" applyProtection="1"/>
    <xf numFmtId="4" fontId="7" fillId="0" borderId="2" xfId="32" applyNumberFormat="1" applyFont="1" applyFill="1" applyBorder="1" applyAlignment="1" applyProtection="1">
      <alignment horizontal="center" vertical="top" wrapText="1"/>
    </xf>
    <xf numFmtId="4" fontId="7" fillId="0" borderId="10" xfId="32" applyNumberFormat="1" applyFont="1" applyFill="1" applyBorder="1" applyAlignment="1" applyProtection="1">
      <alignment horizontal="center" vertical="center" wrapText="1"/>
    </xf>
    <xf numFmtId="3" fontId="7" fillId="0" borderId="2" xfId="32" applyNumberFormat="1" applyFont="1" applyFill="1" applyBorder="1" applyAlignment="1" applyProtection="1">
      <alignment horizontal="center" vertical="center"/>
    </xf>
    <xf numFmtId="165" fontId="7" fillId="0" borderId="0" xfId="32" applyNumberFormat="1" applyFont="1" applyFill="1" applyBorder="1" applyAlignment="1" applyProtection="1">
      <alignment horizontal="left" vertical="center" wrapText="1"/>
    </xf>
    <xf numFmtId="4" fontId="7" fillId="0" borderId="2" xfId="32" applyNumberFormat="1" applyFont="1" applyFill="1" applyBorder="1" applyAlignment="1" applyProtection="1">
      <alignment horizontal="center" vertical="center" wrapText="1"/>
    </xf>
    <xf numFmtId="165" fontId="7" fillId="0" borderId="10" xfId="32" applyNumberFormat="1" applyFont="1" applyFill="1" applyBorder="1" applyAlignment="1" applyProtection="1">
      <alignment horizontal="center" vertical="center"/>
    </xf>
    <xf numFmtId="165" fontId="7" fillId="0" borderId="2" xfId="32" applyNumberFormat="1" applyFont="1" applyFill="1" applyBorder="1" applyAlignment="1" applyProtection="1">
      <alignment horizontal="left" vertical="center"/>
    </xf>
    <xf numFmtId="1" fontId="7" fillId="0" borderId="2" xfId="32" applyNumberFormat="1" applyFont="1" applyFill="1" applyBorder="1" applyAlignment="1" applyProtection="1">
      <alignment horizontal="center" vertical="center" wrapText="1"/>
    </xf>
    <xf numFmtId="3" fontId="7" fillId="0" borderId="2" xfId="32" applyNumberFormat="1" applyFont="1" applyFill="1" applyBorder="1" applyAlignment="1" applyProtection="1">
      <alignment horizontal="center" vertical="center" wrapText="1"/>
    </xf>
    <xf numFmtId="4" fontId="7" fillId="0" borderId="10" xfId="32" applyNumberFormat="1" applyFont="1" applyFill="1" applyBorder="1" applyAlignment="1">
      <alignment horizontal="center"/>
    </xf>
    <xf numFmtId="3" fontId="7" fillId="0" borderId="2" xfId="32" applyNumberFormat="1" applyFont="1" applyFill="1" applyBorder="1" applyAlignment="1" applyProtection="1">
      <alignment horizontal="center"/>
    </xf>
    <xf numFmtId="165" fontId="7" fillId="0" borderId="2" xfId="32" applyNumberFormat="1" applyFont="1" applyFill="1" applyBorder="1" applyAlignment="1" applyProtection="1">
      <alignment horizontal="left" vertical="top"/>
    </xf>
    <xf numFmtId="165" fontId="7" fillId="0" borderId="10" xfId="32" applyNumberFormat="1" applyFont="1" applyFill="1" applyBorder="1" applyAlignment="1" applyProtection="1">
      <alignment horizontal="left" vertical="top"/>
    </xf>
    <xf numFmtId="165" fontId="7" fillId="0" borderId="2" xfId="32" applyNumberFormat="1" applyFont="1" applyFill="1" applyBorder="1" applyAlignment="1" applyProtection="1">
      <alignment horizontal="left" vertical="top" wrapText="1"/>
    </xf>
    <xf numFmtId="4" fontId="7" fillId="0" borderId="2" xfId="32" applyNumberFormat="1" applyFont="1" applyFill="1" applyBorder="1" applyAlignment="1" applyProtection="1">
      <alignment horizontal="center" wrapText="1"/>
    </xf>
    <xf numFmtId="165" fontId="7" fillId="0" borderId="10" xfId="32" applyNumberFormat="1" applyFont="1" applyFill="1" applyBorder="1" applyAlignment="1" applyProtection="1">
      <alignment vertical="top" wrapText="1"/>
    </xf>
    <xf numFmtId="0" fontId="7" fillId="0" borderId="2" xfId="32" applyNumberFormat="1" applyFont="1" applyFill="1" applyBorder="1" applyProtection="1"/>
    <xf numFmtId="0" fontId="7" fillId="0" borderId="2" xfId="32" applyNumberFormat="1" applyFont="1" applyFill="1" applyBorder="1" applyAlignment="1" applyProtection="1">
      <alignment horizontal="center"/>
    </xf>
    <xf numFmtId="1" fontId="7" fillId="0" borderId="2" xfId="32" applyNumberFormat="1" applyFont="1" applyFill="1" applyBorder="1" applyAlignment="1" applyProtection="1">
      <alignment horizontal="center" vertical="top" wrapText="1"/>
    </xf>
    <xf numFmtId="165" fontId="7" fillId="0" borderId="2" xfId="32" applyNumberFormat="1" applyFont="1" applyFill="1" applyBorder="1" applyAlignment="1" applyProtection="1">
      <alignment horizontal="left" wrapText="1"/>
    </xf>
    <xf numFmtId="165" fontId="7" fillId="0" borderId="3" xfId="32" applyNumberFormat="1" applyFont="1" applyFill="1" applyBorder="1" applyAlignment="1" applyProtection="1">
      <alignment horizontal="center"/>
    </xf>
    <xf numFmtId="165" fontId="7" fillId="0" borderId="3" xfId="32" applyNumberFormat="1" applyFont="1" applyFill="1" applyBorder="1" applyAlignment="1" applyProtection="1">
      <alignment horizontal="left"/>
    </xf>
    <xf numFmtId="0" fontId="17" fillId="0" borderId="0" xfId="32" applyFont="1" applyFill="1" applyAlignment="1">
      <alignment horizontal="left"/>
    </xf>
    <xf numFmtId="165" fontId="18" fillId="0" borderId="0" xfId="32" applyNumberFormat="1" applyFont="1" applyFill="1" applyAlignment="1" applyProtection="1">
      <alignment horizontal="left"/>
    </xf>
    <xf numFmtId="4" fontId="18" fillId="0" borderId="0" xfId="32" applyNumberFormat="1" applyFont="1" applyFill="1" applyProtection="1"/>
    <xf numFmtId="0" fontId="15" fillId="0" borderId="0" xfId="32" applyFont="1" applyFill="1" applyAlignment="1">
      <alignment horizontal="left"/>
    </xf>
    <xf numFmtId="165" fontId="7" fillId="0" borderId="2" xfId="38" applyNumberFormat="1" applyFont="1" applyFill="1" applyBorder="1" applyAlignment="1" applyProtection="1">
      <alignment horizontal="left" vertical="top" wrapText="1"/>
    </xf>
    <xf numFmtId="4" fontId="7" fillId="0" borderId="0" xfId="32" applyNumberFormat="1" applyFont="1" applyFill="1"/>
    <xf numFmtId="4" fontId="18" fillId="0" borderId="0" xfId="32" applyNumberFormat="1" applyFont="1" applyFill="1" applyAlignment="1">
      <alignment horizontal="left" vertical="center"/>
    </xf>
    <xf numFmtId="165" fontId="7" fillId="0" borderId="2" xfId="33" applyNumberFormat="1" applyFont="1" applyFill="1" applyBorder="1" applyAlignment="1" applyProtection="1">
      <alignment horizontal="left" vertical="center" wrapText="1"/>
    </xf>
    <xf numFmtId="0" fontId="15" fillId="0" borderId="2" xfId="32" applyFont="1" applyFill="1" applyBorder="1" applyAlignment="1">
      <alignment horizontal="center"/>
    </xf>
    <xf numFmtId="0" fontId="15" fillId="0" borderId="2" xfId="32" applyFont="1" applyFill="1" applyBorder="1" applyAlignment="1">
      <alignment horizontal="left"/>
    </xf>
    <xf numFmtId="165" fontId="7" fillId="0" borderId="2" xfId="32" applyNumberFormat="1" applyFont="1" applyFill="1" applyBorder="1" applyAlignment="1" applyProtection="1">
      <alignment horizontal="left" vertical="top" wrapText="1" indent="2"/>
    </xf>
    <xf numFmtId="165" fontId="7" fillId="0" borderId="10" xfId="32" applyNumberFormat="1" applyFont="1" applyFill="1" applyBorder="1" applyAlignment="1" applyProtection="1">
      <alignment horizontal="left" vertical="top" wrapText="1" indent="2"/>
    </xf>
    <xf numFmtId="165" fontId="22" fillId="0" borderId="10" xfId="32" applyNumberFormat="1" applyFont="1" applyFill="1" applyBorder="1" applyAlignment="1" applyProtection="1">
      <alignment horizontal="left" vertical="top"/>
    </xf>
    <xf numFmtId="3" fontId="7" fillId="0" borderId="2" xfId="32" applyNumberFormat="1" applyFont="1" applyFill="1" applyBorder="1" applyAlignment="1" applyProtection="1">
      <alignment horizontal="center" vertical="top" wrapText="1"/>
    </xf>
    <xf numFmtId="4" fontId="7" fillId="0" borderId="2" xfId="32" applyNumberFormat="1" applyFont="1" applyFill="1" applyBorder="1" applyAlignment="1" applyProtection="1"/>
    <xf numFmtId="3" fontId="7" fillId="0" borderId="2" xfId="32" applyNumberFormat="1" applyFont="1" applyFill="1" applyBorder="1" applyProtection="1"/>
    <xf numFmtId="4" fontId="18" fillId="0" borderId="10" xfId="32" applyNumberFormat="1" applyFont="1" applyFill="1" applyBorder="1" applyAlignment="1">
      <alignment horizontal="center" vertical="center"/>
    </xf>
    <xf numFmtId="165" fontId="7" fillId="0" borderId="2" xfId="32" applyNumberFormat="1" applyFont="1" applyFill="1" applyBorder="1" applyAlignment="1" applyProtection="1">
      <alignment horizontal="center" vertical="center" wrapText="1"/>
    </xf>
    <xf numFmtId="165" fontId="7" fillId="0" borderId="2" xfId="32" applyNumberFormat="1" applyFont="1" applyFill="1" applyBorder="1" applyAlignment="1" applyProtection="1">
      <alignment horizontal="left" vertical="center" wrapText="1"/>
    </xf>
    <xf numFmtId="165" fontId="16" fillId="0" borderId="2" xfId="32" applyNumberFormat="1" applyFont="1" applyFill="1" applyBorder="1" applyAlignment="1" applyProtection="1">
      <alignment horizontal="left" vertical="top" wrapText="1"/>
    </xf>
    <xf numFmtId="165" fontId="7" fillId="0" borderId="2" xfId="32" applyNumberFormat="1" applyFont="1" applyFill="1" applyBorder="1" applyAlignment="1" applyProtection="1">
      <alignment horizontal="center" vertical="top" wrapText="1"/>
    </xf>
    <xf numFmtId="165" fontId="7" fillId="0" borderId="10" xfId="32" applyNumberFormat="1" applyFont="1" applyFill="1" applyBorder="1" applyAlignment="1" applyProtection="1">
      <alignment horizontal="left" vertical="top" wrapText="1"/>
    </xf>
    <xf numFmtId="165" fontId="7" fillId="0" borderId="10" xfId="32" quotePrefix="1" applyNumberFormat="1" applyFont="1" applyFill="1" applyBorder="1" applyAlignment="1" applyProtection="1">
      <alignment horizontal="left" vertical="top" wrapText="1" indent="2"/>
    </xf>
    <xf numFmtId="0" fontId="7" fillId="0" borderId="2" xfId="32" applyNumberFormat="1" applyFont="1" applyFill="1" applyBorder="1" applyAlignment="1" applyProtection="1">
      <alignment horizontal="center" vertical="center"/>
    </xf>
    <xf numFmtId="165" fontId="7" fillId="0" borderId="2" xfId="32" applyNumberFormat="1" applyFont="1" applyFill="1" applyBorder="1" applyAlignment="1" applyProtection="1">
      <alignment horizontal="left"/>
    </xf>
    <xf numFmtId="165" fontId="25" fillId="0" borderId="2" xfId="32" applyNumberFormat="1" applyFont="1" applyFill="1" applyBorder="1" applyAlignment="1" applyProtection="1">
      <alignment horizontal="left"/>
    </xf>
    <xf numFmtId="172" fontId="7" fillId="0" borderId="2" xfId="32" applyNumberFormat="1" applyFont="1" applyFill="1" applyBorder="1" applyAlignment="1" applyProtection="1">
      <alignment horizontal="center" vertical="center" wrapText="1"/>
    </xf>
    <xf numFmtId="4" fontId="7" fillId="0" borderId="2" xfId="32" applyNumberFormat="1" applyFont="1" applyFill="1" applyBorder="1" applyAlignment="1" applyProtection="1">
      <alignment vertical="center"/>
    </xf>
    <xf numFmtId="165" fontId="7" fillId="0" borderId="14" xfId="33" applyNumberFormat="1" applyFont="1" applyFill="1" applyBorder="1" applyAlignment="1" applyProtection="1">
      <alignment horizontal="left" vertical="center" wrapText="1"/>
    </xf>
    <xf numFmtId="2" fontId="7" fillId="0" borderId="2" xfId="32" applyNumberFormat="1" applyFont="1" applyFill="1" applyBorder="1" applyAlignment="1" applyProtection="1">
      <alignment horizontal="center" vertical="center"/>
    </xf>
    <xf numFmtId="4" fontId="7" fillId="0" borderId="2" xfId="32" applyNumberFormat="1" applyFont="1" applyFill="1" applyBorder="1" applyAlignment="1">
      <alignment horizontal="center" vertical="center"/>
    </xf>
    <xf numFmtId="0" fontId="18" fillId="0" borderId="0" xfId="32" applyFont="1" applyFill="1" applyAlignment="1">
      <alignment vertical="center"/>
    </xf>
    <xf numFmtId="4" fontId="15" fillId="0" borderId="0" xfId="27" applyNumberFormat="1" applyFont="1" applyProtection="1"/>
    <xf numFmtId="4" fontId="18" fillId="0" borderId="0" xfId="27" applyNumberFormat="1" applyFont="1"/>
    <xf numFmtId="164" fontId="17" fillId="0" borderId="0" xfId="27" applyNumberFormat="1" applyFont="1" applyProtection="1"/>
    <xf numFmtId="0" fontId="17" fillId="0" borderId="0" xfId="27" applyFont="1" applyAlignment="1">
      <alignment horizontal="center"/>
    </xf>
    <xf numFmtId="0" fontId="21" fillId="0" borderId="0" xfId="27" applyFont="1"/>
    <xf numFmtId="165" fontId="7" fillId="0" borderId="2" xfId="27" quotePrefix="1" applyNumberFormat="1" applyFont="1" applyBorder="1" applyAlignment="1" applyProtection="1">
      <alignment horizontal="center"/>
    </xf>
    <xf numFmtId="165" fontId="7" fillId="0" borderId="2" xfId="27" applyNumberFormat="1" applyFont="1" applyBorder="1" applyAlignment="1" applyProtection="1">
      <alignment horizontal="left"/>
    </xf>
    <xf numFmtId="165" fontId="7" fillId="0" borderId="2" xfId="27" applyNumberFormat="1" applyFont="1" applyBorder="1" applyAlignment="1" applyProtection="1">
      <alignment horizontal="center" vertical="top"/>
    </xf>
    <xf numFmtId="165" fontId="7" fillId="0" borderId="2" xfId="27" applyNumberFormat="1" applyFont="1" applyBorder="1" applyAlignment="1" applyProtection="1">
      <alignment horizontal="left" wrapText="1"/>
    </xf>
    <xf numFmtId="165" fontId="7" fillId="0" borderId="2" xfId="27" applyNumberFormat="1" applyFont="1" applyBorder="1" applyAlignment="1" applyProtection="1">
      <alignment horizontal="center" vertical="center" wrapText="1"/>
    </xf>
    <xf numFmtId="165" fontId="7" fillId="0" borderId="2" xfId="27" applyNumberFormat="1" applyFont="1" applyBorder="1" applyAlignment="1" applyProtection="1">
      <alignment horizontal="left" vertical="center" wrapText="1"/>
    </xf>
    <xf numFmtId="165" fontId="7" fillId="0" borderId="0" xfId="27" applyNumberFormat="1" applyFont="1" applyBorder="1" applyAlignment="1" applyProtection="1">
      <alignment horizontal="center" vertical="center" wrapText="1"/>
    </xf>
    <xf numFmtId="4" fontId="18" fillId="0" borderId="0" xfId="27" applyNumberFormat="1" applyFont="1" applyAlignment="1">
      <alignment horizontal="center"/>
    </xf>
    <xf numFmtId="165" fontId="7" fillId="0" borderId="2" xfId="27" applyNumberFormat="1" applyFont="1" applyBorder="1" applyAlignment="1" applyProtection="1">
      <alignment horizontal="left" vertical="top" wrapText="1"/>
    </xf>
    <xf numFmtId="165" fontId="7" fillId="0" borderId="2" xfId="27" applyNumberFormat="1" applyFont="1" applyBorder="1" applyAlignment="1" applyProtection="1">
      <alignment horizontal="center" vertical="top" wrapText="1"/>
    </xf>
    <xf numFmtId="165" fontId="7" fillId="0" borderId="3" xfId="27" applyNumberFormat="1" applyFont="1" applyBorder="1" applyAlignment="1" applyProtection="1">
      <alignment horizontal="center"/>
    </xf>
    <xf numFmtId="165" fontId="7" fillId="0" borderId="3" xfId="27" applyNumberFormat="1" applyFont="1" applyBorder="1" applyAlignment="1" applyProtection="1">
      <alignment horizontal="left"/>
    </xf>
    <xf numFmtId="0" fontId="17" fillId="0" borderId="0" xfId="27" applyFont="1" applyAlignment="1">
      <alignment horizontal="left"/>
    </xf>
    <xf numFmtId="165" fontId="18" fillId="0" borderId="0" xfId="27" applyNumberFormat="1" applyFont="1" applyAlignment="1" applyProtection="1">
      <alignment horizontal="left"/>
    </xf>
    <xf numFmtId="0" fontId="3" fillId="0" borderId="0" xfId="0" applyFont="1" applyFill="1"/>
    <xf numFmtId="4" fontId="3" fillId="0" borderId="0" xfId="38" applyNumberFormat="1" applyFont="1" applyFill="1"/>
    <xf numFmtId="0" fontId="4" fillId="0" borderId="0" xfId="0" applyFont="1" applyFill="1" applyAlignment="1">
      <alignment horizontal="left"/>
    </xf>
    <xf numFmtId="0" fontId="4" fillId="0" borderId="0" xfId="0" applyFont="1" applyFill="1"/>
    <xf numFmtId="4" fontId="4" fillId="0" borderId="0" xfId="38" applyNumberFormat="1" applyFont="1" applyFill="1"/>
    <xf numFmtId="4" fontId="4" fillId="0" borderId="0" xfId="38" applyNumberFormat="1" applyFont="1" applyFill="1" applyProtection="1"/>
    <xf numFmtId="4" fontId="27" fillId="0" borderId="3" xfId="0" applyNumberFormat="1" applyFont="1" applyBorder="1" applyAlignment="1">
      <alignment horizontal="left" vertical="top" wrapText="1"/>
    </xf>
    <xf numFmtId="14" fontId="26" fillId="0" borderId="0" xfId="49" applyNumberFormat="1" applyFont="1" applyBorder="1" applyAlignment="1">
      <alignment horizontal="center" vertical="center"/>
    </xf>
    <xf numFmtId="14" fontId="5" fillId="2" borderId="1" xfId="49" applyNumberFormat="1" applyFont="1" applyFill="1" applyBorder="1" applyAlignment="1" applyProtection="1">
      <alignment horizontal="center" vertical="center" wrapText="1"/>
    </xf>
    <xf numFmtId="14" fontId="27" fillId="0" borderId="3" xfId="0" applyNumberFormat="1" applyFont="1" applyBorder="1" applyAlignment="1">
      <alignment horizontal="center"/>
    </xf>
    <xf numFmtId="14" fontId="26" fillId="0" borderId="0" xfId="49" applyNumberFormat="1" applyFont="1" applyAlignment="1">
      <alignment horizontal="center" vertical="center"/>
    </xf>
    <xf numFmtId="4" fontId="13" fillId="0" borderId="7" xfId="31" applyNumberFormat="1" applyFont="1" applyFill="1" applyBorder="1" applyAlignment="1" applyProtection="1">
      <alignment horizontal="center" vertical="center"/>
      <protection locked="0"/>
    </xf>
    <xf numFmtId="4" fontId="13" fillId="0" borderId="8" xfId="31" applyNumberFormat="1" applyFont="1" applyFill="1" applyBorder="1" applyAlignment="1" applyProtection="1">
      <alignment horizontal="center" vertical="center"/>
      <protection locked="0"/>
    </xf>
    <xf numFmtId="4" fontId="13" fillId="0" borderId="9" xfId="31" applyNumberFormat="1" applyFont="1" applyFill="1" applyBorder="1" applyAlignment="1" applyProtection="1">
      <alignment horizontal="center" vertical="center"/>
      <protection locked="0"/>
    </xf>
    <xf numFmtId="4" fontId="7" fillId="0" borderId="2" xfId="37" applyNumberFormat="1" applyFont="1" applyFill="1" applyBorder="1" applyAlignment="1" applyProtection="1">
      <alignment horizontal="center" vertical="center"/>
    </xf>
    <xf numFmtId="165" fontId="7" fillId="0" borderId="2" xfId="41" applyNumberFormat="1" applyFont="1" applyFill="1" applyBorder="1" applyAlignment="1" applyProtection="1">
      <alignment horizontal="left" vertical="center" wrapText="1"/>
    </xf>
    <xf numFmtId="2" fontId="7" fillId="0" borderId="10" xfId="37" applyNumberFormat="1" applyFont="1" applyFill="1" applyBorder="1" applyAlignment="1" applyProtection="1">
      <alignment horizontal="center" vertical="center"/>
    </xf>
    <xf numFmtId="1" fontId="7" fillId="0" borderId="2" xfId="37" applyNumberFormat="1" applyFont="1" applyFill="1" applyBorder="1" applyAlignment="1" applyProtection="1">
      <alignment horizontal="center" vertical="center"/>
    </xf>
    <xf numFmtId="4" fontId="7" fillId="0" borderId="2" xfId="37" applyNumberFormat="1" applyFont="1" applyFill="1" applyBorder="1" applyAlignment="1">
      <alignment horizontal="center" vertical="center"/>
    </xf>
    <xf numFmtId="0" fontId="18" fillId="0" borderId="0" xfId="37" applyFont="1" applyFill="1" applyAlignment="1">
      <alignment vertical="center"/>
    </xf>
    <xf numFmtId="0" fontId="2" fillId="0" borderId="0" xfId="37" applyFont="1" applyFill="1" applyAlignment="1">
      <alignment vertical="center"/>
    </xf>
    <xf numFmtId="4" fontId="7" fillId="0" borderId="10" xfId="37" applyNumberFormat="1" applyFont="1" applyFill="1" applyBorder="1" applyAlignment="1" applyProtection="1">
      <alignment horizontal="center" vertical="center" wrapText="1"/>
    </xf>
    <xf numFmtId="3" fontId="7" fillId="0" borderId="2" xfId="37" applyNumberFormat="1" applyFont="1" applyFill="1" applyBorder="1" applyAlignment="1" applyProtection="1">
      <alignment horizontal="center" vertical="center"/>
    </xf>
    <xf numFmtId="165" fontId="7" fillId="0" borderId="0" xfId="37" applyNumberFormat="1" applyFont="1" applyFill="1" applyBorder="1" applyAlignment="1" applyProtection="1">
      <alignment horizontal="left" vertical="center" wrapText="1"/>
    </xf>
    <xf numFmtId="4" fontId="7" fillId="0" borderId="2" xfId="37" applyNumberFormat="1" applyFont="1" applyFill="1" applyBorder="1" applyAlignment="1" applyProtection="1">
      <alignment horizontal="center" vertical="center" wrapText="1"/>
    </xf>
    <xf numFmtId="165" fontId="7" fillId="0" borderId="2" xfId="37" applyNumberFormat="1" applyFont="1" applyFill="1" applyBorder="1" applyAlignment="1" applyProtection="1">
      <alignment horizontal="left" vertical="center"/>
    </xf>
    <xf numFmtId="165" fontId="7" fillId="0" borderId="10" xfId="37" applyNumberFormat="1" applyFont="1" applyFill="1" applyBorder="1" applyAlignment="1" applyProtection="1">
      <alignment horizontal="center" vertical="center"/>
    </xf>
    <xf numFmtId="1" fontId="7" fillId="0" borderId="2" xfId="37" applyNumberFormat="1" applyFont="1" applyFill="1" applyBorder="1" applyAlignment="1" applyProtection="1">
      <alignment horizontal="center" vertical="center" wrapText="1"/>
    </xf>
    <xf numFmtId="3" fontId="7" fillId="0" borderId="2" xfId="37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 wrapText="1"/>
    </xf>
    <xf numFmtId="4" fontId="17" fillId="0" borderId="0" xfId="37" applyNumberFormat="1" applyFont="1" applyFill="1" applyAlignment="1" applyProtection="1">
      <alignment vertical="center"/>
    </xf>
    <xf numFmtId="0" fontId="4" fillId="0" borderId="0" xfId="41" applyFont="1" applyFill="1" applyAlignment="1">
      <alignment horizontal="left" vertical="center"/>
    </xf>
    <xf numFmtId="4" fontId="18" fillId="0" borderId="0" xfId="37" applyNumberFormat="1" applyFont="1" applyFill="1" applyAlignment="1">
      <alignment vertical="center"/>
    </xf>
    <xf numFmtId="4" fontId="35" fillId="0" borderId="0" xfId="13" applyNumberFormat="1" applyFont="1" applyFill="1" applyAlignment="1">
      <alignment horizontal="left" vertical="center"/>
    </xf>
    <xf numFmtId="4" fontId="17" fillId="0" borderId="0" xfId="37" applyNumberFormat="1" applyFont="1" applyFill="1" applyAlignment="1">
      <alignment vertical="center"/>
    </xf>
    <xf numFmtId="0" fontId="17" fillId="0" borderId="0" xfId="37" applyFont="1" applyFill="1" applyAlignment="1">
      <alignment vertical="center"/>
    </xf>
    <xf numFmtId="0" fontId="15" fillId="0" borderId="0" xfId="37" applyFont="1" applyFill="1" applyAlignment="1">
      <alignment vertical="center"/>
    </xf>
    <xf numFmtId="164" fontId="17" fillId="0" borderId="0" xfId="37" applyNumberFormat="1" applyFont="1" applyFill="1" applyAlignment="1" applyProtection="1">
      <alignment vertical="center"/>
    </xf>
    <xf numFmtId="1" fontId="4" fillId="0" borderId="0" xfId="41" applyNumberFormat="1" applyFont="1" applyFill="1" applyAlignment="1">
      <alignment horizontal="left" vertical="center"/>
    </xf>
    <xf numFmtId="4" fontId="17" fillId="0" borderId="0" xfId="37" applyNumberFormat="1" applyFont="1" applyFill="1" applyBorder="1" applyAlignment="1" applyProtection="1">
      <alignment horizontal="left" vertical="center"/>
    </xf>
    <xf numFmtId="4" fontId="15" fillId="0" borderId="0" xfId="37" applyNumberFormat="1" applyFont="1" applyFill="1" applyBorder="1" applyAlignment="1" applyProtection="1">
      <alignment horizontal="left" vertical="center"/>
    </xf>
    <xf numFmtId="0" fontId="15" fillId="0" borderId="0" xfId="37" applyFont="1" applyFill="1" applyBorder="1" applyAlignment="1">
      <alignment horizontal="left" vertical="center"/>
    </xf>
    <xf numFmtId="0" fontId="17" fillId="0" borderId="0" xfId="37" applyFont="1" applyFill="1" applyAlignment="1">
      <alignment horizontal="center" vertical="center"/>
    </xf>
    <xf numFmtId="0" fontId="20" fillId="0" borderId="0" xfId="37" applyFont="1" applyFill="1" applyAlignment="1">
      <alignment vertical="center"/>
    </xf>
    <xf numFmtId="0" fontId="21" fillId="0" borderId="0" xfId="37" applyFont="1" applyFill="1" applyAlignment="1">
      <alignment vertical="center"/>
    </xf>
    <xf numFmtId="4" fontId="20" fillId="0" borderId="2" xfId="37" applyNumberFormat="1" applyFont="1" applyFill="1" applyBorder="1" applyAlignment="1" applyProtection="1">
      <alignment horizontal="center" vertical="center"/>
    </xf>
    <xf numFmtId="4" fontId="20" fillId="0" borderId="2" xfId="37" applyNumberFormat="1" applyFont="1" applyFill="1" applyBorder="1" applyAlignment="1">
      <alignment horizontal="center" vertical="center"/>
    </xf>
    <xf numFmtId="0" fontId="20" fillId="0" borderId="2" xfId="37" quotePrefix="1" applyFont="1" applyFill="1" applyBorder="1" applyAlignment="1">
      <alignment horizontal="center" vertical="center"/>
    </xf>
    <xf numFmtId="0" fontId="20" fillId="0" borderId="3" xfId="37" quotePrefix="1" applyFont="1" applyFill="1" applyBorder="1" applyAlignment="1">
      <alignment horizontal="center" vertical="center"/>
    </xf>
    <xf numFmtId="1" fontId="20" fillId="0" borderId="2" xfId="37" applyNumberFormat="1" applyFont="1" applyFill="1" applyBorder="1" applyAlignment="1">
      <alignment horizontal="center" vertical="center"/>
    </xf>
    <xf numFmtId="0" fontId="7" fillId="0" borderId="2" xfId="37" applyFont="1" applyFill="1" applyBorder="1" applyAlignment="1">
      <alignment horizontal="center" vertical="center"/>
    </xf>
    <xf numFmtId="2" fontId="20" fillId="0" borderId="2" xfId="37" applyNumberFormat="1" applyFont="1" applyFill="1" applyBorder="1" applyAlignment="1">
      <alignment horizontal="center" vertical="center"/>
    </xf>
    <xf numFmtId="4" fontId="20" fillId="0" borderId="2" xfId="37" quotePrefix="1" applyNumberFormat="1" applyFont="1" applyFill="1" applyBorder="1" applyAlignment="1">
      <alignment horizontal="center" vertical="center"/>
    </xf>
    <xf numFmtId="4" fontId="7" fillId="0" borderId="0" xfId="37" applyNumberFormat="1" applyFont="1" applyFill="1" applyAlignment="1">
      <alignment vertical="center"/>
    </xf>
    <xf numFmtId="4" fontId="7" fillId="0" borderId="10" xfId="37" applyNumberFormat="1" applyFont="1" applyFill="1" applyBorder="1" applyAlignment="1">
      <alignment horizontal="center" vertical="center"/>
    </xf>
    <xf numFmtId="165" fontId="7" fillId="0" borderId="10" xfId="37" applyNumberFormat="1" applyFont="1" applyFill="1" applyBorder="1" applyAlignment="1" applyProtection="1">
      <alignment horizontal="left" vertical="center"/>
    </xf>
    <xf numFmtId="165" fontId="7" fillId="0" borderId="2" xfId="37" applyNumberFormat="1" applyFont="1" applyFill="1" applyBorder="1" applyAlignment="1" applyProtection="1">
      <alignment horizontal="left" vertical="center" wrapText="1"/>
    </xf>
    <xf numFmtId="165" fontId="7" fillId="0" borderId="10" xfId="37" applyNumberFormat="1" applyFont="1" applyFill="1" applyBorder="1" applyAlignment="1" applyProtection="1">
      <alignment vertical="center" wrapText="1"/>
    </xf>
    <xf numFmtId="0" fontId="7" fillId="0" borderId="2" xfId="37" applyNumberFormat="1" applyFont="1" applyFill="1" applyBorder="1" applyAlignment="1" applyProtection="1">
      <alignment horizontal="center" vertical="center"/>
    </xf>
    <xf numFmtId="165" fontId="7" fillId="0" borderId="3" xfId="37" applyNumberFormat="1" applyFont="1" applyFill="1" applyBorder="1" applyAlignment="1" applyProtection="1">
      <alignment horizontal="center" vertical="center"/>
    </xf>
    <xf numFmtId="165" fontId="7" fillId="0" borderId="3" xfId="37" applyNumberFormat="1" applyFont="1" applyFill="1" applyBorder="1" applyAlignment="1" applyProtection="1">
      <alignment horizontal="left" vertical="center"/>
    </xf>
    <xf numFmtId="171" fontId="7" fillId="0" borderId="3" xfId="37" applyNumberFormat="1" applyFont="1" applyFill="1" applyBorder="1" applyAlignment="1" applyProtection="1">
      <alignment vertical="center"/>
    </xf>
    <xf numFmtId="0" fontId="17" fillId="0" borderId="0" xfId="37" applyFont="1" applyFill="1" applyAlignment="1">
      <alignment horizontal="left" vertical="center"/>
    </xf>
    <xf numFmtId="165" fontId="18" fillId="0" borderId="0" xfId="37" applyNumberFormat="1" applyFont="1" applyFill="1" applyAlignment="1" applyProtection="1">
      <alignment horizontal="left" vertical="center"/>
    </xf>
    <xf numFmtId="4" fontId="18" fillId="0" borderId="0" xfId="37" applyNumberFormat="1" applyFont="1" applyFill="1" applyAlignment="1" applyProtection="1">
      <alignment vertical="center"/>
    </xf>
    <xf numFmtId="0" fontId="15" fillId="0" borderId="0" xfId="37" applyFont="1" applyFill="1" applyAlignment="1">
      <alignment horizontal="left" vertical="center"/>
    </xf>
    <xf numFmtId="4" fontId="27" fillId="3" borderId="3" xfId="0" applyNumberFormat="1" applyFont="1" applyFill="1" applyBorder="1" applyAlignment="1">
      <alignment horizontal="center" vertical="center"/>
    </xf>
    <xf numFmtId="4" fontId="18" fillId="0" borderId="0" xfId="32" applyNumberFormat="1" applyFont="1" applyFill="1" applyAlignment="1">
      <alignment horizontal="center"/>
    </xf>
    <xf numFmtId="4" fontId="4" fillId="0" borderId="0" xfId="0" applyNumberFormat="1" applyFont="1" applyProtection="1"/>
    <xf numFmtId="0" fontId="4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 applyAlignment="1">
      <alignment horizontal="center"/>
    </xf>
    <xf numFmtId="0" fontId="3" fillId="0" borderId="3" xfId="0" applyFont="1" applyFill="1" applyBorder="1"/>
    <xf numFmtId="165" fontId="7" fillId="0" borderId="2" xfId="0" quotePrefix="1" applyNumberFormat="1" applyFont="1" applyBorder="1" applyAlignment="1" applyProtection="1">
      <alignment horizontal="center"/>
    </xf>
    <xf numFmtId="165" fontId="7" fillId="0" borderId="2" xfId="0" applyNumberFormat="1" applyFont="1" applyBorder="1" applyAlignment="1" applyProtection="1">
      <alignment horizontal="left" wrapText="1"/>
    </xf>
    <xf numFmtId="165" fontId="7" fillId="0" borderId="2" xfId="0" applyNumberFormat="1" applyFont="1" applyBorder="1" applyAlignment="1" applyProtection="1">
      <alignment horizontal="center"/>
    </xf>
    <xf numFmtId="165" fontId="7" fillId="0" borderId="2" xfId="0" applyNumberFormat="1" applyFont="1" applyBorder="1" applyAlignment="1" applyProtection="1">
      <alignment horizontal="left"/>
    </xf>
    <xf numFmtId="165" fontId="7" fillId="0" borderId="2" xfId="0" applyNumberFormat="1" applyFont="1" applyBorder="1" applyAlignment="1" applyProtection="1">
      <alignment horizontal="center" vertical="top" wrapText="1"/>
    </xf>
    <xf numFmtId="165" fontId="7" fillId="0" borderId="2" xfId="0" applyNumberFormat="1" applyFont="1" applyBorder="1" applyAlignment="1" applyProtection="1">
      <alignment horizontal="left" vertical="top" wrapText="1"/>
    </xf>
    <xf numFmtId="166" fontId="7" fillId="0" borderId="2" xfId="0" applyNumberFormat="1" applyFont="1" applyBorder="1" applyAlignment="1" applyProtection="1">
      <alignment horizontal="center" vertical="top" wrapText="1"/>
    </xf>
    <xf numFmtId="165" fontId="25" fillId="0" borderId="2" xfId="0" applyNumberFormat="1" applyFont="1" applyBorder="1" applyAlignment="1" applyProtection="1">
      <alignment horizontal="left"/>
    </xf>
    <xf numFmtId="165" fontId="7" fillId="0" borderId="3" xfId="0" applyNumberFormat="1" applyFont="1" applyBorder="1" applyAlignment="1" applyProtection="1">
      <alignment horizontal="center"/>
    </xf>
    <xf numFmtId="165" fontId="7" fillId="0" borderId="3" xfId="0" applyNumberFormat="1" applyFont="1" applyBorder="1" applyAlignment="1" applyProtection="1">
      <alignment horizontal="left"/>
    </xf>
    <xf numFmtId="0" fontId="23" fillId="0" borderId="0" xfId="0" applyFont="1" applyAlignment="1">
      <alignment horizontal="left"/>
    </xf>
    <xf numFmtId="165" fontId="3" fillId="0" borderId="0" xfId="0" applyNumberFormat="1" applyFont="1" applyAlignment="1" applyProtection="1">
      <alignment horizontal="left"/>
    </xf>
    <xf numFmtId="4" fontId="17" fillId="0" borderId="0" xfId="32" applyNumberFormat="1" applyFont="1" applyFill="1" applyAlignment="1" applyProtection="1">
      <alignment vertical="center"/>
    </xf>
    <xf numFmtId="0" fontId="4" fillId="0" borderId="0" xfId="38" applyFont="1" applyFill="1" applyAlignment="1">
      <alignment horizontal="left" vertical="center"/>
    </xf>
    <xf numFmtId="4" fontId="18" fillId="0" borderId="0" xfId="32" applyNumberFormat="1" applyFont="1" applyFill="1" applyAlignment="1">
      <alignment vertical="center"/>
    </xf>
    <xf numFmtId="0" fontId="2" fillId="0" borderId="0" xfId="32" applyFont="1" applyFill="1" applyAlignment="1">
      <alignment vertical="center"/>
    </xf>
    <xf numFmtId="4" fontId="4" fillId="0" borderId="0" xfId="11" applyNumberFormat="1" applyFont="1" applyFill="1" applyAlignment="1">
      <alignment horizontal="left" vertical="center"/>
    </xf>
    <xf numFmtId="4" fontId="17" fillId="0" borderId="0" xfId="32" applyNumberFormat="1" applyFont="1" applyFill="1" applyAlignment="1">
      <alignment vertical="center"/>
    </xf>
    <xf numFmtId="0" fontId="17" fillId="0" borderId="0" xfId="32" applyFont="1" applyFill="1" applyAlignment="1">
      <alignment vertical="center"/>
    </xf>
    <xf numFmtId="0" fontId="15" fillId="0" borderId="0" xfId="32" applyFont="1" applyFill="1" applyAlignment="1">
      <alignment vertical="center"/>
    </xf>
    <xf numFmtId="164" fontId="17" fillId="0" borderId="0" xfId="32" applyNumberFormat="1" applyFont="1" applyFill="1" applyAlignment="1" applyProtection="1">
      <alignment vertical="center"/>
    </xf>
    <xf numFmtId="1" fontId="4" fillId="0" borderId="0" xfId="38" applyNumberFormat="1" applyFont="1" applyFill="1" applyAlignment="1">
      <alignment horizontal="left" vertical="center"/>
    </xf>
    <xf numFmtId="4" fontId="17" fillId="0" borderId="0" xfId="32" applyNumberFormat="1" applyFont="1" applyFill="1" applyBorder="1" applyAlignment="1" applyProtection="1">
      <alignment horizontal="left" vertical="center"/>
    </xf>
    <xf numFmtId="4" fontId="15" fillId="0" borderId="0" xfId="32" applyNumberFormat="1" applyFont="1" applyFill="1" applyBorder="1" applyAlignment="1" applyProtection="1">
      <alignment horizontal="left" vertical="center"/>
    </xf>
    <xf numFmtId="0" fontId="15" fillId="0" borderId="0" xfId="32" applyFont="1" applyFill="1" applyBorder="1" applyAlignment="1">
      <alignment horizontal="left" vertical="center"/>
    </xf>
    <xf numFmtId="0" fontId="17" fillId="0" borderId="0" xfId="32" applyFont="1" applyFill="1" applyAlignment="1">
      <alignment horizontal="center" vertical="center"/>
    </xf>
    <xf numFmtId="4" fontId="6" fillId="0" borderId="4" xfId="38" applyNumberFormat="1" applyFont="1" applyFill="1" applyBorder="1" applyAlignment="1">
      <alignment horizontal="centerContinuous" vertical="center"/>
    </xf>
    <xf numFmtId="4" fontId="6" fillId="0" borderId="5" xfId="38" applyNumberFormat="1" applyFont="1" applyFill="1" applyBorder="1" applyAlignment="1">
      <alignment horizontal="centerContinuous" vertical="center"/>
    </xf>
    <xf numFmtId="4" fontId="6" fillId="0" borderId="6" xfId="38" applyNumberFormat="1" applyFont="1" applyFill="1" applyBorder="1" applyAlignment="1">
      <alignment horizontal="centerContinuous" vertical="center"/>
    </xf>
    <xf numFmtId="0" fontId="20" fillId="0" borderId="0" xfId="32" applyFont="1" applyFill="1" applyAlignment="1">
      <alignment vertical="center"/>
    </xf>
    <xf numFmtId="0" fontId="21" fillId="0" borderId="0" xfId="32" applyFont="1" applyFill="1" applyAlignment="1">
      <alignment vertical="center"/>
    </xf>
    <xf numFmtId="4" fontId="20" fillId="0" borderId="2" xfId="32" applyNumberFormat="1" applyFont="1" applyFill="1" applyBorder="1" applyAlignment="1" applyProtection="1">
      <alignment horizontal="center" vertical="center"/>
    </xf>
    <xf numFmtId="4" fontId="20" fillId="0" borderId="2" xfId="32" applyNumberFormat="1" applyFont="1" applyFill="1" applyBorder="1" applyAlignment="1">
      <alignment horizontal="center" vertical="center"/>
    </xf>
    <xf numFmtId="0" fontId="20" fillId="0" borderId="2" xfId="32" quotePrefix="1" applyFont="1" applyFill="1" applyBorder="1" applyAlignment="1">
      <alignment horizontal="center" vertical="center"/>
    </xf>
    <xf numFmtId="0" fontId="20" fillId="0" borderId="3" xfId="32" applyFont="1" applyFill="1" applyBorder="1" applyAlignment="1">
      <alignment horizontal="center" vertical="center"/>
    </xf>
    <xf numFmtId="4" fontId="20" fillId="0" borderId="3" xfId="32" applyNumberFormat="1" applyFont="1" applyFill="1" applyBorder="1" applyAlignment="1">
      <alignment horizontal="center" vertical="center"/>
    </xf>
    <xf numFmtId="4" fontId="20" fillId="0" borderId="3" xfId="32" applyNumberFormat="1" applyFont="1" applyFill="1" applyBorder="1" applyAlignment="1" applyProtection="1">
      <alignment horizontal="center" vertical="center"/>
    </xf>
    <xf numFmtId="4" fontId="20" fillId="0" borderId="3" xfId="32" quotePrefix="1" applyNumberFormat="1" applyFont="1" applyFill="1" applyBorder="1" applyAlignment="1">
      <alignment horizontal="center" vertical="center"/>
    </xf>
    <xf numFmtId="0" fontId="20" fillId="0" borderId="3" xfId="32" quotePrefix="1" applyFont="1" applyFill="1" applyBorder="1" applyAlignment="1">
      <alignment horizontal="center" vertical="center"/>
    </xf>
    <xf numFmtId="1" fontId="20" fillId="0" borderId="2" xfId="32" applyNumberFormat="1" applyFont="1" applyFill="1" applyBorder="1" applyAlignment="1">
      <alignment horizontal="center" vertical="center"/>
    </xf>
    <xf numFmtId="0" fontId="7" fillId="0" borderId="2" xfId="32" applyFont="1" applyFill="1" applyBorder="1" applyAlignment="1">
      <alignment horizontal="center" vertical="center"/>
    </xf>
    <xf numFmtId="2" fontId="20" fillId="0" borderId="2" xfId="32" applyNumberFormat="1" applyFont="1" applyFill="1" applyBorder="1" applyAlignment="1">
      <alignment horizontal="center" vertical="center"/>
    </xf>
    <xf numFmtId="4" fontId="20" fillId="0" borderId="2" xfId="32" quotePrefix="1" applyNumberFormat="1" applyFont="1" applyFill="1" applyBorder="1" applyAlignment="1">
      <alignment horizontal="center" vertical="center"/>
    </xf>
    <xf numFmtId="4" fontId="7" fillId="0" borderId="0" xfId="32" applyNumberFormat="1" applyFont="1" applyFill="1" applyAlignment="1">
      <alignment vertical="center"/>
    </xf>
    <xf numFmtId="4" fontId="7" fillId="0" borderId="10" xfId="32" applyNumberFormat="1" applyFont="1" applyFill="1" applyBorder="1" applyAlignment="1">
      <alignment horizontal="center" vertical="center"/>
    </xf>
    <xf numFmtId="165" fontId="7" fillId="0" borderId="10" xfId="32" applyNumberFormat="1" applyFont="1" applyFill="1" applyBorder="1" applyAlignment="1" applyProtection="1">
      <alignment horizontal="left" vertical="center"/>
    </xf>
    <xf numFmtId="165" fontId="7" fillId="0" borderId="10" xfId="32" applyNumberFormat="1" applyFont="1" applyFill="1" applyBorder="1" applyAlignment="1" applyProtection="1">
      <alignment vertical="center" wrapText="1"/>
    </xf>
    <xf numFmtId="0" fontId="7" fillId="0" borderId="2" xfId="32" applyNumberFormat="1" applyFont="1" applyFill="1" applyBorder="1" applyAlignment="1" applyProtection="1">
      <alignment vertical="center"/>
    </xf>
    <xf numFmtId="164" fontId="7" fillId="0" borderId="2" xfId="32" applyNumberFormat="1" applyFont="1" applyFill="1" applyBorder="1" applyAlignment="1" applyProtection="1">
      <alignment vertical="center"/>
    </xf>
    <xf numFmtId="165" fontId="7" fillId="0" borderId="3" xfId="32" applyNumberFormat="1" applyFont="1" applyFill="1" applyBorder="1" applyAlignment="1" applyProtection="1">
      <alignment horizontal="center" vertical="center"/>
    </xf>
    <xf numFmtId="165" fontId="7" fillId="0" borderId="3" xfId="32" applyNumberFormat="1" applyFont="1" applyFill="1" applyBorder="1" applyAlignment="1" applyProtection="1">
      <alignment horizontal="left" vertical="center"/>
    </xf>
    <xf numFmtId="0" fontId="17" fillId="0" borderId="0" xfId="32" applyFont="1" applyFill="1" applyAlignment="1">
      <alignment horizontal="left" vertical="center"/>
    </xf>
    <xf numFmtId="165" fontId="18" fillId="0" borderId="0" xfId="32" applyNumberFormat="1" applyFont="1" applyFill="1" applyAlignment="1" applyProtection="1">
      <alignment horizontal="left" vertical="center"/>
    </xf>
    <xf numFmtId="4" fontId="18" fillId="0" borderId="0" xfId="32" applyNumberFormat="1" applyFont="1" applyFill="1" applyAlignment="1" applyProtection="1">
      <alignment vertical="center"/>
    </xf>
    <xf numFmtId="0" fontId="15" fillId="0" borderId="0" xfId="32" applyFont="1" applyFill="1" applyAlignment="1">
      <alignment horizontal="left" vertical="center"/>
    </xf>
    <xf numFmtId="4" fontId="35" fillId="0" borderId="0" xfId="11" applyNumberFormat="1" applyFont="1" applyFill="1" applyAlignment="1">
      <alignment horizontal="left" vertical="center"/>
    </xf>
    <xf numFmtId="2" fontId="18" fillId="0" borderId="0" xfId="32" applyNumberFormat="1" applyFont="1" applyFill="1" applyAlignment="1">
      <alignment vertical="center"/>
    </xf>
    <xf numFmtId="2" fontId="17" fillId="0" borderId="0" xfId="32" applyNumberFormat="1" applyFont="1" applyFill="1" applyAlignment="1">
      <alignment vertical="center"/>
    </xf>
    <xf numFmtId="2" fontId="20" fillId="0" borderId="3" xfId="32" applyNumberFormat="1" applyFont="1" applyFill="1" applyBorder="1" applyAlignment="1">
      <alignment horizontal="center" vertical="center"/>
    </xf>
    <xf numFmtId="0" fontId="40" fillId="0" borderId="2" xfId="32" applyFont="1" applyFill="1" applyBorder="1" applyAlignment="1">
      <alignment horizontal="center" vertical="center"/>
    </xf>
    <xf numFmtId="0" fontId="15" fillId="0" borderId="2" xfId="32" applyFont="1" applyFill="1" applyBorder="1" applyAlignment="1">
      <alignment horizontal="left" vertical="center"/>
    </xf>
    <xf numFmtId="4" fontId="15" fillId="0" borderId="2" xfId="32" applyNumberFormat="1" applyFont="1" applyFill="1" applyBorder="1" applyAlignment="1">
      <alignment horizontal="center" vertical="center"/>
    </xf>
    <xf numFmtId="4" fontId="15" fillId="0" borderId="2" xfId="32" applyNumberFormat="1" applyFont="1" applyFill="1" applyBorder="1" applyAlignment="1" applyProtection="1">
      <alignment horizontal="center" vertical="center"/>
    </xf>
    <xf numFmtId="0" fontId="15" fillId="0" borderId="2" xfId="32" quotePrefix="1" applyFont="1" applyFill="1" applyBorder="1" applyAlignment="1">
      <alignment horizontal="center" vertical="center"/>
    </xf>
    <xf numFmtId="165" fontId="7" fillId="0" borderId="2" xfId="32" applyNumberFormat="1" applyFont="1" applyFill="1" applyBorder="1" applyAlignment="1" applyProtection="1">
      <alignment horizontal="center" vertical="center"/>
    </xf>
    <xf numFmtId="165" fontId="15" fillId="0" borderId="0" xfId="32" applyNumberFormat="1" applyFont="1" applyFill="1" applyBorder="1" applyAlignment="1" applyProtection="1">
      <alignment horizontal="left" vertical="center" wrapText="1"/>
    </xf>
    <xf numFmtId="2" fontId="7" fillId="0" borderId="2" xfId="32" applyNumberFormat="1" applyFont="1" applyFill="1" applyBorder="1" applyAlignment="1" applyProtection="1">
      <alignment vertical="center"/>
    </xf>
    <xf numFmtId="2" fontId="7" fillId="0" borderId="2" xfId="32" applyNumberFormat="1" applyFont="1" applyFill="1" applyBorder="1" applyAlignment="1" applyProtection="1">
      <alignment horizontal="center" vertical="center" wrapText="1"/>
    </xf>
    <xf numFmtId="173" fontId="7" fillId="0" borderId="2" xfId="32" applyNumberFormat="1" applyFont="1" applyFill="1" applyBorder="1" applyAlignment="1" applyProtection="1">
      <alignment horizontal="center" vertical="center" wrapText="1"/>
    </xf>
    <xf numFmtId="165" fontId="16" fillId="0" borderId="2" xfId="33" applyNumberFormat="1" applyFont="1" applyFill="1" applyBorder="1" applyAlignment="1" applyProtection="1">
      <alignment horizontal="left" vertical="center" wrapText="1"/>
    </xf>
    <xf numFmtId="165" fontId="16" fillId="0" borderId="2" xfId="32" applyNumberFormat="1" applyFont="1" applyFill="1" applyBorder="1" applyAlignment="1" applyProtection="1">
      <alignment horizontal="left" vertical="center" wrapText="1"/>
    </xf>
    <xf numFmtId="165" fontId="7" fillId="0" borderId="2" xfId="32" quotePrefix="1" applyNumberFormat="1" applyFont="1" applyFill="1" applyBorder="1" applyAlignment="1" applyProtection="1">
      <alignment horizontal="center" vertical="center" wrapText="1"/>
    </xf>
    <xf numFmtId="165" fontId="16" fillId="0" borderId="0" xfId="32" applyNumberFormat="1" applyFont="1" applyFill="1" applyBorder="1" applyAlignment="1" applyProtection="1">
      <alignment horizontal="left" vertical="center" wrapText="1"/>
    </xf>
    <xf numFmtId="165" fontId="7" fillId="0" borderId="2" xfId="32" applyNumberFormat="1" applyFont="1" applyFill="1" applyBorder="1" applyAlignment="1" applyProtection="1">
      <alignment horizontal="right" vertical="center" wrapText="1"/>
    </xf>
    <xf numFmtId="165" fontId="40" fillId="0" borderId="2" xfId="32" applyNumberFormat="1" applyFont="1" applyFill="1" applyBorder="1" applyAlignment="1" applyProtection="1">
      <alignment horizontal="center" vertical="center" wrapText="1"/>
    </xf>
    <xf numFmtId="165" fontId="25" fillId="0" borderId="2" xfId="32" applyNumberFormat="1" applyFont="1" applyFill="1" applyBorder="1" applyAlignment="1" applyProtection="1">
      <alignment horizontal="left" vertical="center"/>
    </xf>
    <xf numFmtId="165" fontId="7" fillId="0" borderId="2" xfId="33" applyNumberFormat="1" applyFont="1" applyFill="1" applyBorder="1" applyAlignment="1" applyProtection="1">
      <alignment horizontal="left" vertical="center"/>
    </xf>
    <xf numFmtId="165" fontId="7" fillId="0" borderId="2" xfId="33" applyNumberFormat="1" applyFont="1" applyFill="1" applyBorder="1" applyAlignment="1" applyProtection="1">
      <alignment horizontal="right" vertical="center" wrapText="1"/>
    </xf>
    <xf numFmtId="0" fontId="2" fillId="0" borderId="14" xfId="32" applyFont="1" applyFill="1" applyBorder="1" applyAlignment="1">
      <alignment vertical="center"/>
    </xf>
    <xf numFmtId="0" fontId="2" fillId="0" borderId="2" xfId="32" applyFont="1" applyFill="1" applyBorder="1" applyAlignment="1">
      <alignment vertical="center"/>
    </xf>
    <xf numFmtId="165" fontId="7" fillId="0" borderId="0" xfId="32" applyNumberFormat="1" applyFont="1" applyFill="1" applyBorder="1" applyAlignment="1" applyProtection="1">
      <alignment horizontal="center" vertical="center" wrapText="1"/>
    </xf>
    <xf numFmtId="165" fontId="7" fillId="0" borderId="14" xfId="33" applyNumberFormat="1" applyFont="1" applyFill="1" applyBorder="1" applyAlignment="1" applyProtection="1">
      <alignment horizontal="right" vertical="center"/>
    </xf>
    <xf numFmtId="4" fontId="7" fillId="0" borderId="3" xfId="32" applyNumberFormat="1" applyFont="1" applyFill="1" applyBorder="1" applyAlignment="1" applyProtection="1">
      <alignment vertical="center"/>
    </xf>
    <xf numFmtId="2" fontId="7" fillId="0" borderId="3" xfId="32" applyNumberFormat="1" applyFont="1" applyFill="1" applyBorder="1" applyAlignment="1" applyProtection="1">
      <alignment vertical="center"/>
    </xf>
    <xf numFmtId="164" fontId="7" fillId="0" borderId="3" xfId="32" applyNumberFormat="1" applyFont="1" applyFill="1" applyBorder="1" applyAlignment="1" applyProtection="1">
      <alignment vertical="center"/>
    </xf>
    <xf numFmtId="0" fontId="41" fillId="0" borderId="0" xfId="32" applyFont="1" applyFill="1" applyAlignment="1">
      <alignment vertical="center"/>
    </xf>
    <xf numFmtId="0" fontId="42" fillId="0" borderId="0" xfId="32" applyFont="1" applyFill="1" applyAlignment="1">
      <alignment vertical="center"/>
    </xf>
    <xf numFmtId="0" fontId="43" fillId="0" borderId="0" xfId="32" applyFont="1" applyFill="1" applyAlignment="1">
      <alignment vertical="center"/>
    </xf>
    <xf numFmtId="0" fontId="44" fillId="0" borderId="0" xfId="32" applyFont="1" applyFill="1" applyAlignment="1">
      <alignment vertical="center"/>
    </xf>
    <xf numFmtId="165" fontId="7" fillId="0" borderId="2" xfId="33" applyNumberFormat="1" applyFont="1" applyFill="1" applyBorder="1" applyAlignment="1" applyProtection="1">
      <alignment horizontal="left" vertical="justify"/>
    </xf>
    <xf numFmtId="2" fontId="22" fillId="0" borderId="2" xfId="32" applyNumberFormat="1" applyFont="1" applyFill="1" applyBorder="1" applyAlignment="1" applyProtection="1">
      <alignment horizontal="center" vertical="center"/>
    </xf>
    <xf numFmtId="0" fontId="3" fillId="0" borderId="0" xfId="25" applyFont="1"/>
    <xf numFmtId="0" fontId="3" fillId="0" borderId="0" xfId="25" applyFont="1" applyFill="1"/>
    <xf numFmtId="0" fontId="9" fillId="0" borderId="0" xfId="25"/>
    <xf numFmtId="0" fontId="2" fillId="0" borderId="0" xfId="32" applyFont="1" applyFill="1"/>
    <xf numFmtId="4" fontId="4" fillId="0" borderId="0" xfId="11" applyNumberFormat="1" applyFont="1" applyFill="1" applyAlignment="1">
      <alignment horizontal="left"/>
    </xf>
    <xf numFmtId="4" fontId="4" fillId="0" borderId="0" xfId="11" applyNumberFormat="1" applyFont="1" applyFill="1" applyAlignment="1">
      <alignment horizontal="justify"/>
    </xf>
    <xf numFmtId="172" fontId="7" fillId="0" borderId="2" xfId="32" applyNumberFormat="1" applyFont="1" applyFill="1" applyBorder="1" applyAlignment="1" applyProtection="1">
      <alignment horizontal="center" vertical="top" wrapText="1"/>
    </xf>
    <xf numFmtId="4" fontId="18" fillId="0" borderId="2" xfId="32" applyNumberFormat="1" applyFont="1" applyFill="1" applyBorder="1" applyAlignment="1">
      <alignment horizontal="center"/>
    </xf>
    <xf numFmtId="4" fontId="7" fillId="0" borderId="2" xfId="32" applyNumberFormat="1" applyFont="1" applyFill="1" applyBorder="1" applyAlignment="1" applyProtection="1">
      <alignment vertical="center" wrapText="1"/>
    </xf>
    <xf numFmtId="0" fontId="3" fillId="0" borderId="0" xfId="42" applyFont="1"/>
    <xf numFmtId="0" fontId="32" fillId="0" borderId="0" xfId="42"/>
    <xf numFmtId="0" fontId="4" fillId="0" borderId="0" xfId="42" applyFont="1" applyAlignment="1">
      <alignment vertical="top"/>
    </xf>
    <xf numFmtId="0" fontId="4" fillId="0" borderId="0" xfId="42" applyFont="1" applyAlignment="1">
      <alignment horizontal="justify"/>
    </xf>
    <xf numFmtId="0" fontId="4" fillId="0" borderId="0" xfId="42" applyFont="1"/>
    <xf numFmtId="1" fontId="4" fillId="0" borderId="0" xfId="42" applyNumberFormat="1" applyFont="1" applyAlignment="1">
      <alignment horizontal="left"/>
    </xf>
    <xf numFmtId="0" fontId="4" fillId="0" borderId="0" xfId="42" applyFont="1" applyAlignment="1">
      <alignment horizontal="left"/>
    </xf>
    <xf numFmtId="4" fontId="36" fillId="0" borderId="2" xfId="42" applyNumberFormat="1" applyFont="1" applyBorder="1" applyAlignment="1">
      <alignment horizontal="center"/>
    </xf>
    <xf numFmtId="0" fontId="3" fillId="0" borderId="2" xfId="0" applyFont="1" applyFill="1" applyBorder="1" applyAlignment="1">
      <alignment vertical="center"/>
    </xf>
    <xf numFmtId="4" fontId="5" fillId="0" borderId="2" xfId="42" applyNumberFormat="1" applyFont="1" applyBorder="1" applyAlignment="1" applyProtection="1">
      <alignment horizontal="center"/>
    </xf>
    <xf numFmtId="4" fontId="7" fillId="0" borderId="2" xfId="42" applyNumberFormat="1" applyFont="1" applyBorder="1" applyProtection="1"/>
    <xf numFmtId="37" fontId="7" fillId="0" borderId="2" xfId="0" applyNumberFormat="1" applyFont="1" applyBorder="1" applyAlignment="1" applyProtection="1">
      <alignment horizontal="left" vertical="center"/>
    </xf>
    <xf numFmtId="37" fontId="7" fillId="0" borderId="2" xfId="0" applyNumberFormat="1" applyFont="1" applyBorder="1" applyAlignment="1" applyProtection="1">
      <alignment horizontal="left" vertical="center" wrapText="1"/>
    </xf>
    <xf numFmtId="37" fontId="7" fillId="0" borderId="2" xfId="18" applyNumberFormat="1" applyFont="1" applyBorder="1" applyAlignment="1" applyProtection="1">
      <alignment horizontal="left" vertical="center"/>
    </xf>
    <xf numFmtId="37" fontId="7" fillId="0" borderId="2" xfId="18" applyNumberFormat="1" applyFont="1" applyBorder="1" applyAlignment="1" applyProtection="1">
      <alignment horizontal="left"/>
    </xf>
    <xf numFmtId="4" fontId="7" fillId="0" borderId="2" xfId="42" applyNumberFormat="1" applyFont="1" applyBorder="1" applyAlignment="1" applyProtection="1">
      <alignment horizontal="center" vertical="top" wrapText="1"/>
    </xf>
    <xf numFmtId="4" fontId="7" fillId="0" borderId="2" xfId="42" applyNumberFormat="1" applyFont="1" applyBorder="1" applyAlignment="1" applyProtection="1">
      <alignment horizontal="center"/>
    </xf>
    <xf numFmtId="165" fontId="7" fillId="0" borderId="2" xfId="42" applyNumberFormat="1" applyFont="1" applyBorder="1" applyAlignment="1" applyProtection="1">
      <alignment horizontal="center"/>
    </xf>
    <xf numFmtId="165" fontId="7" fillId="0" borderId="2" xfId="42" applyNumberFormat="1" applyFont="1" applyBorder="1" applyAlignment="1" applyProtection="1">
      <alignment horizontal="left"/>
    </xf>
    <xf numFmtId="165" fontId="7" fillId="0" borderId="3" xfId="42" applyNumberFormat="1" applyFont="1" applyBorder="1" applyAlignment="1" applyProtection="1">
      <alignment horizontal="center"/>
    </xf>
    <xf numFmtId="165" fontId="7" fillId="0" borderId="3" xfId="42" applyNumberFormat="1" applyFont="1" applyBorder="1" applyAlignment="1" applyProtection="1">
      <alignment horizontal="left"/>
    </xf>
    <xf numFmtId="4" fontId="7" fillId="0" borderId="3" xfId="42" applyNumberFormat="1" applyFont="1" applyBorder="1" applyProtection="1"/>
    <xf numFmtId="4" fontId="3" fillId="0" borderId="0" xfId="42" applyNumberFormat="1" applyFont="1"/>
    <xf numFmtId="4" fontId="3" fillId="0" borderId="0" xfId="42" applyNumberFormat="1" applyFont="1" applyAlignment="1">
      <alignment horizontal="left"/>
    </xf>
    <xf numFmtId="0" fontId="2" fillId="0" borderId="0" xfId="27" applyFont="1"/>
    <xf numFmtId="4" fontId="4" fillId="0" borderId="0" xfId="11" applyNumberFormat="1" applyFont="1" applyAlignment="1">
      <alignment horizontal="left"/>
    </xf>
    <xf numFmtId="4" fontId="4" fillId="0" borderId="0" xfId="11" applyNumberFormat="1" applyFont="1" applyAlignment="1">
      <alignment horizontal="left" wrapText="1"/>
    </xf>
    <xf numFmtId="4" fontId="4" fillId="0" borderId="0" xfId="11" applyNumberFormat="1" applyFont="1" applyAlignment="1">
      <alignment horizontal="justify" wrapText="1"/>
    </xf>
    <xf numFmtId="1" fontId="4" fillId="0" borderId="0" xfId="11" applyNumberFormat="1" applyFont="1" applyAlignment="1">
      <alignment horizontal="left" wrapText="1"/>
    </xf>
    <xf numFmtId="0" fontId="17" fillId="0" borderId="0" xfId="27" applyFont="1" applyAlignment="1">
      <alignment horizontal="center" wrapText="1"/>
    </xf>
    <xf numFmtId="0" fontId="15" fillId="0" borderId="2" xfId="27" applyFont="1" applyBorder="1" applyAlignment="1">
      <alignment horizontal="center"/>
    </xf>
    <xf numFmtId="0" fontId="15" fillId="0" borderId="2" xfId="27" applyFont="1" applyBorder="1" applyAlignment="1">
      <alignment horizontal="left" wrapText="1"/>
    </xf>
    <xf numFmtId="49" fontId="7" fillId="0" borderId="2" xfId="10" applyNumberFormat="1" applyFont="1" applyBorder="1" applyAlignment="1" applyProtection="1">
      <alignment horizontal="center" vertical="center"/>
    </xf>
    <xf numFmtId="165" fontId="7" fillId="0" borderId="2" xfId="10" applyNumberFormat="1" applyFont="1" applyBorder="1" applyAlignment="1" applyProtection="1">
      <alignment horizontal="left" vertical="center"/>
    </xf>
    <xf numFmtId="49" fontId="7" fillId="0" borderId="2" xfId="10" applyNumberFormat="1" applyFont="1" applyBorder="1" applyAlignment="1" applyProtection="1">
      <alignment horizontal="center" vertical="center" wrapText="1"/>
    </xf>
    <xf numFmtId="165" fontId="7" fillId="0" borderId="2" xfId="10" applyNumberFormat="1" applyFont="1" applyBorder="1" applyAlignment="1" applyProtection="1">
      <alignment horizontal="left" vertical="center" wrapText="1"/>
    </xf>
    <xf numFmtId="49" fontId="7" fillId="0" borderId="2" xfId="10" applyNumberFormat="1" applyFont="1" applyFill="1" applyBorder="1" applyAlignment="1" applyProtection="1">
      <alignment horizontal="center" vertical="center" wrapText="1"/>
    </xf>
    <xf numFmtId="165" fontId="7" fillId="0" borderId="2" xfId="10" applyNumberFormat="1" applyFont="1" applyFill="1" applyBorder="1" applyAlignment="1" applyProtection="1">
      <alignment horizontal="left" vertical="center" wrapText="1"/>
    </xf>
    <xf numFmtId="0" fontId="18" fillId="0" borderId="0" xfId="27" applyFont="1" applyFill="1"/>
    <xf numFmtId="0" fontId="2" fillId="0" borderId="0" xfId="27" applyFont="1" applyFill="1"/>
    <xf numFmtId="49" fontId="7" fillId="0" borderId="2" xfId="10" applyNumberFormat="1" applyFont="1" applyFill="1" applyBorder="1" applyAlignment="1" applyProtection="1">
      <alignment horizontal="center" vertical="top" wrapText="1"/>
    </xf>
    <xf numFmtId="165" fontId="25" fillId="0" borderId="2" xfId="10" applyNumberFormat="1" applyFont="1" applyFill="1" applyBorder="1" applyAlignment="1" applyProtection="1">
      <alignment horizontal="left" vertical="top" wrapText="1"/>
    </xf>
    <xf numFmtId="49" fontId="16" fillId="0" borderId="2" xfId="10" applyNumberFormat="1" applyFont="1" applyFill="1" applyBorder="1" applyAlignment="1" applyProtection="1">
      <alignment horizontal="center" vertical="top" wrapText="1"/>
    </xf>
    <xf numFmtId="165" fontId="16" fillId="0" borderId="2" xfId="10" applyNumberFormat="1" applyFont="1" applyFill="1" applyBorder="1" applyAlignment="1" applyProtection="1">
      <alignment horizontal="left"/>
    </xf>
    <xf numFmtId="165" fontId="7" fillId="0" borderId="2" xfId="10" applyNumberFormat="1" applyFont="1" applyFill="1" applyBorder="1" applyAlignment="1" applyProtection="1">
      <alignment horizontal="left" vertical="top" wrapText="1"/>
    </xf>
    <xf numFmtId="165" fontId="16" fillId="0" borderId="2" xfId="10" applyNumberFormat="1" applyFont="1" applyFill="1" applyBorder="1" applyAlignment="1" applyProtection="1">
      <alignment horizontal="left" vertical="top" wrapText="1"/>
    </xf>
    <xf numFmtId="165" fontId="7" fillId="0" borderId="2" xfId="10" applyNumberFormat="1" applyFont="1" applyFill="1" applyBorder="1" applyAlignment="1" applyProtection="1">
      <alignment horizontal="center" vertical="top" wrapText="1"/>
    </xf>
    <xf numFmtId="4" fontId="7" fillId="0" borderId="2" xfId="10" applyNumberFormat="1" applyFont="1" applyFill="1" applyBorder="1" applyAlignment="1" applyProtection="1">
      <alignment horizontal="center" vertical="center"/>
    </xf>
    <xf numFmtId="0" fontId="7" fillId="0" borderId="2" xfId="10" applyNumberFormat="1" applyFont="1" applyFill="1" applyBorder="1" applyAlignment="1" applyProtection="1">
      <alignment horizontal="center" vertical="center"/>
    </xf>
    <xf numFmtId="165" fontId="7" fillId="0" borderId="2" xfId="10" applyNumberFormat="1" applyFont="1" applyBorder="1" applyAlignment="1" applyProtection="1">
      <alignment horizontal="center" vertical="top" wrapText="1"/>
    </xf>
    <xf numFmtId="165" fontId="7" fillId="0" borderId="2" xfId="10" applyNumberFormat="1" applyFont="1" applyBorder="1" applyAlignment="1" applyProtection="1">
      <alignment horizontal="left" vertical="top" wrapText="1"/>
    </xf>
    <xf numFmtId="166" fontId="7" fillId="0" borderId="2" xfId="10" applyNumberFormat="1" applyFont="1" applyBorder="1" applyAlignment="1" applyProtection="1">
      <alignment horizontal="center" vertical="top" wrapText="1"/>
    </xf>
    <xf numFmtId="165" fontId="16" fillId="0" borderId="2" xfId="10" applyNumberFormat="1" applyFont="1" applyBorder="1" applyAlignment="1" applyProtection="1">
      <alignment horizontal="left" vertical="top" wrapText="1"/>
    </xf>
    <xf numFmtId="165" fontId="7" fillId="0" borderId="2" xfId="10" applyNumberFormat="1" applyFont="1" applyBorder="1" applyAlignment="1" applyProtection="1">
      <alignment horizontal="left"/>
    </xf>
    <xf numFmtId="165" fontId="25" fillId="0" borderId="2" xfId="27" applyNumberFormat="1" applyFont="1" applyBorder="1" applyAlignment="1" applyProtection="1">
      <alignment horizontal="left" vertical="top" wrapText="1"/>
    </xf>
    <xf numFmtId="165" fontId="7" fillId="0" borderId="3" xfId="27" applyNumberFormat="1" applyFont="1" applyBorder="1" applyAlignment="1" applyProtection="1">
      <alignment horizontal="left" wrapText="1"/>
    </xf>
    <xf numFmtId="165" fontId="18" fillId="0" borderId="0" xfId="27" applyNumberFormat="1" applyFont="1" applyAlignment="1" applyProtection="1">
      <alignment horizontal="left" wrapText="1"/>
    </xf>
    <xf numFmtId="4" fontId="18" fillId="0" borderId="0" xfId="27" applyNumberFormat="1" applyFont="1" applyAlignment="1">
      <alignment wrapText="1"/>
    </xf>
    <xf numFmtId="0" fontId="4" fillId="0" borderId="0" xfId="38" applyFont="1" applyAlignment="1">
      <alignment vertical="top"/>
    </xf>
    <xf numFmtId="0" fontId="4" fillId="0" borderId="0" xfId="38" applyFont="1" applyAlignment="1">
      <alignment horizontal="justify"/>
    </xf>
    <xf numFmtId="1" fontId="4" fillId="0" borderId="0" xfId="38" applyNumberFormat="1" applyFont="1" applyAlignment="1">
      <alignment horizontal="left"/>
    </xf>
    <xf numFmtId="37" fontId="7" fillId="0" borderId="2" xfId="17" applyNumberFormat="1" applyFont="1" applyBorder="1" applyAlignment="1" applyProtection="1">
      <alignment horizontal="left"/>
    </xf>
    <xf numFmtId="37" fontId="7" fillId="0" borderId="2" xfId="17" applyNumberFormat="1" applyFont="1" applyBorder="1" applyAlignment="1" applyProtection="1">
      <alignment horizontal="left" vertical="top" wrapText="1"/>
    </xf>
    <xf numFmtId="4" fontId="7" fillId="0" borderId="2" xfId="17" applyNumberFormat="1" applyFont="1" applyBorder="1" applyAlignment="1" applyProtection="1">
      <alignment horizontal="center" vertical="top" wrapText="1"/>
    </xf>
    <xf numFmtId="4" fontId="3" fillId="0" borderId="0" xfId="38" applyNumberFormat="1" applyFont="1" applyAlignment="1">
      <alignment horizontal="left"/>
    </xf>
    <xf numFmtId="3" fontId="4" fillId="0" borderId="0" xfId="11" applyNumberFormat="1" applyFont="1" applyAlignment="1">
      <alignment horizontal="left"/>
    </xf>
    <xf numFmtId="0" fontId="15" fillId="0" borderId="2" xfId="27" applyFont="1" applyBorder="1" applyAlignment="1">
      <alignment horizontal="left"/>
    </xf>
    <xf numFmtId="165" fontId="7" fillId="0" borderId="2" xfId="27" quotePrefix="1" applyNumberFormat="1" applyFont="1" applyBorder="1" applyAlignment="1" applyProtection="1">
      <alignment horizontal="center" vertical="top" wrapText="1"/>
    </xf>
    <xf numFmtId="165" fontId="25" fillId="0" borderId="2" xfId="27" applyNumberFormat="1" applyFont="1" applyBorder="1" applyAlignment="1" applyProtection="1">
      <alignment horizontal="left"/>
    </xf>
    <xf numFmtId="0" fontId="33" fillId="0" borderId="0" xfId="19"/>
    <xf numFmtId="4" fontId="3" fillId="0" borderId="0" xfId="19" applyNumberFormat="1" applyFont="1"/>
    <xf numFmtId="0" fontId="45" fillId="0" borderId="0" xfId="43" applyFont="1" applyAlignment="1">
      <alignment horizontal="left"/>
    </xf>
    <xf numFmtId="0" fontId="5" fillId="0" borderId="14" xfId="19" applyFont="1" applyBorder="1" applyAlignment="1">
      <alignment horizontal="center"/>
    </xf>
    <xf numFmtId="0" fontId="5" fillId="0" borderId="1" xfId="19" applyFont="1" applyBorder="1" applyAlignment="1">
      <alignment horizontal="left"/>
    </xf>
    <xf numFmtId="0" fontId="3" fillId="0" borderId="2" xfId="0" applyFont="1" applyFill="1" applyBorder="1"/>
    <xf numFmtId="4" fontId="7" fillId="0" borderId="10" xfId="43" applyNumberFormat="1" applyFont="1" applyFill="1" applyBorder="1" applyAlignment="1">
      <alignment horizontal="center"/>
    </xf>
    <xf numFmtId="4" fontId="7" fillId="0" borderId="14" xfId="43" applyNumberFormat="1" applyFont="1" applyFill="1" applyBorder="1" applyAlignment="1">
      <alignment horizontal="center"/>
    </xf>
    <xf numFmtId="0" fontId="7" fillId="0" borderId="2" xfId="43" applyNumberFormat="1" applyFont="1" applyFill="1" applyBorder="1" applyAlignment="1" applyProtection="1">
      <alignment horizontal="center"/>
    </xf>
    <xf numFmtId="4" fontId="7" fillId="0" borderId="10" xfId="43" applyNumberFormat="1" applyFont="1" applyFill="1" applyBorder="1" applyAlignment="1" applyProtection="1">
      <alignment horizontal="center"/>
    </xf>
    <xf numFmtId="4" fontId="22" fillId="0" borderId="2" xfId="19" applyNumberFormat="1" applyFont="1" applyFill="1" applyBorder="1" applyAlignment="1" applyProtection="1">
      <alignment horizontal="center"/>
    </xf>
    <xf numFmtId="4" fontId="7" fillId="0" borderId="10" xfId="7" applyNumberFormat="1" applyFont="1" applyFill="1" applyBorder="1" applyAlignment="1" applyProtection="1">
      <alignment horizontal="center" vertical="center" wrapText="1"/>
      <protection locked="0"/>
    </xf>
    <xf numFmtId="4" fontId="7" fillId="0" borderId="14" xfId="7" applyNumberFormat="1" applyFont="1" applyFill="1" applyBorder="1" applyAlignment="1" applyProtection="1">
      <alignment horizontal="center" vertical="center" wrapText="1"/>
      <protection locked="0"/>
    </xf>
    <xf numFmtId="4" fontId="7" fillId="0" borderId="0" xfId="19" applyNumberFormat="1" applyFont="1" applyBorder="1" applyAlignment="1" applyProtection="1">
      <alignment horizontal="center" vertical="top" wrapText="1"/>
    </xf>
    <xf numFmtId="4" fontId="5" fillId="0" borderId="0" xfId="19" quotePrefix="1" applyNumberFormat="1" applyFont="1" applyBorder="1" applyAlignment="1">
      <alignment horizontal="center"/>
    </xf>
    <xf numFmtId="0" fontId="3" fillId="0" borderId="0" xfId="0" applyFont="1" applyFill="1" applyBorder="1"/>
    <xf numFmtId="0" fontId="3" fillId="0" borderId="0" xfId="0" applyFont="1" applyFill="1" applyBorder="1" applyAlignment="1">
      <alignment vertical="center"/>
    </xf>
    <xf numFmtId="0" fontId="33" fillId="0" borderId="0" xfId="19" applyBorder="1"/>
    <xf numFmtId="3" fontId="7" fillId="0" borderId="10" xfId="7" applyNumberFormat="1" applyFont="1" applyFill="1" applyBorder="1" applyAlignment="1" applyProtection="1">
      <alignment horizontal="center" vertical="center" wrapText="1"/>
      <protection locked="0"/>
    </xf>
    <xf numFmtId="171" fontId="7" fillId="0" borderId="10" xfId="7" applyNumberFormat="1" applyFont="1" applyFill="1" applyBorder="1" applyAlignment="1" applyProtection="1">
      <alignment horizontal="center" vertical="center" wrapText="1"/>
      <protection locked="0"/>
    </xf>
    <xf numFmtId="4" fontId="7" fillId="0" borderId="0" xfId="43" applyNumberFormat="1" applyFont="1" applyFill="1" applyBorder="1" applyAlignment="1">
      <alignment horizontal="center" vertical="center"/>
    </xf>
    <xf numFmtId="4" fontId="7" fillId="0" borderId="10" xfId="43" applyNumberFormat="1" applyFont="1" applyFill="1" applyBorder="1" applyAlignment="1" applyProtection="1">
      <alignment horizontal="center" vertical="center"/>
    </xf>
    <xf numFmtId="37" fontId="7" fillId="0" borderId="11" xfId="19" applyNumberFormat="1" applyFont="1" applyBorder="1" applyAlignment="1" applyProtection="1">
      <alignment horizontal="center"/>
    </xf>
    <xf numFmtId="37" fontId="7" fillId="0" borderId="3" xfId="19" applyNumberFormat="1" applyFont="1" applyBorder="1" applyAlignment="1" applyProtection="1">
      <alignment horizontal="left"/>
    </xf>
    <xf numFmtId="0" fontId="52" fillId="0" borderId="0" xfId="19" applyFont="1" applyAlignment="1">
      <alignment horizontal="left"/>
    </xf>
    <xf numFmtId="37" fontId="34" fillId="0" borderId="0" xfId="19" applyNumberFormat="1" applyFont="1" applyAlignment="1" applyProtection="1">
      <alignment horizontal="left"/>
    </xf>
    <xf numFmtId="4" fontId="7" fillId="0" borderId="0" xfId="22" applyNumberFormat="1" applyFont="1" applyFill="1" applyAlignment="1">
      <alignment vertical="center"/>
    </xf>
    <xf numFmtId="0" fontId="7" fillId="0" borderId="0" xfId="22" applyFont="1" applyFill="1" applyAlignment="1">
      <alignment vertical="center"/>
    </xf>
    <xf numFmtId="0" fontId="7" fillId="0" borderId="0" xfId="38" applyFont="1" applyFill="1" applyAlignment="1">
      <alignment vertical="center"/>
    </xf>
    <xf numFmtId="4" fontId="7" fillId="0" borderId="0" xfId="38" applyNumberFormat="1" applyFont="1" applyFill="1" applyAlignment="1" applyProtection="1">
      <alignment vertical="center"/>
    </xf>
    <xf numFmtId="4" fontId="7" fillId="0" borderId="0" xfId="38" applyNumberFormat="1" applyFont="1" applyFill="1" applyAlignment="1">
      <alignment vertical="center"/>
    </xf>
    <xf numFmtId="4" fontId="7" fillId="0" borderId="0" xfId="21" applyNumberFormat="1" applyFont="1" applyFill="1" applyAlignment="1">
      <alignment vertical="center"/>
    </xf>
    <xf numFmtId="0" fontId="7" fillId="0" borderId="0" xfId="21" applyFont="1" applyFill="1" applyAlignment="1">
      <alignment vertical="center"/>
    </xf>
    <xf numFmtId="0" fontId="7" fillId="0" borderId="0" xfId="38" applyFont="1" applyFill="1" applyAlignment="1">
      <alignment horizontal="left" vertical="center"/>
    </xf>
    <xf numFmtId="4" fontId="7" fillId="0" borderId="0" xfId="38" applyNumberFormat="1" applyFont="1" applyFill="1" applyBorder="1" applyAlignment="1" applyProtection="1">
      <alignment horizontal="left" vertical="center"/>
    </xf>
    <xf numFmtId="0" fontId="7" fillId="0" borderId="0" xfId="38" applyFont="1" applyFill="1" applyBorder="1" applyAlignment="1">
      <alignment horizontal="left" vertical="center"/>
    </xf>
    <xf numFmtId="4" fontId="7" fillId="0" borderId="0" xfId="22" applyNumberFormat="1" applyFont="1" applyFill="1" applyAlignment="1" applyProtection="1">
      <alignment vertical="center"/>
    </xf>
    <xf numFmtId="4" fontId="7" fillId="0" borderId="0" xfId="22" applyNumberFormat="1" applyFont="1" applyFill="1" applyBorder="1" applyAlignment="1" applyProtection="1">
      <alignment horizontal="left" vertical="center"/>
    </xf>
    <xf numFmtId="0" fontId="7" fillId="0" borderId="0" xfId="22" applyFont="1" applyFill="1" applyBorder="1" applyAlignment="1">
      <alignment horizontal="left" vertical="center"/>
    </xf>
    <xf numFmtId="4" fontId="7" fillId="0" borderId="0" xfId="22" applyNumberFormat="1" applyFont="1" applyFill="1" applyAlignment="1">
      <alignment horizontal="center" vertical="center"/>
    </xf>
    <xf numFmtId="4" fontId="7" fillId="0" borderId="0" xfId="22" applyNumberFormat="1" applyFont="1" applyFill="1" applyBorder="1" applyAlignment="1" applyProtection="1">
      <alignment vertical="center"/>
    </xf>
    <xf numFmtId="4" fontId="7" fillId="0" borderId="2" xfId="38" applyNumberFormat="1" applyFont="1" applyFill="1" applyBorder="1" applyAlignment="1" applyProtection="1">
      <alignment horizontal="center" vertical="center"/>
    </xf>
    <xf numFmtId="4" fontId="7" fillId="0" borderId="3" xfId="38" applyNumberFormat="1" applyFont="1" applyFill="1" applyBorder="1" applyAlignment="1" applyProtection="1">
      <alignment horizontal="center" vertical="center"/>
    </xf>
    <xf numFmtId="4" fontId="7" fillId="0" borderId="2" xfId="38" applyNumberFormat="1" applyFont="1" applyFill="1" applyBorder="1" applyAlignment="1">
      <alignment horizontal="center" vertical="center"/>
    </xf>
    <xf numFmtId="4" fontId="7" fillId="0" borderId="2" xfId="38" quotePrefix="1" applyNumberFormat="1" applyFont="1" applyFill="1" applyBorder="1" applyAlignment="1">
      <alignment horizontal="center" vertical="center"/>
    </xf>
    <xf numFmtId="0" fontId="7" fillId="0" borderId="2" xfId="38" quotePrefix="1" applyFont="1" applyFill="1" applyBorder="1" applyAlignment="1">
      <alignment horizontal="center" vertical="center"/>
    </xf>
    <xf numFmtId="0" fontId="7" fillId="0" borderId="2" xfId="24" applyFont="1" applyFill="1" applyBorder="1" applyAlignment="1">
      <alignment horizontal="center" vertical="center" wrapText="1"/>
    </xf>
    <xf numFmtId="0" fontId="7" fillId="0" borderId="2" xfId="24" applyFont="1" applyFill="1" applyBorder="1" applyAlignment="1">
      <alignment horizontal="justify" vertical="center"/>
    </xf>
    <xf numFmtId="0" fontId="7" fillId="0" borderId="2" xfId="24" applyFont="1" applyFill="1" applyBorder="1" applyAlignment="1">
      <alignment horizontal="left" vertical="center" wrapText="1"/>
    </xf>
    <xf numFmtId="0" fontId="16" fillId="0" borderId="2" xfId="24" applyFont="1" applyFill="1" applyBorder="1" applyAlignment="1">
      <alignment horizontal="center" vertical="center" wrapText="1"/>
    </xf>
    <xf numFmtId="0" fontId="16" fillId="0" borderId="2" xfId="24" applyFont="1" applyFill="1" applyBorder="1" applyAlignment="1">
      <alignment horizontal="left" vertical="center" wrapText="1"/>
    </xf>
    <xf numFmtId="0" fontId="7" fillId="0" borderId="14" xfId="23" applyFont="1" applyFill="1" applyBorder="1" applyAlignment="1">
      <alignment horizontal="center" vertical="center"/>
    </xf>
    <xf numFmtId="0" fontId="7" fillId="0" borderId="2" xfId="38" applyNumberFormat="1" applyFont="1" applyFill="1" applyBorder="1" applyAlignment="1" applyProtection="1">
      <alignment horizontal="center" vertical="center"/>
    </xf>
    <xf numFmtId="0" fontId="7" fillId="0" borderId="2" xfId="22" applyFont="1" applyFill="1" applyBorder="1" applyAlignment="1">
      <alignment horizontal="center" vertical="center"/>
    </xf>
    <xf numFmtId="0" fontId="7" fillId="0" borderId="3" xfId="38" applyFont="1" applyFill="1" applyBorder="1" applyAlignment="1" applyProtection="1">
      <alignment horizontal="center" vertical="center"/>
    </xf>
    <xf numFmtId="0" fontId="7" fillId="0" borderId="0" xfId="38" applyFont="1" applyFill="1" applyAlignment="1" applyProtection="1">
      <alignment horizontal="left" vertical="center"/>
    </xf>
    <xf numFmtId="4" fontId="7" fillId="0" borderId="0" xfId="38" applyNumberFormat="1" applyFont="1" applyFill="1" applyAlignment="1">
      <alignment horizontal="left" vertical="center"/>
    </xf>
    <xf numFmtId="0" fontId="9" fillId="0" borderId="0" xfId="26"/>
    <xf numFmtId="4" fontId="4" fillId="0" borderId="0" xfId="26" applyNumberFormat="1" applyFont="1" applyFill="1"/>
    <xf numFmtId="0" fontId="4" fillId="0" borderId="0" xfId="26" applyFont="1" applyFill="1" applyAlignment="1">
      <alignment wrapText="1"/>
    </xf>
    <xf numFmtId="2" fontId="7" fillId="0" borderId="2" xfId="32" applyNumberFormat="1" applyFont="1" applyFill="1" applyBorder="1" applyAlignment="1">
      <alignment horizontal="center" vertical="center"/>
    </xf>
    <xf numFmtId="1" fontId="7" fillId="0" borderId="2" xfId="32" applyNumberFormat="1" applyFont="1" applyFill="1" applyBorder="1" applyAlignment="1">
      <alignment horizontal="center" vertical="center"/>
    </xf>
    <xf numFmtId="4" fontId="7" fillId="0" borderId="2" xfId="32" quotePrefix="1" applyNumberFormat="1" applyFont="1" applyFill="1" applyBorder="1" applyAlignment="1">
      <alignment horizontal="center"/>
    </xf>
    <xf numFmtId="2" fontId="7" fillId="0" borderId="2" xfId="32" applyNumberFormat="1" applyFont="1" applyFill="1" applyBorder="1" applyAlignment="1">
      <alignment horizontal="center"/>
    </xf>
    <xf numFmtId="0" fontId="7" fillId="0" borderId="0" xfId="32" applyFont="1" applyFill="1"/>
    <xf numFmtId="0" fontId="16" fillId="0" borderId="0" xfId="32" applyFont="1" applyFill="1"/>
    <xf numFmtId="4" fontId="7" fillId="0" borderId="0" xfId="32" applyNumberFormat="1" applyFont="1" applyFill="1" applyAlignment="1">
      <alignment horizontal="left" vertical="center" wrapText="1"/>
    </xf>
    <xf numFmtId="3" fontId="4" fillId="0" borderId="0" xfId="38" applyNumberFormat="1" applyFont="1" applyAlignment="1">
      <alignment horizontal="left"/>
    </xf>
    <xf numFmtId="37" fontId="7" fillId="5" borderId="2" xfId="0" applyNumberFormat="1" applyFont="1" applyFill="1" applyBorder="1" applyAlignment="1" applyProtection="1">
      <alignment horizontal="left" vertical="top" wrapText="1"/>
    </xf>
    <xf numFmtId="0" fontId="9" fillId="5" borderId="0" xfId="38" applyFill="1"/>
    <xf numFmtId="37" fontId="7" fillId="0" borderId="2" xfId="0" applyNumberFormat="1" applyFont="1" applyBorder="1" applyAlignment="1" applyProtection="1">
      <alignment horizontal="left"/>
    </xf>
    <xf numFmtId="0" fontId="4" fillId="0" borderId="0" xfId="38" quotePrefix="1" applyFont="1" applyAlignment="1">
      <alignment horizontal="left"/>
    </xf>
    <xf numFmtId="165" fontId="7" fillId="0" borderId="2" xfId="25" applyNumberFormat="1" applyFont="1" applyBorder="1" applyAlignment="1" applyProtection="1">
      <alignment vertical="center" wrapText="1"/>
    </xf>
    <xf numFmtId="171" fontId="3" fillId="0" borderId="0" xfId="0" applyNumberFormat="1" applyFont="1" applyFill="1"/>
    <xf numFmtId="4" fontId="4" fillId="0" borderId="0" xfId="17" applyNumberFormat="1" applyFont="1" applyProtection="1"/>
    <xf numFmtId="4" fontId="3" fillId="0" borderId="0" xfId="17" applyNumberFormat="1" applyFont="1"/>
    <xf numFmtId="0" fontId="3" fillId="0" borderId="0" xfId="17" applyFont="1"/>
    <xf numFmtId="0" fontId="2" fillId="0" borderId="0" xfId="17"/>
    <xf numFmtId="4" fontId="4" fillId="0" borderId="0" xfId="16" applyNumberFormat="1" applyFont="1" applyAlignment="1">
      <alignment horizontal="left"/>
    </xf>
    <xf numFmtId="4" fontId="4" fillId="0" borderId="0" xfId="17" applyNumberFormat="1" applyFont="1" applyAlignment="1">
      <alignment horizontal="left"/>
    </xf>
    <xf numFmtId="0" fontId="4" fillId="0" borderId="0" xfId="17" applyFont="1"/>
    <xf numFmtId="0" fontId="4" fillId="0" borderId="0" xfId="16" applyFont="1"/>
    <xf numFmtId="0" fontId="4" fillId="0" borderId="0" xfId="17" applyFont="1" applyAlignment="1">
      <alignment horizontal="left"/>
    </xf>
    <xf numFmtId="0" fontId="6" fillId="0" borderId="1" xfId="17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6" fillId="0" borderId="2" xfId="17" applyFont="1" applyBorder="1"/>
    <xf numFmtId="0" fontId="6" fillId="0" borderId="3" xfId="17" applyFont="1" applyBorder="1" applyAlignment="1">
      <alignment horizontal="center"/>
    </xf>
    <xf numFmtId="0" fontId="5" fillId="0" borderId="2" xfId="17" applyFont="1" applyBorder="1" applyAlignment="1">
      <alignment horizontal="center"/>
    </xf>
    <xf numFmtId="0" fontId="5" fillId="0" borderId="2" xfId="17" applyFont="1" applyBorder="1" applyAlignment="1">
      <alignment horizontal="left"/>
    </xf>
    <xf numFmtId="37" fontId="7" fillId="0" borderId="2" xfId="17" quotePrefix="1" applyNumberFormat="1" applyFont="1" applyBorder="1" applyAlignment="1" applyProtection="1">
      <alignment horizontal="center"/>
    </xf>
    <xf numFmtId="37" fontId="25" fillId="0" borderId="2" xfId="17" applyNumberFormat="1" applyFont="1" applyBorder="1" applyAlignment="1" applyProtection="1">
      <alignment horizontal="left"/>
    </xf>
    <xf numFmtId="37" fontId="7" fillId="0" borderId="2" xfId="17" applyNumberFormat="1" applyFont="1" applyBorder="1" applyAlignment="1" applyProtection="1">
      <alignment horizontal="center"/>
    </xf>
    <xf numFmtId="37" fontId="7" fillId="0" borderId="2" xfId="0" applyNumberFormat="1" applyFont="1" applyBorder="1" applyAlignment="1" applyProtection="1">
      <alignment horizontal="center" vertical="top" wrapText="1"/>
    </xf>
    <xf numFmtId="37" fontId="7" fillId="0" borderId="2" xfId="0" applyNumberFormat="1" applyFont="1" applyBorder="1" applyAlignment="1" applyProtection="1">
      <alignment horizontal="left" vertical="top" wrapText="1"/>
    </xf>
    <xf numFmtId="37" fontId="7" fillId="0" borderId="2" xfId="17" applyNumberFormat="1" applyFont="1" applyBorder="1" applyAlignment="1" applyProtection="1">
      <alignment horizontal="center" vertical="top" wrapText="1"/>
    </xf>
    <xf numFmtId="166" fontId="7" fillId="0" borderId="2" xfId="17" applyNumberFormat="1" applyFont="1" applyBorder="1" applyAlignment="1" applyProtection="1">
      <alignment horizontal="center" vertical="top" wrapText="1"/>
    </xf>
    <xf numFmtId="4" fontId="7" fillId="0" borderId="0" xfId="17" applyNumberFormat="1" applyFont="1" applyAlignment="1" applyProtection="1">
      <alignment horizontal="left" vertical="center" wrapText="1"/>
    </xf>
    <xf numFmtId="4" fontId="7" fillId="0" borderId="10" xfId="17" applyNumberFormat="1" applyFont="1" applyBorder="1" applyAlignment="1" applyProtection="1">
      <alignment horizontal="left" vertical="center" wrapText="1"/>
    </xf>
    <xf numFmtId="37" fontId="7" fillId="0" borderId="3" xfId="17" applyNumberFormat="1" applyFont="1" applyBorder="1" applyAlignment="1" applyProtection="1">
      <alignment horizontal="center"/>
    </xf>
    <xf numFmtId="37" fontId="7" fillId="0" borderId="3" xfId="17" applyNumberFormat="1" applyFont="1" applyBorder="1" applyAlignment="1" applyProtection="1">
      <alignment horizontal="left"/>
    </xf>
    <xf numFmtId="0" fontId="23" fillId="0" borderId="0" xfId="17" applyFont="1" applyAlignment="1">
      <alignment horizontal="left"/>
    </xf>
    <xf numFmtId="37" fontId="3" fillId="0" borderId="0" xfId="17" applyNumberFormat="1" applyFont="1" applyAlignment="1" applyProtection="1">
      <alignment horizontal="left"/>
    </xf>
    <xf numFmtId="0" fontId="9" fillId="0" borderId="0" xfId="44"/>
    <xf numFmtId="0" fontId="4" fillId="0" borderId="0" xfId="44" applyFont="1"/>
    <xf numFmtId="0" fontId="4" fillId="0" borderId="0" xfId="44" applyFont="1" applyAlignment="1">
      <alignment horizontal="left"/>
    </xf>
    <xf numFmtId="0" fontId="6" fillId="0" borderId="1" xfId="44" applyFont="1" applyBorder="1" applyAlignment="1">
      <alignment horizontal="center"/>
    </xf>
    <xf numFmtId="0" fontId="6" fillId="0" borderId="2" xfId="44" applyFont="1" applyBorder="1" applyAlignment="1">
      <alignment horizontal="center"/>
    </xf>
    <xf numFmtId="0" fontId="6" fillId="0" borderId="2" xfId="44" applyFont="1" applyBorder="1" applyAlignment="1">
      <alignment horizontal="left"/>
    </xf>
    <xf numFmtId="0" fontId="6" fillId="0" borderId="2" xfId="44" applyFont="1" applyBorder="1"/>
    <xf numFmtId="0" fontId="6" fillId="0" borderId="3" xfId="44" applyFont="1" applyBorder="1" applyAlignment="1">
      <alignment horizontal="center"/>
    </xf>
    <xf numFmtId="0" fontId="45" fillId="0" borderId="0" xfId="38" applyFont="1" applyAlignment="1">
      <alignment horizontal="left"/>
    </xf>
    <xf numFmtId="0" fontId="0" fillId="0" borderId="12" xfId="0" applyBorder="1"/>
    <xf numFmtId="0" fontId="5" fillId="0" borderId="1" xfId="38" applyFont="1" applyBorder="1" applyAlignment="1">
      <alignment horizontal="center"/>
    </xf>
    <xf numFmtId="0" fontId="5" fillId="0" borderId="1" xfId="38" applyFont="1" applyBorder="1" applyAlignment="1">
      <alignment horizontal="left"/>
    </xf>
    <xf numFmtId="0" fontId="3" fillId="0" borderId="1" xfId="0" applyFont="1" applyFill="1" applyBorder="1"/>
    <xf numFmtId="165" fontId="7" fillId="0" borderId="13" xfId="38" applyNumberFormat="1" applyFont="1" applyBorder="1" applyAlignment="1" applyProtection="1">
      <alignment horizontal="center"/>
    </xf>
    <xf numFmtId="165" fontId="7" fillId="0" borderId="13" xfId="38" applyNumberFormat="1" applyFont="1" applyBorder="1" applyAlignment="1" applyProtection="1">
      <alignment horizontal="left"/>
    </xf>
    <xf numFmtId="4" fontId="7" fillId="0" borderId="13" xfId="38" applyNumberFormat="1" applyFont="1" applyBorder="1" applyAlignment="1" applyProtection="1">
      <alignment horizontal="center"/>
    </xf>
    <xf numFmtId="167" fontId="7" fillId="0" borderId="2" xfId="37" applyNumberFormat="1" applyFont="1" applyFill="1" applyBorder="1" applyAlignment="1" applyProtection="1">
      <alignment horizontal="center" vertical="center"/>
    </xf>
    <xf numFmtId="3" fontId="4" fillId="0" borderId="0" xfId="11" applyNumberFormat="1" applyFont="1" applyFill="1" applyAlignment="1">
      <alignment horizontal="left" vertical="center"/>
    </xf>
    <xf numFmtId="0" fontId="64" fillId="0" borderId="0" xfId="0" applyFont="1"/>
    <xf numFmtId="4" fontId="17" fillId="0" borderId="0" xfId="36" applyNumberFormat="1" applyFont="1" applyFill="1" applyProtection="1"/>
    <xf numFmtId="0" fontId="4" fillId="0" borderId="0" xfId="40" applyFont="1" applyFill="1" applyAlignment="1">
      <alignment horizontal="left"/>
    </xf>
    <xf numFmtId="4" fontId="18" fillId="0" borderId="0" xfId="36" applyNumberFormat="1" applyFont="1" applyFill="1"/>
    <xf numFmtId="0" fontId="18" fillId="0" borderId="0" xfId="36" applyFont="1" applyFill="1"/>
    <xf numFmtId="0" fontId="2" fillId="0" borderId="0" xfId="36" applyFont="1" applyFill="1"/>
    <xf numFmtId="4" fontId="65" fillId="0" borderId="0" xfId="12" applyNumberFormat="1" applyFont="1" applyFill="1" applyAlignment="1">
      <alignment horizontal="left"/>
    </xf>
    <xf numFmtId="4" fontId="17" fillId="0" borderId="0" xfId="36" applyNumberFormat="1" applyFont="1" applyFill="1"/>
    <xf numFmtId="0" fontId="17" fillId="0" borderId="0" xfId="36" applyFont="1" applyFill="1"/>
    <xf numFmtId="0" fontId="15" fillId="0" borderId="0" xfId="36" applyFont="1" applyFill="1"/>
    <xf numFmtId="164" fontId="17" fillId="0" borderId="0" xfId="36" applyNumberFormat="1" applyFont="1" applyFill="1" applyProtection="1"/>
    <xf numFmtId="1" fontId="4" fillId="0" borderId="0" xfId="40" applyNumberFormat="1" applyFont="1" applyFill="1" applyAlignment="1">
      <alignment horizontal="left"/>
    </xf>
    <xf numFmtId="4" fontId="17" fillId="0" borderId="0" xfId="36" applyNumberFormat="1" applyFont="1" applyFill="1" applyBorder="1" applyAlignment="1" applyProtection="1">
      <alignment horizontal="left"/>
    </xf>
    <xf numFmtId="4" fontId="15" fillId="0" borderId="0" xfId="36" applyNumberFormat="1" applyFont="1" applyFill="1" applyBorder="1" applyAlignment="1" applyProtection="1">
      <alignment horizontal="left"/>
    </xf>
    <xf numFmtId="0" fontId="15" fillId="0" borderId="0" xfId="36" applyFont="1" applyFill="1" applyBorder="1" applyAlignment="1">
      <alignment horizontal="left"/>
    </xf>
    <xf numFmtId="0" fontId="17" fillId="0" borderId="0" xfId="36" applyFont="1" applyFill="1" applyAlignment="1">
      <alignment horizontal="center"/>
    </xf>
    <xf numFmtId="0" fontId="20" fillId="0" borderId="0" xfId="36" applyFont="1" applyFill="1"/>
    <xf numFmtId="0" fontId="21" fillId="0" borderId="0" xfId="36" applyFont="1" applyFill="1"/>
    <xf numFmtId="0" fontId="20" fillId="0" borderId="2" xfId="36" applyFont="1" applyFill="1" applyBorder="1" applyAlignment="1">
      <alignment horizontal="center"/>
    </xf>
    <xf numFmtId="4" fontId="20" fillId="0" borderId="2" xfId="36" applyNumberFormat="1" applyFont="1" applyFill="1" applyBorder="1" applyAlignment="1" applyProtection="1">
      <alignment horizontal="center"/>
    </xf>
    <xf numFmtId="4" fontId="20" fillId="0" borderId="2" xfId="36" applyNumberFormat="1" applyFont="1" applyFill="1" applyBorder="1" applyAlignment="1">
      <alignment horizontal="center"/>
    </xf>
    <xf numFmtId="0" fontId="20" fillId="0" borderId="2" xfId="36" quotePrefix="1" applyFont="1" applyFill="1" applyBorder="1" applyAlignment="1">
      <alignment horizontal="center"/>
    </xf>
    <xf numFmtId="4" fontId="13" fillId="0" borderId="7" xfId="30" applyNumberFormat="1" applyFont="1" applyFill="1" applyBorder="1" applyAlignment="1" applyProtection="1">
      <alignment horizontal="center" vertical="center"/>
      <protection locked="0"/>
    </xf>
    <xf numFmtId="4" fontId="13" fillId="0" borderId="8" xfId="30" applyNumberFormat="1" applyFont="1" applyFill="1" applyBorder="1" applyAlignment="1" applyProtection="1">
      <alignment horizontal="center" vertical="center"/>
      <protection locked="0"/>
    </xf>
    <xf numFmtId="4" fontId="13" fillId="0" borderId="9" xfId="30" applyNumberFormat="1" applyFont="1" applyFill="1" applyBorder="1" applyAlignment="1" applyProtection="1">
      <alignment horizontal="center" vertical="center"/>
      <protection locked="0"/>
    </xf>
    <xf numFmtId="165" fontId="7" fillId="0" borderId="2" xfId="40" applyNumberFormat="1" applyFont="1" applyFill="1" applyBorder="1" applyAlignment="1" applyProtection="1">
      <alignment horizontal="center" vertical="center" wrapText="1"/>
    </xf>
    <xf numFmtId="4" fontId="20" fillId="0" borderId="2" xfId="36" quotePrefix="1" applyNumberFormat="1" applyFont="1" applyFill="1" applyBorder="1" applyAlignment="1">
      <alignment horizontal="center"/>
    </xf>
    <xf numFmtId="1" fontId="20" fillId="0" borderId="2" xfId="36" applyNumberFormat="1" applyFont="1" applyFill="1" applyBorder="1" applyAlignment="1">
      <alignment horizontal="center"/>
    </xf>
    <xf numFmtId="0" fontId="7" fillId="0" borderId="2" xfId="36" applyFont="1" applyFill="1" applyBorder="1" applyAlignment="1">
      <alignment horizontal="center"/>
    </xf>
    <xf numFmtId="2" fontId="20" fillId="0" borderId="2" xfId="36" applyNumberFormat="1" applyFont="1" applyFill="1" applyBorder="1" applyAlignment="1">
      <alignment horizontal="center"/>
    </xf>
    <xf numFmtId="1" fontId="15" fillId="0" borderId="2" xfId="36" applyNumberFormat="1" applyFont="1" applyFill="1" applyBorder="1" applyAlignment="1">
      <alignment horizontal="center"/>
    </xf>
    <xf numFmtId="4" fontId="7" fillId="0" borderId="2" xfId="36" applyNumberFormat="1" applyFont="1" applyFill="1" applyBorder="1" applyAlignment="1" applyProtection="1">
      <alignment horizontal="center" vertical="center"/>
    </xf>
    <xf numFmtId="1" fontId="15" fillId="0" borderId="2" xfId="36" applyNumberFormat="1" applyFont="1" applyFill="1" applyBorder="1" applyAlignment="1" applyProtection="1">
      <alignment horizontal="center" vertical="top"/>
    </xf>
    <xf numFmtId="165" fontId="7" fillId="0" borderId="2" xfId="40" applyNumberFormat="1" applyFont="1" applyFill="1" applyBorder="1" applyAlignment="1" applyProtection="1">
      <alignment horizontal="left" vertical="top" wrapText="1"/>
    </xf>
    <xf numFmtId="2" fontId="7" fillId="0" borderId="10" xfId="36" applyNumberFormat="1" applyFont="1" applyFill="1" applyBorder="1" applyAlignment="1" applyProtection="1">
      <alignment horizontal="center" vertical="center"/>
    </xf>
    <xf numFmtId="1" fontId="7" fillId="0" borderId="2" xfId="36" applyNumberFormat="1" applyFont="1" applyFill="1" applyBorder="1" applyAlignment="1" applyProtection="1">
      <alignment horizontal="center" vertical="center"/>
    </xf>
    <xf numFmtId="4" fontId="7" fillId="0" borderId="2" xfId="36" applyNumberFormat="1" applyFont="1" applyFill="1" applyBorder="1" applyProtection="1"/>
    <xf numFmtId="4" fontId="7" fillId="0" borderId="2" xfId="36" applyNumberFormat="1" applyFont="1" applyFill="1" applyBorder="1" applyAlignment="1" applyProtection="1">
      <alignment horizontal="center"/>
    </xf>
    <xf numFmtId="4" fontId="7" fillId="0" borderId="2" xfId="36" applyNumberFormat="1" applyFont="1" applyFill="1" applyBorder="1" applyAlignment="1">
      <alignment horizontal="center"/>
    </xf>
    <xf numFmtId="167" fontId="7" fillId="0" borderId="2" xfId="36" applyNumberFormat="1" applyFont="1" applyFill="1" applyBorder="1" applyProtection="1"/>
    <xf numFmtId="1" fontId="15" fillId="0" borderId="0" xfId="34" applyNumberFormat="1" applyFont="1" applyFill="1" applyBorder="1" applyAlignment="1" applyProtection="1">
      <alignment horizontal="center"/>
    </xf>
    <xf numFmtId="4" fontId="7" fillId="0" borderId="2" xfId="36" applyNumberFormat="1" applyFont="1" applyFill="1" applyBorder="1" applyAlignment="1" applyProtection="1">
      <alignment horizontal="center" vertical="top" wrapText="1"/>
    </xf>
    <xf numFmtId="4" fontId="7" fillId="0" borderId="10" xfId="36" applyNumberFormat="1" applyFont="1" applyFill="1" applyBorder="1" applyAlignment="1" applyProtection="1">
      <alignment horizontal="center" vertical="center" wrapText="1"/>
    </xf>
    <xf numFmtId="0" fontId="15" fillId="0" borderId="2" xfId="36" applyNumberFormat="1" applyFont="1" applyFill="1" applyBorder="1" applyAlignment="1" applyProtection="1">
      <alignment horizontal="center" vertical="center" wrapText="1"/>
    </xf>
    <xf numFmtId="165" fontId="7" fillId="0" borderId="0" xfId="36" applyNumberFormat="1" applyFont="1" applyFill="1" applyBorder="1" applyAlignment="1" applyProtection="1">
      <alignment horizontal="left" vertical="center" wrapText="1"/>
    </xf>
    <xf numFmtId="4" fontId="7" fillId="0" borderId="2" xfId="36" applyNumberFormat="1" applyFont="1" applyFill="1" applyBorder="1" applyAlignment="1" applyProtection="1">
      <alignment horizontal="center" vertical="center" wrapText="1"/>
    </xf>
    <xf numFmtId="165" fontId="7" fillId="0" borderId="2" xfId="36" applyNumberFormat="1" applyFont="1" applyFill="1" applyBorder="1" applyAlignment="1" applyProtection="1">
      <alignment horizontal="left" vertical="top" wrapText="1"/>
    </xf>
    <xf numFmtId="3" fontId="7" fillId="0" borderId="2" xfId="36" applyNumberFormat="1" applyFont="1" applyFill="1" applyBorder="1" applyAlignment="1" applyProtection="1">
      <alignment horizontal="center" vertical="center"/>
    </xf>
    <xf numFmtId="165" fontId="7" fillId="0" borderId="2" xfId="36" applyNumberFormat="1" applyFont="1" applyFill="1" applyBorder="1" applyAlignment="1" applyProtection="1">
      <alignment horizontal="left" vertical="center"/>
    </xf>
    <xf numFmtId="3" fontId="7" fillId="0" borderId="2" xfId="36" applyNumberFormat="1" applyFont="1" applyFill="1" applyBorder="1" applyAlignment="1" applyProtection="1">
      <alignment horizontal="center"/>
    </xf>
    <xf numFmtId="4" fontId="7" fillId="0" borderId="2" xfId="36" applyNumberFormat="1" applyFont="1" applyFill="1" applyBorder="1" applyAlignment="1" applyProtection="1">
      <alignment horizontal="center" wrapText="1"/>
    </xf>
    <xf numFmtId="1" fontId="7" fillId="0" borderId="2" xfId="36" applyNumberFormat="1" applyFont="1" applyFill="1" applyBorder="1" applyAlignment="1" applyProtection="1">
      <alignment horizontal="center"/>
    </xf>
    <xf numFmtId="4" fontId="22" fillId="0" borderId="2" xfId="36" applyNumberFormat="1" applyFont="1" applyFill="1" applyBorder="1" applyAlignment="1" applyProtection="1">
      <alignment horizontal="center" vertical="top" wrapText="1"/>
    </xf>
    <xf numFmtId="0" fontId="15" fillId="0" borderId="2" xfId="36" applyNumberFormat="1" applyFont="1" applyFill="1" applyBorder="1" applyAlignment="1" applyProtection="1">
      <alignment horizontal="center" vertical="top" wrapText="1"/>
    </xf>
    <xf numFmtId="0" fontId="7" fillId="0" borderId="2" xfId="36" applyNumberFormat="1" applyFont="1" applyFill="1" applyBorder="1" applyProtection="1"/>
    <xf numFmtId="0" fontId="7" fillId="0" borderId="2" xfId="36" applyNumberFormat="1" applyFont="1" applyFill="1" applyBorder="1" applyAlignment="1" applyProtection="1">
      <alignment horizontal="center"/>
    </xf>
    <xf numFmtId="1" fontId="7" fillId="0" borderId="2" xfId="36" applyNumberFormat="1" applyFont="1" applyFill="1" applyBorder="1" applyAlignment="1" applyProtection="1">
      <alignment horizontal="center" vertical="top" wrapText="1"/>
    </xf>
    <xf numFmtId="165" fontId="7" fillId="0" borderId="10" xfId="36" applyNumberFormat="1" applyFont="1" applyFill="1" applyBorder="1" applyAlignment="1" applyProtection="1">
      <alignment horizontal="center" vertical="center"/>
    </xf>
    <xf numFmtId="1" fontId="7" fillId="0" borderId="2" xfId="36" applyNumberFormat="1" applyFont="1" applyFill="1" applyBorder="1" applyAlignment="1" applyProtection="1">
      <alignment horizontal="center" vertical="center" wrapText="1"/>
    </xf>
    <xf numFmtId="164" fontId="7" fillId="0" borderId="2" xfId="36" applyNumberFormat="1" applyFont="1" applyFill="1" applyBorder="1" applyProtection="1"/>
    <xf numFmtId="1" fontId="15" fillId="0" borderId="2" xfId="36" applyNumberFormat="1" applyFont="1" applyFill="1" applyBorder="1" applyAlignment="1" applyProtection="1">
      <alignment horizontal="center" vertical="top" wrapText="1"/>
    </xf>
    <xf numFmtId="165" fontId="7" fillId="0" borderId="2" xfId="36" applyNumberFormat="1" applyFont="1" applyFill="1" applyBorder="1" applyAlignment="1" applyProtection="1">
      <alignment horizontal="left" wrapText="1"/>
    </xf>
    <xf numFmtId="165" fontId="7" fillId="0" borderId="3" xfId="36" applyNumberFormat="1" applyFont="1" applyFill="1" applyBorder="1" applyAlignment="1" applyProtection="1">
      <alignment horizontal="center"/>
    </xf>
    <xf numFmtId="165" fontId="7" fillId="0" borderId="3" xfId="36" applyNumberFormat="1" applyFont="1" applyFill="1" applyBorder="1" applyAlignment="1" applyProtection="1">
      <alignment horizontal="left"/>
    </xf>
    <xf numFmtId="171" fontId="7" fillId="0" borderId="3" xfId="36" applyNumberFormat="1" applyFont="1" applyFill="1" applyBorder="1" applyProtection="1"/>
    <xf numFmtId="4" fontId="7" fillId="0" borderId="3" xfId="36" applyNumberFormat="1" applyFont="1" applyFill="1" applyBorder="1" applyProtection="1"/>
    <xf numFmtId="164" fontId="7" fillId="0" borderId="3" xfId="36" applyNumberFormat="1" applyFont="1" applyFill="1" applyBorder="1" applyProtection="1"/>
    <xf numFmtId="0" fontId="17" fillId="0" borderId="0" xfId="36" applyFont="1" applyFill="1" applyAlignment="1">
      <alignment horizontal="left"/>
    </xf>
    <xf numFmtId="165" fontId="18" fillId="0" borderId="0" xfId="36" applyNumberFormat="1" applyFont="1" applyFill="1" applyAlignment="1" applyProtection="1">
      <alignment horizontal="left"/>
    </xf>
    <xf numFmtId="4" fontId="18" fillId="0" borderId="0" xfId="36" applyNumberFormat="1" applyFont="1" applyFill="1" applyProtection="1"/>
    <xf numFmtId="0" fontId="15" fillId="0" borderId="0" xfId="36" applyFont="1" applyFill="1" applyAlignment="1">
      <alignment horizontal="left"/>
    </xf>
    <xf numFmtId="4" fontId="27" fillId="6" borderId="3" xfId="0" applyNumberFormat="1" applyFont="1" applyFill="1" applyBorder="1" applyAlignment="1">
      <alignment horizontal="center" vertical="center"/>
    </xf>
    <xf numFmtId="4" fontId="27" fillId="7" borderId="3" xfId="0" applyNumberFormat="1" applyFont="1" applyFill="1" applyBorder="1" applyAlignment="1">
      <alignment horizontal="center" vertical="center"/>
    </xf>
    <xf numFmtId="4" fontId="3" fillId="0" borderId="0" xfId="0" applyNumberFormat="1" applyFont="1" applyFill="1"/>
    <xf numFmtId="0" fontId="4" fillId="0" borderId="0" xfId="11" applyNumberFormat="1" applyFont="1" applyFill="1" applyAlignment="1">
      <alignment horizontal="left" vertical="center"/>
    </xf>
    <xf numFmtId="168" fontId="18" fillId="0" borderId="0" xfId="32" applyNumberFormat="1" applyFont="1" applyFill="1" applyAlignment="1">
      <alignment vertical="center"/>
    </xf>
    <xf numFmtId="0" fontId="9" fillId="0" borderId="0" xfId="61" applyAlignment="1">
      <alignment vertical="center"/>
    </xf>
    <xf numFmtId="0" fontId="3" fillId="0" borderId="0" xfId="61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61" applyNumberFormat="1" applyFont="1" applyAlignment="1">
      <alignment vertical="center"/>
    </xf>
    <xf numFmtId="4" fontId="3" fillId="0" borderId="0" xfId="61" applyNumberFormat="1" applyFont="1" applyAlignment="1">
      <alignment horizontal="left" vertical="center"/>
    </xf>
    <xf numFmtId="165" fontId="3" fillId="0" borderId="0" xfId="61" applyNumberFormat="1" applyFont="1" applyAlignment="1" applyProtection="1">
      <alignment horizontal="left" vertical="center"/>
    </xf>
    <xf numFmtId="0" fontId="23" fillId="0" borderId="0" xfId="61" applyFont="1" applyAlignment="1">
      <alignment horizontal="left" vertical="center"/>
    </xf>
    <xf numFmtId="165" fontId="7" fillId="0" borderId="3" xfId="61" applyNumberFormat="1" applyFont="1" applyBorder="1" applyAlignment="1" applyProtection="1">
      <alignment horizontal="left" vertical="center"/>
    </xf>
    <xf numFmtId="165" fontId="7" fillId="0" borderId="3" xfId="61" applyNumberFormat="1" applyFont="1" applyBorder="1" applyAlignment="1" applyProtection="1">
      <alignment horizontal="center" vertical="center"/>
    </xf>
    <xf numFmtId="165" fontId="7" fillId="0" borderId="2" xfId="61" applyNumberFormat="1" applyFont="1" applyBorder="1" applyAlignment="1" applyProtection="1">
      <alignment horizontal="left" vertical="center"/>
    </xf>
    <xf numFmtId="165" fontId="7" fillId="0" borderId="2" xfId="61" applyNumberFormat="1" applyFont="1" applyBorder="1" applyAlignment="1" applyProtection="1">
      <alignment horizontal="center" vertical="center"/>
    </xf>
    <xf numFmtId="37" fontId="7" fillId="0" borderId="2" xfId="17" applyNumberFormat="1" applyFont="1" applyBorder="1" applyAlignment="1" applyProtection="1">
      <alignment horizontal="left" vertical="center" wrapText="1"/>
    </xf>
    <xf numFmtId="4" fontId="7" fillId="0" borderId="2" xfId="61" applyNumberFormat="1" applyFont="1" applyFill="1" applyBorder="1" applyAlignment="1">
      <alignment horizontal="center" vertical="center"/>
    </xf>
    <xf numFmtId="0" fontId="5" fillId="0" borderId="2" xfId="61" applyFont="1" applyBorder="1" applyAlignment="1">
      <alignment horizontal="left" vertical="center"/>
    </xf>
    <xf numFmtId="0" fontId="5" fillId="0" borderId="2" xfId="61" applyFont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6" fillId="0" borderId="3" xfId="61" applyFont="1" applyBorder="1" applyAlignment="1">
      <alignment horizontal="center" vertical="center"/>
    </xf>
    <xf numFmtId="0" fontId="6" fillId="0" borderId="2" xfId="61" applyFont="1" applyBorder="1" applyAlignment="1">
      <alignment horizontal="left" vertical="center"/>
    </xf>
    <xf numFmtId="0" fontId="6" fillId="0" borderId="2" xfId="61" applyFont="1" applyBorder="1" applyAlignment="1">
      <alignment vertical="center"/>
    </xf>
    <xf numFmtId="0" fontId="6" fillId="0" borderId="2" xfId="61" applyFont="1" applyBorder="1" applyAlignment="1">
      <alignment horizontal="center" vertical="center"/>
    </xf>
    <xf numFmtId="0" fontId="6" fillId="0" borderId="1" xfId="61" applyFont="1" applyBorder="1" applyAlignment="1">
      <alignment horizontal="center" vertical="center"/>
    </xf>
    <xf numFmtId="0" fontId="4" fillId="0" borderId="0" xfId="6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61" applyFont="1" applyAlignment="1">
      <alignment horizontal="left" vertical="center"/>
    </xf>
    <xf numFmtId="1" fontId="4" fillId="0" borderId="0" xfId="61" applyNumberFormat="1" applyFont="1" applyAlignment="1">
      <alignment horizontal="left" vertical="center"/>
    </xf>
    <xf numFmtId="0" fontId="4" fillId="0" borderId="0" xfId="61" applyFont="1" applyAlignment="1">
      <alignment horizontal="justify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4" fontId="4" fillId="0" borderId="0" xfId="61" applyNumberFormat="1" applyFont="1" applyAlignment="1" applyProtection="1">
      <alignment horizontal="left" vertical="center"/>
    </xf>
    <xf numFmtId="0" fontId="2" fillId="0" borderId="0" xfId="65" applyFont="1" applyFill="1" applyAlignment="1">
      <alignment vertical="center"/>
    </xf>
    <xf numFmtId="0" fontId="18" fillId="0" borderId="0" xfId="65" applyFont="1" applyFill="1" applyAlignment="1">
      <alignment vertical="center"/>
    </xf>
    <xf numFmtId="4" fontId="18" fillId="0" borderId="0" xfId="65" applyNumberFormat="1" applyFont="1" applyFill="1" applyAlignment="1">
      <alignment vertical="center"/>
    </xf>
    <xf numFmtId="4" fontId="18" fillId="0" borderId="0" xfId="65" applyNumberFormat="1" applyFont="1" applyFill="1" applyAlignment="1" applyProtection="1">
      <alignment vertical="center"/>
    </xf>
    <xf numFmtId="165" fontId="18" fillId="0" borderId="0" xfId="65" applyNumberFormat="1" applyFont="1" applyFill="1" applyAlignment="1" applyProtection="1">
      <alignment horizontal="left" vertical="center"/>
    </xf>
    <xf numFmtId="0" fontId="15" fillId="0" borderId="0" xfId="65" applyFont="1" applyFill="1" applyAlignment="1">
      <alignment horizontal="left" vertical="center"/>
    </xf>
    <xf numFmtId="0" fontId="17" fillId="0" borderId="0" xfId="65" applyFont="1" applyFill="1" applyAlignment="1">
      <alignment horizontal="left" vertical="center"/>
    </xf>
    <xf numFmtId="4" fontId="7" fillId="0" borderId="3" xfId="65" applyNumberFormat="1" applyFont="1" applyFill="1" applyBorder="1" applyAlignment="1" applyProtection="1">
      <alignment vertical="center"/>
    </xf>
    <xf numFmtId="164" fontId="7" fillId="0" borderId="3" xfId="65" applyNumberFormat="1" applyFont="1" applyFill="1" applyBorder="1" applyAlignment="1" applyProtection="1">
      <alignment vertical="center"/>
    </xf>
    <xf numFmtId="171" fontId="7" fillId="0" borderId="3" xfId="65" applyNumberFormat="1" applyFont="1" applyFill="1" applyBorder="1" applyAlignment="1" applyProtection="1">
      <alignment vertical="center"/>
    </xf>
    <xf numFmtId="165" fontId="7" fillId="0" borderId="3" xfId="65" applyNumberFormat="1" applyFont="1" applyFill="1" applyBorder="1" applyAlignment="1" applyProtection="1">
      <alignment horizontal="left" vertical="center"/>
    </xf>
    <xf numFmtId="165" fontId="7" fillId="0" borderId="3" xfId="65" applyNumberFormat="1" applyFont="1" applyFill="1" applyBorder="1" applyAlignment="1" applyProtection="1">
      <alignment horizontal="center" vertical="center"/>
    </xf>
    <xf numFmtId="164" fontId="7" fillId="0" borderId="2" xfId="65" applyNumberFormat="1" applyFont="1" applyFill="1" applyBorder="1" applyAlignment="1" applyProtection="1">
      <alignment vertical="center"/>
    </xf>
    <xf numFmtId="4" fontId="7" fillId="0" borderId="2" xfId="65" applyNumberFormat="1" applyFont="1" applyFill="1" applyBorder="1" applyAlignment="1" applyProtection="1">
      <alignment horizontal="center" vertical="center"/>
    </xf>
    <xf numFmtId="1" fontId="7" fillId="0" borderId="2" xfId="65" applyNumberFormat="1" applyFont="1" applyFill="1" applyBorder="1" applyAlignment="1" applyProtection="1">
      <alignment horizontal="center" vertical="center"/>
    </xf>
    <xf numFmtId="165" fontId="7" fillId="0" borderId="10" xfId="65" applyNumberFormat="1" applyFont="1" applyFill="1" applyBorder="1" applyAlignment="1" applyProtection="1">
      <alignment horizontal="center" vertical="center"/>
    </xf>
    <xf numFmtId="4" fontId="7" fillId="0" borderId="2" xfId="65" applyNumberFormat="1" applyFont="1" applyFill="1" applyBorder="1" applyAlignment="1" applyProtection="1">
      <alignment horizontal="center" vertical="center" wrapText="1"/>
    </xf>
    <xf numFmtId="2" fontId="7" fillId="0" borderId="10" xfId="65" applyNumberFormat="1" applyFont="1" applyFill="1" applyBorder="1" applyAlignment="1" applyProtection="1">
      <alignment horizontal="center" vertical="center"/>
    </xf>
    <xf numFmtId="165" fontId="7" fillId="0" borderId="2" xfId="65" applyNumberFormat="1" applyFont="1" applyFill="1" applyBorder="1" applyAlignment="1" applyProtection="1">
      <alignment horizontal="left" vertical="center" wrapText="1"/>
    </xf>
    <xf numFmtId="1" fontId="7" fillId="0" borderId="2" xfId="65" applyNumberFormat="1" applyFont="1" applyFill="1" applyBorder="1" applyAlignment="1" applyProtection="1">
      <alignment horizontal="center" vertical="center" wrapText="1"/>
    </xf>
    <xf numFmtId="4" fontId="7" fillId="0" borderId="2" xfId="65" applyNumberFormat="1" applyFont="1" applyFill="1" applyBorder="1" applyAlignment="1">
      <alignment horizontal="center" vertical="center"/>
    </xf>
    <xf numFmtId="0" fontId="7" fillId="0" borderId="2" xfId="65" applyNumberFormat="1" applyFont="1" applyFill="1" applyBorder="1" applyAlignment="1" applyProtection="1">
      <alignment horizontal="center" vertical="center"/>
    </xf>
    <xf numFmtId="165" fontId="7" fillId="0" borderId="10" xfId="65" applyNumberFormat="1" applyFont="1" applyFill="1" applyBorder="1" applyAlignment="1" applyProtection="1">
      <alignment horizontal="left" vertical="center"/>
    </xf>
    <xf numFmtId="0" fontId="7" fillId="0" borderId="2" xfId="65" applyNumberFormat="1" applyFont="1" applyFill="1" applyBorder="1" applyAlignment="1" applyProtection="1">
      <alignment vertical="center"/>
    </xf>
    <xf numFmtId="165" fontId="7" fillId="0" borderId="10" xfId="65" applyNumberFormat="1" applyFont="1" applyFill="1" applyBorder="1" applyAlignment="1" applyProtection="1">
      <alignment vertical="center" wrapText="1"/>
    </xf>
    <xf numFmtId="3" fontId="7" fillId="0" borderId="2" xfId="65" applyNumberFormat="1" applyFont="1" applyFill="1" applyBorder="1" applyAlignment="1" applyProtection="1">
      <alignment horizontal="center" vertical="center"/>
    </xf>
    <xf numFmtId="165" fontId="7" fillId="0" borderId="2" xfId="65" applyNumberFormat="1" applyFont="1" applyFill="1" applyBorder="1" applyAlignment="1" applyProtection="1">
      <alignment horizontal="left" vertical="center"/>
    </xf>
    <xf numFmtId="4" fontId="7" fillId="0" borderId="10" xfId="65" applyNumberFormat="1" applyFont="1" applyFill="1" applyBorder="1" applyAlignment="1">
      <alignment horizontal="center" vertical="center"/>
    </xf>
    <xf numFmtId="3" fontId="7" fillId="0" borderId="2" xfId="65" applyNumberFormat="1" applyFont="1" applyFill="1" applyBorder="1" applyAlignment="1" applyProtection="1">
      <alignment horizontal="center" vertical="center" wrapText="1"/>
    </xf>
    <xf numFmtId="165" fontId="7" fillId="0" borderId="0" xfId="65" applyNumberFormat="1" applyFont="1" applyFill="1" applyBorder="1" applyAlignment="1" applyProtection="1">
      <alignment horizontal="left" vertical="center" wrapText="1"/>
    </xf>
    <xf numFmtId="4" fontId="7" fillId="0" borderId="2" xfId="65" applyNumberFormat="1" applyFont="1" applyFill="1" applyBorder="1" applyAlignment="1" applyProtection="1">
      <alignment vertical="center"/>
    </xf>
    <xf numFmtId="4" fontId="7" fillId="0" borderId="10" xfId="65" applyNumberFormat="1" applyFont="1" applyFill="1" applyBorder="1" applyAlignment="1" applyProtection="1">
      <alignment horizontal="center" vertical="center" wrapText="1"/>
    </xf>
    <xf numFmtId="165" fontId="7" fillId="0" borderId="2" xfId="66" applyNumberFormat="1" applyFont="1" applyFill="1" applyBorder="1" applyAlignment="1" applyProtection="1">
      <alignment horizontal="left" vertical="center" wrapText="1"/>
    </xf>
    <xf numFmtId="1" fontId="7" fillId="0" borderId="2" xfId="65" applyNumberFormat="1" applyFont="1" applyFill="1" applyBorder="1" applyAlignment="1" applyProtection="1">
      <alignment vertical="center"/>
    </xf>
    <xf numFmtId="4" fontId="7" fillId="0" borderId="0" xfId="65" applyNumberFormat="1" applyFont="1" applyFill="1" applyAlignment="1">
      <alignment vertical="center"/>
    </xf>
    <xf numFmtId="167" fontId="7" fillId="0" borderId="2" xfId="65" applyNumberFormat="1" applyFont="1" applyFill="1" applyBorder="1" applyAlignment="1" applyProtection="1">
      <alignment vertical="center"/>
    </xf>
    <xf numFmtId="0" fontId="20" fillId="0" borderId="2" xfId="65" quotePrefix="1" applyFont="1" applyFill="1" applyBorder="1" applyAlignment="1">
      <alignment horizontal="center" vertical="center"/>
    </xf>
    <xf numFmtId="1" fontId="20" fillId="0" borderId="2" xfId="65" applyNumberFormat="1" applyFont="1" applyFill="1" applyBorder="1" applyAlignment="1">
      <alignment horizontal="center" vertical="center"/>
    </xf>
    <xf numFmtId="4" fontId="20" fillId="0" borderId="2" xfId="65" applyNumberFormat="1" applyFont="1" applyFill="1" applyBorder="1" applyAlignment="1">
      <alignment horizontal="center" vertical="center"/>
    </xf>
    <xf numFmtId="4" fontId="20" fillId="0" borderId="2" xfId="65" quotePrefix="1" applyNumberFormat="1" applyFont="1" applyFill="1" applyBorder="1" applyAlignment="1">
      <alignment horizontal="center" vertical="center"/>
    </xf>
    <xf numFmtId="4" fontId="20" fillId="0" borderId="2" xfId="65" applyNumberFormat="1" applyFont="1" applyFill="1" applyBorder="1" applyAlignment="1" applyProtection="1">
      <alignment horizontal="center" vertical="center"/>
    </xf>
    <xf numFmtId="2" fontId="20" fillId="0" borderId="2" xfId="65" applyNumberFormat="1" applyFont="1" applyFill="1" applyBorder="1" applyAlignment="1">
      <alignment horizontal="center" vertical="center"/>
    </xf>
    <xf numFmtId="0" fontId="7" fillId="0" borderId="2" xfId="65" applyFont="1" applyFill="1" applyBorder="1" applyAlignment="1">
      <alignment horizontal="center" vertical="center"/>
    </xf>
    <xf numFmtId="1" fontId="15" fillId="0" borderId="2" xfId="65" applyNumberFormat="1" applyFont="1" applyFill="1" applyBorder="1" applyAlignment="1">
      <alignment horizontal="center" vertical="center"/>
    </xf>
    <xf numFmtId="0" fontId="20" fillId="0" borderId="3" xfId="65" quotePrefix="1" applyFont="1" applyFill="1" applyBorder="1" applyAlignment="1">
      <alignment horizontal="center" vertical="center"/>
    </xf>
    <xf numFmtId="0" fontId="21" fillId="0" borderId="0" xfId="65" applyFont="1" applyFill="1" applyAlignment="1">
      <alignment vertical="center"/>
    </xf>
    <xf numFmtId="0" fontId="20" fillId="0" borderId="0" xfId="65" applyFont="1" applyFill="1" applyAlignment="1">
      <alignment vertical="center"/>
    </xf>
    <xf numFmtId="4" fontId="13" fillId="0" borderId="9" xfId="68" applyNumberFormat="1" applyFont="1" applyFill="1" applyBorder="1" applyAlignment="1" applyProtection="1">
      <alignment horizontal="center" vertical="center"/>
      <protection locked="0"/>
    </xf>
    <xf numFmtId="4" fontId="13" fillId="0" borderId="8" xfId="68" applyNumberFormat="1" applyFont="1" applyFill="1" applyBorder="1" applyAlignment="1" applyProtection="1">
      <alignment horizontal="center" vertical="center"/>
      <protection locked="0"/>
    </xf>
    <xf numFmtId="4" fontId="13" fillId="0" borderId="7" xfId="68" applyNumberFormat="1" applyFont="1" applyFill="1" applyBorder="1" applyAlignment="1" applyProtection="1">
      <alignment horizontal="center" vertical="center"/>
      <protection locked="0"/>
    </xf>
    <xf numFmtId="0" fontId="17" fillId="0" borderId="0" xfId="65" applyFont="1" applyFill="1" applyAlignment="1">
      <alignment vertical="center"/>
    </xf>
    <xf numFmtId="4" fontId="17" fillId="0" borderId="0" xfId="65" applyNumberFormat="1" applyFont="1" applyFill="1" applyAlignment="1" applyProtection="1">
      <alignment vertical="center"/>
    </xf>
    <xf numFmtId="4" fontId="17" fillId="0" borderId="0" xfId="65" applyNumberFormat="1" applyFont="1" applyFill="1" applyAlignment="1">
      <alignment vertical="center"/>
    </xf>
    <xf numFmtId="0" fontId="15" fillId="0" borderId="0" xfId="65" applyFont="1" applyFill="1" applyAlignment="1">
      <alignment vertical="center"/>
    </xf>
    <xf numFmtId="0" fontId="15" fillId="0" borderId="0" xfId="65" applyFont="1" applyFill="1" applyBorder="1" applyAlignment="1">
      <alignment horizontal="left" vertical="center"/>
    </xf>
    <xf numFmtId="4" fontId="15" fillId="0" borderId="0" xfId="65" applyNumberFormat="1" applyFont="1" applyFill="1" applyBorder="1" applyAlignment="1" applyProtection="1">
      <alignment horizontal="left" vertical="center"/>
    </xf>
    <xf numFmtId="4" fontId="17" fillId="0" borderId="0" xfId="65" applyNumberFormat="1" applyFont="1" applyFill="1" applyBorder="1" applyAlignment="1" applyProtection="1">
      <alignment horizontal="left" vertical="center"/>
    </xf>
    <xf numFmtId="0" fontId="17" fillId="0" borderId="0" xfId="65" applyFont="1" applyFill="1" applyAlignment="1">
      <alignment horizontal="center" vertical="center"/>
    </xf>
    <xf numFmtId="164" fontId="17" fillId="0" borderId="0" xfId="65" applyNumberFormat="1" applyFont="1" applyFill="1" applyAlignment="1" applyProtection="1">
      <alignment vertical="center"/>
    </xf>
    <xf numFmtId="1" fontId="4" fillId="0" borderId="0" xfId="66" applyNumberFormat="1" applyFont="1" applyFill="1" applyAlignment="1">
      <alignment horizontal="left" vertical="center"/>
    </xf>
    <xf numFmtId="0" fontId="4" fillId="0" borderId="0" xfId="66" applyFont="1" applyFill="1" applyAlignment="1">
      <alignment horizontal="left" vertical="center"/>
    </xf>
    <xf numFmtId="4" fontId="65" fillId="0" borderId="0" xfId="69" applyNumberFormat="1" applyFont="1" applyFill="1" applyAlignment="1">
      <alignment horizontal="left" vertical="center"/>
    </xf>
    <xf numFmtId="2" fontId="22" fillId="0" borderId="10" xfId="65" applyNumberFormat="1" applyFont="1" applyFill="1" applyBorder="1" applyAlignment="1" applyProtection="1">
      <alignment horizontal="left" vertical="center"/>
    </xf>
    <xf numFmtId="4" fontId="30" fillId="0" borderId="0" xfId="65" applyNumberFormat="1" applyFont="1" applyFill="1" applyAlignment="1">
      <alignment vertical="center"/>
    </xf>
    <xf numFmtId="0" fontId="2" fillId="0" borderId="0" xfId="65" applyFont="1" applyFill="1"/>
    <xf numFmtId="0" fontId="18" fillId="0" borderId="0" xfId="65" applyFont="1" applyFill="1"/>
    <xf numFmtId="4" fontId="18" fillId="0" borderId="0" xfId="65" applyNumberFormat="1" applyFont="1" applyFill="1"/>
    <xf numFmtId="165" fontId="7" fillId="0" borderId="3" xfId="65" applyNumberFormat="1" applyFont="1" applyFill="1" applyBorder="1" applyAlignment="1" applyProtection="1">
      <alignment horizontal="left"/>
    </xf>
    <xf numFmtId="165" fontId="7" fillId="0" borderId="3" xfId="65" applyNumberFormat="1" applyFont="1" applyFill="1" applyBorder="1" applyAlignment="1" applyProtection="1">
      <alignment horizontal="center"/>
    </xf>
    <xf numFmtId="4" fontId="7" fillId="0" borderId="2" xfId="65" applyNumberFormat="1" applyFont="1" applyFill="1" applyBorder="1" applyAlignment="1" applyProtection="1">
      <alignment horizontal="center"/>
    </xf>
    <xf numFmtId="165" fontId="7" fillId="0" borderId="2" xfId="65" applyNumberFormat="1" applyFont="1" applyFill="1" applyBorder="1" applyAlignment="1" applyProtection="1">
      <alignment horizontal="left" wrapText="1"/>
    </xf>
    <xf numFmtId="1" fontId="7" fillId="0" borderId="2" xfId="65" applyNumberFormat="1" applyFont="1" applyFill="1" applyBorder="1" applyAlignment="1" applyProtection="1">
      <alignment horizontal="center" vertical="top" wrapText="1"/>
    </xf>
    <xf numFmtId="4" fontId="7" fillId="0" borderId="2" xfId="65" applyNumberFormat="1" applyFont="1" applyFill="1" applyBorder="1" applyAlignment="1">
      <alignment horizontal="center"/>
    </xf>
    <xf numFmtId="165" fontId="7" fillId="0" borderId="2" xfId="65" applyNumberFormat="1" applyFont="1" applyFill="1" applyBorder="1" applyAlignment="1" applyProtection="1">
      <alignment horizontal="left" vertical="top" wrapText="1"/>
    </xf>
    <xf numFmtId="165" fontId="7" fillId="0" borderId="10" xfId="65" applyNumberFormat="1" applyFont="1" applyFill="1" applyBorder="1" applyAlignment="1" applyProtection="1">
      <alignment horizontal="left" vertical="top"/>
    </xf>
    <xf numFmtId="165" fontId="7" fillId="0" borderId="10" xfId="65" applyNumberFormat="1" applyFont="1" applyFill="1" applyBorder="1" applyAlignment="1" applyProtection="1">
      <alignment vertical="top" wrapText="1"/>
    </xf>
    <xf numFmtId="165" fontId="7" fillId="0" borderId="2" xfId="65" applyNumberFormat="1" applyFont="1" applyFill="1" applyBorder="1" applyAlignment="1" applyProtection="1">
      <alignment horizontal="left" vertical="top"/>
    </xf>
    <xf numFmtId="4" fontId="7" fillId="0" borderId="10" xfId="65" applyNumberFormat="1" applyFont="1" applyFill="1" applyBorder="1" applyAlignment="1">
      <alignment horizontal="center"/>
    </xf>
    <xf numFmtId="4" fontId="7" fillId="0" borderId="0" xfId="65" applyNumberFormat="1" applyFont="1" applyFill="1"/>
    <xf numFmtId="0" fontId="7" fillId="0" borderId="2" xfId="65" applyFont="1" applyFill="1" applyBorder="1" applyAlignment="1">
      <alignment horizontal="center"/>
    </xf>
    <xf numFmtId="0" fontId="21" fillId="0" borderId="0" xfId="65" applyFont="1" applyFill="1"/>
    <xf numFmtId="0" fontId="20" fillId="0" borderId="0" xfId="65" applyFont="1" applyFill="1"/>
    <xf numFmtId="0" fontId="17" fillId="0" borderId="0" xfId="65" applyFont="1" applyFill="1"/>
    <xf numFmtId="4" fontId="17" fillId="0" borderId="0" xfId="65" applyNumberFormat="1" applyFont="1" applyFill="1" applyProtection="1"/>
    <xf numFmtId="4" fontId="17" fillId="0" borderId="0" xfId="65" applyNumberFormat="1" applyFont="1" applyFill="1"/>
    <xf numFmtId="0" fontId="15" fillId="0" borderId="0" xfId="65" applyFont="1" applyFill="1"/>
    <xf numFmtId="0" fontId="15" fillId="0" borderId="0" xfId="65" applyFont="1" applyFill="1" applyBorder="1" applyAlignment="1">
      <alignment horizontal="left"/>
    </xf>
    <xf numFmtId="4" fontId="15" fillId="0" borderId="0" xfId="65" applyNumberFormat="1" applyFont="1" applyFill="1" applyBorder="1" applyAlignment="1" applyProtection="1">
      <alignment horizontal="left"/>
    </xf>
    <xf numFmtId="4" fontId="17" fillId="0" borderId="0" xfId="65" applyNumberFormat="1" applyFont="1" applyFill="1" applyBorder="1" applyAlignment="1" applyProtection="1">
      <alignment horizontal="left"/>
    </xf>
    <xf numFmtId="0" fontId="17" fillId="0" borderId="0" xfId="65" applyFont="1" applyFill="1" applyAlignment="1">
      <alignment horizontal="center"/>
    </xf>
    <xf numFmtId="164" fontId="17" fillId="0" borderId="0" xfId="65" applyNumberFormat="1" applyFont="1" applyFill="1" applyProtection="1"/>
    <xf numFmtId="1" fontId="4" fillId="8" borderId="0" xfId="66" applyNumberFormat="1" applyFont="1" applyFill="1" applyAlignment="1">
      <alignment horizontal="left"/>
    </xf>
    <xf numFmtId="0" fontId="4" fillId="0" borderId="0" xfId="66" applyFont="1" applyFill="1" applyAlignment="1">
      <alignment horizontal="left"/>
    </xf>
    <xf numFmtId="4" fontId="65" fillId="0" borderId="0" xfId="69" applyNumberFormat="1" applyFont="1" applyFill="1" applyAlignment="1">
      <alignment horizontal="left"/>
    </xf>
    <xf numFmtId="4" fontId="7" fillId="0" borderId="0" xfId="32" applyNumberFormat="1" applyFont="1" applyFill="1" applyAlignment="1">
      <alignment horizontal="left" vertical="center"/>
    </xf>
    <xf numFmtId="1" fontId="7" fillId="0" borderId="10" xfId="32" applyNumberFormat="1" applyFont="1" applyFill="1" applyBorder="1" applyAlignment="1" applyProtection="1">
      <alignment horizontal="center" vertical="center"/>
    </xf>
    <xf numFmtId="165" fontId="7" fillId="0" borderId="10" xfId="33" applyNumberFormat="1" applyFont="1" applyFill="1" applyBorder="1" applyAlignment="1" applyProtection="1">
      <alignment horizontal="center" vertical="center"/>
    </xf>
    <xf numFmtId="1" fontId="4" fillId="0" borderId="0" xfId="11" applyNumberFormat="1" applyFont="1" applyFill="1" applyAlignment="1">
      <alignment horizontal="left"/>
    </xf>
    <xf numFmtId="1" fontId="4" fillId="0" borderId="0" xfId="11" applyNumberFormat="1" applyFont="1" applyAlignment="1">
      <alignment horizontal="left"/>
    </xf>
    <xf numFmtId="0" fontId="9" fillId="0" borderId="0" xfId="38" applyAlignment="1">
      <alignment vertical="center"/>
    </xf>
    <xf numFmtId="0" fontId="3" fillId="0" borderId="0" xfId="38" applyFont="1" applyAlignment="1">
      <alignment vertical="center"/>
    </xf>
    <xf numFmtId="0" fontId="9" fillId="0" borderId="0" xfId="38" applyFill="1"/>
    <xf numFmtId="0" fontId="3" fillId="0" borderId="0" xfId="38" applyFont="1" applyFill="1"/>
    <xf numFmtId="0" fontId="4" fillId="0" borderId="0" xfId="38" applyFont="1" applyFill="1"/>
    <xf numFmtId="4" fontId="4" fillId="0" borderId="0" xfId="38" applyNumberFormat="1" applyFont="1" applyFill="1" applyBorder="1" applyAlignment="1" applyProtection="1">
      <alignment horizontal="left"/>
    </xf>
    <xf numFmtId="176" fontId="4" fillId="0" borderId="0" xfId="38" applyNumberFormat="1" applyFont="1" applyFill="1" applyProtection="1"/>
    <xf numFmtId="0" fontId="0" fillId="0" borderId="0" xfId="0" applyFill="1"/>
    <xf numFmtId="0" fontId="4" fillId="0" borderId="0" xfId="0" quotePrefix="1" applyFont="1" applyFill="1" applyAlignment="1">
      <alignment horizontal="left"/>
    </xf>
    <xf numFmtId="4" fontId="7" fillId="0" borderId="2" xfId="32" applyNumberFormat="1" applyFont="1" applyFill="1" applyBorder="1"/>
    <xf numFmtId="0" fontId="7" fillId="0" borderId="2" xfId="38" applyFont="1" applyFill="1" applyBorder="1" applyAlignment="1">
      <alignment horizontal="center" vertical="center"/>
    </xf>
    <xf numFmtId="4" fontId="7" fillId="0" borderId="10" xfId="38" applyNumberFormat="1" applyFont="1" applyFill="1" applyBorder="1" applyAlignment="1" applyProtection="1">
      <alignment horizontal="center" vertical="center" wrapText="1"/>
    </xf>
    <xf numFmtId="4" fontId="7" fillId="0" borderId="2" xfId="38" applyNumberFormat="1" applyFont="1" applyFill="1" applyBorder="1" applyAlignment="1" applyProtection="1">
      <alignment horizontal="center" vertical="center" wrapText="1"/>
    </xf>
    <xf numFmtId="4" fontId="18" fillId="0" borderId="2" xfId="32" applyNumberFormat="1" applyFont="1" applyFill="1" applyBorder="1"/>
    <xf numFmtId="0" fontId="9" fillId="0" borderId="0" xfId="44" applyFont="1"/>
    <xf numFmtId="0" fontId="9" fillId="0" borderId="0" xfId="44" applyFont="1" applyFill="1"/>
    <xf numFmtId="0" fontId="4" fillId="0" borderId="0" xfId="44" applyFont="1" applyFill="1"/>
    <xf numFmtId="0" fontId="9" fillId="0" borderId="0" xfId="39" applyFont="1"/>
    <xf numFmtId="0" fontId="67" fillId="0" borderId="0" xfId="44" applyFont="1"/>
    <xf numFmtId="0" fontId="68" fillId="0" borderId="0" xfId="38" applyFont="1"/>
    <xf numFmtId="0" fontId="6" fillId="0" borderId="3" xfId="38" applyFont="1" applyBorder="1" applyAlignment="1">
      <alignment horizontal="center" vertical="center"/>
    </xf>
    <xf numFmtId="165" fontId="69" fillId="0" borderId="2" xfId="38" applyNumberFormat="1" applyFont="1" applyBorder="1" applyAlignment="1" applyProtection="1">
      <alignment horizontal="left" wrapText="1"/>
    </xf>
    <xf numFmtId="0" fontId="2" fillId="0" borderId="0" xfId="38" applyFont="1"/>
    <xf numFmtId="165" fontId="15" fillId="0" borderId="2" xfId="38" applyNumberFormat="1" applyFont="1" applyBorder="1" applyAlignment="1" applyProtection="1">
      <alignment horizontal="left" vertical="top" wrapText="1"/>
    </xf>
    <xf numFmtId="165" fontId="15" fillId="0" borderId="2" xfId="38" quotePrefix="1" applyNumberFormat="1" applyFont="1" applyBorder="1" applyAlignment="1" applyProtection="1">
      <alignment horizontal="center" vertical="top" wrapText="1"/>
    </xf>
    <xf numFmtId="165" fontId="7" fillId="0" borderId="2" xfId="38" applyNumberFormat="1" applyFont="1" applyBorder="1" applyAlignment="1" applyProtection="1">
      <alignment horizontal="center" vertical="top"/>
    </xf>
    <xf numFmtId="165" fontId="25" fillId="0" borderId="2" xfId="38" applyNumberFormat="1" applyFont="1" applyBorder="1" applyAlignment="1" applyProtection="1">
      <alignment horizontal="left" wrapText="1"/>
    </xf>
    <xf numFmtId="0" fontId="16" fillId="0" borderId="0" xfId="38" applyFont="1"/>
    <xf numFmtId="165" fontId="7" fillId="0" borderId="2" xfId="38" applyNumberFormat="1" applyFont="1" applyBorder="1" applyAlignment="1" applyProtection="1">
      <alignment horizontal="center" vertical="top" wrapText="1"/>
    </xf>
    <xf numFmtId="165" fontId="7" fillId="0" borderId="2" xfId="38" applyNumberFormat="1" applyFont="1" applyBorder="1" applyAlignment="1" applyProtection="1">
      <alignment horizontal="left" vertical="top" wrapText="1"/>
    </xf>
    <xf numFmtId="165" fontId="7" fillId="0" borderId="2" xfId="38" quotePrefix="1" applyNumberFormat="1" applyFont="1" applyBorder="1" applyAlignment="1" applyProtection="1">
      <alignment horizontal="center" vertical="top" wrapText="1"/>
    </xf>
    <xf numFmtId="165" fontId="16" fillId="0" borderId="2" xfId="38" applyNumberFormat="1" applyFont="1" applyBorder="1" applyAlignment="1" applyProtection="1">
      <alignment horizontal="left" wrapText="1"/>
    </xf>
    <xf numFmtId="165" fontId="25" fillId="0" borderId="2" xfId="38" applyNumberFormat="1" applyFont="1" applyBorder="1" applyAlignment="1" applyProtection="1">
      <alignment horizontal="left" vertical="top" wrapText="1"/>
    </xf>
    <xf numFmtId="0" fontId="18" fillId="0" borderId="2" xfId="0" applyFont="1" applyFill="1" applyBorder="1"/>
    <xf numFmtId="165" fontId="70" fillId="0" borderId="2" xfId="38" quotePrefix="1" applyNumberFormat="1" applyFont="1" applyBorder="1" applyAlignment="1" applyProtection="1">
      <alignment horizontal="center" vertical="top" wrapText="1"/>
    </xf>
    <xf numFmtId="165" fontId="69" fillId="0" borderId="2" xfId="38" applyNumberFormat="1" applyFont="1" applyBorder="1" applyAlignment="1" applyProtection="1">
      <alignment horizontal="left" vertical="top" wrapText="1"/>
    </xf>
    <xf numFmtId="165" fontId="16" fillId="0" borderId="2" xfId="38" quotePrefix="1" applyNumberFormat="1" applyFont="1" applyBorder="1" applyAlignment="1" applyProtection="1">
      <alignment horizontal="center" vertical="top" wrapText="1"/>
    </xf>
    <xf numFmtId="165" fontId="16" fillId="0" borderId="2" xfId="38" applyNumberFormat="1" applyFont="1" applyBorder="1" applyAlignment="1" applyProtection="1">
      <alignment horizontal="left" vertical="top" wrapText="1"/>
    </xf>
    <xf numFmtId="165" fontId="7" fillId="0" borderId="2" xfId="38" applyNumberFormat="1" applyFont="1" applyBorder="1" applyAlignment="1" applyProtection="1">
      <alignment horizontal="center" vertical="top"/>
    </xf>
    <xf numFmtId="0" fontId="7" fillId="0" borderId="2" xfId="0" applyFont="1" applyFill="1" applyBorder="1"/>
    <xf numFmtId="4" fontId="4" fillId="0" borderId="0" xfId="32" applyNumberFormat="1" applyFont="1" applyFill="1" applyAlignment="1" applyProtection="1">
      <alignment vertical="center"/>
    </xf>
    <xf numFmtId="4" fontId="3" fillId="0" borderId="0" xfId="32" applyNumberFormat="1" applyFont="1" applyFill="1" applyAlignment="1">
      <alignment vertical="center"/>
    </xf>
    <xf numFmtId="2" fontId="3" fillId="0" borderId="0" xfId="32" applyNumberFormat="1" applyFont="1" applyFill="1" applyAlignment="1">
      <alignment vertical="center"/>
    </xf>
    <xf numFmtId="4" fontId="4" fillId="0" borderId="0" xfId="32" applyNumberFormat="1" applyFont="1" applyFill="1" applyAlignment="1">
      <alignment vertical="center"/>
    </xf>
    <xf numFmtId="0" fontId="5" fillId="0" borderId="0" xfId="32" applyFont="1" applyFill="1" applyAlignment="1">
      <alignment vertical="center"/>
    </xf>
    <xf numFmtId="164" fontId="4" fillId="0" borderId="0" xfId="32" applyNumberFormat="1" applyFont="1" applyFill="1" applyAlignment="1" applyProtection="1">
      <alignment vertical="center"/>
    </xf>
    <xf numFmtId="2" fontId="4" fillId="0" borderId="0" xfId="32" applyNumberFormat="1" applyFont="1" applyFill="1" applyAlignment="1">
      <alignment vertical="center"/>
    </xf>
    <xf numFmtId="0" fontId="55" fillId="0" borderId="0" xfId="32" applyFont="1" applyFill="1" applyAlignment="1">
      <alignment vertical="center"/>
    </xf>
    <xf numFmtId="4" fontId="4" fillId="0" borderId="0" xfId="32" applyNumberFormat="1" applyFont="1" applyFill="1" applyBorder="1" applyAlignment="1" applyProtection="1">
      <alignment horizontal="left" vertical="center"/>
    </xf>
    <xf numFmtId="4" fontId="5" fillId="0" borderId="0" xfId="32" applyNumberFormat="1" applyFont="1" applyFill="1" applyBorder="1" applyAlignment="1" applyProtection="1">
      <alignment horizontal="left" vertical="center"/>
    </xf>
    <xf numFmtId="0" fontId="5" fillId="0" borderId="0" xfId="32" applyFont="1" applyFill="1" applyBorder="1" applyAlignment="1">
      <alignment horizontal="left" vertical="center"/>
    </xf>
    <xf numFmtId="0" fontId="6" fillId="0" borderId="1" xfId="32" applyFont="1" applyFill="1" applyBorder="1" applyAlignment="1">
      <alignment horizontal="center" vertical="center"/>
    </xf>
    <xf numFmtId="4" fontId="6" fillId="0" borderId="1" xfId="32" applyNumberFormat="1" applyFont="1" applyFill="1" applyBorder="1" applyAlignment="1">
      <alignment horizontal="center" vertical="center" wrapText="1"/>
    </xf>
    <xf numFmtId="4" fontId="6" fillId="0" borderId="4" xfId="32" applyNumberFormat="1" applyFont="1" applyFill="1" applyBorder="1" applyAlignment="1">
      <alignment horizontal="centerContinuous" vertical="center"/>
    </xf>
    <xf numFmtId="2" fontId="6" fillId="0" borderId="5" xfId="32" applyNumberFormat="1" applyFont="1" applyFill="1" applyBorder="1" applyAlignment="1">
      <alignment horizontal="centerContinuous" vertical="center"/>
    </xf>
    <xf numFmtId="4" fontId="6" fillId="0" borderId="6" xfId="32" applyNumberFormat="1" applyFont="1" applyFill="1" applyBorder="1" applyAlignment="1">
      <alignment horizontal="centerContinuous" vertical="center"/>
    </xf>
    <xf numFmtId="4" fontId="6" fillId="0" borderId="4" xfId="32" applyNumberFormat="1" applyFont="1" applyFill="1" applyBorder="1" applyAlignment="1" applyProtection="1">
      <alignment horizontal="centerContinuous" vertical="center"/>
    </xf>
    <xf numFmtId="4" fontId="6" fillId="0" borderId="6" xfId="32" applyNumberFormat="1" applyFont="1" applyFill="1" applyBorder="1" applyAlignment="1" applyProtection="1">
      <alignment horizontal="centerContinuous" vertical="center"/>
    </xf>
    <xf numFmtId="4" fontId="6" fillId="0" borderId="1" xfId="32" applyNumberFormat="1" applyFont="1" applyFill="1" applyBorder="1" applyAlignment="1" applyProtection="1">
      <alignment horizontal="center" vertical="center"/>
    </xf>
    <xf numFmtId="4" fontId="6" fillId="0" borderId="5" xfId="32" applyNumberFormat="1" applyFont="1" applyFill="1" applyBorder="1" applyAlignment="1">
      <alignment horizontal="centerContinuous" vertical="center"/>
    </xf>
    <xf numFmtId="4" fontId="6" fillId="0" borderId="1" xfId="32" applyNumberFormat="1" applyFont="1" applyFill="1" applyBorder="1" applyAlignment="1">
      <alignment vertical="center"/>
    </xf>
    <xf numFmtId="0" fontId="6" fillId="0" borderId="1" xfId="32" applyFont="1" applyFill="1" applyBorder="1" applyAlignment="1">
      <alignment vertical="center"/>
    </xf>
    <xf numFmtId="0" fontId="6" fillId="0" borderId="2" xfId="32" applyFont="1" applyFill="1" applyBorder="1" applyAlignment="1">
      <alignment horizontal="center" vertical="center"/>
    </xf>
    <xf numFmtId="0" fontId="6" fillId="0" borderId="2" xfId="32" applyFont="1" applyFill="1" applyBorder="1" applyAlignment="1">
      <alignment vertical="center"/>
    </xf>
    <xf numFmtId="4" fontId="6" fillId="0" borderId="2" xfId="32" applyNumberFormat="1" applyFont="1" applyFill="1" applyBorder="1" applyAlignment="1">
      <alignment vertical="center"/>
    </xf>
    <xf numFmtId="4" fontId="6" fillId="0" borderId="7" xfId="32" applyNumberFormat="1" applyFont="1" applyFill="1" applyBorder="1" applyAlignment="1">
      <alignment horizontal="center" vertical="center"/>
    </xf>
    <xf numFmtId="2" fontId="6" fillId="0" borderId="8" xfId="32" applyNumberFormat="1" applyFont="1" applyFill="1" applyBorder="1" applyAlignment="1">
      <alignment horizontal="center" vertical="center"/>
    </xf>
    <xf numFmtId="4" fontId="6" fillId="0" borderId="9" xfId="32" applyNumberFormat="1" applyFont="1" applyFill="1" applyBorder="1" applyAlignment="1" applyProtection="1">
      <alignment horizontal="center" vertical="center"/>
    </xf>
    <xf numFmtId="4" fontId="6" fillId="0" borderId="0" xfId="32" applyNumberFormat="1" applyFont="1" applyFill="1" applyBorder="1" applyAlignment="1" applyProtection="1">
      <alignment horizontal="centerContinuous" vertical="center"/>
    </xf>
    <xf numFmtId="4" fontId="6" fillId="0" borderId="10" xfId="32" applyNumberFormat="1" applyFont="1" applyFill="1" applyBorder="1" applyAlignment="1" applyProtection="1">
      <alignment horizontal="centerContinuous" vertical="center"/>
    </xf>
    <xf numFmtId="4" fontId="6" fillId="0" borderId="2" xfId="32" applyNumberFormat="1" applyFont="1" applyFill="1" applyBorder="1" applyAlignment="1" applyProtection="1">
      <alignment horizontal="center" vertical="center"/>
    </xf>
    <xf numFmtId="4" fontId="6" fillId="0" borderId="8" xfId="32" applyNumberFormat="1" applyFont="1" applyFill="1" applyBorder="1" applyAlignment="1">
      <alignment horizontal="center" vertical="center"/>
    </xf>
    <xf numFmtId="4" fontId="6" fillId="0" borderId="0" xfId="32" applyNumberFormat="1" applyFont="1" applyFill="1" applyBorder="1" applyAlignment="1">
      <alignment horizontal="center" vertical="center"/>
    </xf>
    <xf numFmtId="4" fontId="6" fillId="0" borderId="2" xfId="32" applyNumberFormat="1" applyFont="1" applyFill="1" applyBorder="1" applyAlignment="1">
      <alignment horizontal="center" vertical="center"/>
    </xf>
    <xf numFmtId="0" fontId="6" fillId="0" borderId="2" xfId="32" quotePrefix="1" applyFont="1" applyFill="1" applyBorder="1" applyAlignment="1">
      <alignment horizontal="center" vertical="center"/>
    </xf>
    <xf numFmtId="4" fontId="6" fillId="0" borderId="1" xfId="32" applyNumberFormat="1" applyFont="1" applyFill="1" applyBorder="1" applyAlignment="1">
      <alignment horizontal="center" vertical="center"/>
    </xf>
    <xf numFmtId="2" fontId="6" fillId="0" borderId="1" xfId="32" applyNumberFormat="1" applyFont="1" applyFill="1" applyBorder="1" applyAlignment="1">
      <alignment horizontal="center" vertical="center"/>
    </xf>
    <xf numFmtId="4" fontId="6" fillId="0" borderId="2" xfId="32" quotePrefix="1" applyNumberFormat="1" applyFont="1" applyFill="1" applyBorder="1" applyAlignment="1" applyProtection="1">
      <alignment horizontal="center" vertical="center"/>
    </xf>
    <xf numFmtId="2" fontId="6" fillId="0" borderId="2" xfId="32" applyNumberFormat="1" applyFont="1" applyFill="1" applyBorder="1" applyAlignment="1">
      <alignment horizontal="center" vertical="center"/>
    </xf>
    <xf numFmtId="2" fontId="6" fillId="0" borderId="2" xfId="32" applyNumberFormat="1" applyFont="1" applyFill="1" applyBorder="1" applyAlignment="1">
      <alignment vertical="center"/>
    </xf>
    <xf numFmtId="4" fontId="6" fillId="0" borderId="2" xfId="32" applyNumberFormat="1" applyFont="1" applyFill="1" applyBorder="1" applyAlignment="1" applyProtection="1">
      <alignment vertical="center"/>
    </xf>
    <xf numFmtId="4" fontId="6" fillId="0" borderId="13" xfId="32" applyNumberFormat="1" applyFont="1" applyFill="1" applyBorder="1" applyAlignment="1">
      <alignment vertical="center"/>
    </xf>
    <xf numFmtId="0" fontId="6" fillId="0" borderId="13" xfId="32" applyFont="1" applyFill="1" applyBorder="1" applyAlignment="1">
      <alignment horizontal="center" vertical="center"/>
    </xf>
    <xf numFmtId="0" fontId="16" fillId="0" borderId="0" xfId="32" applyFont="1" applyFill="1" applyAlignment="1">
      <alignment vertical="center"/>
    </xf>
    <xf numFmtId="0" fontId="16" fillId="0" borderId="14" xfId="32" applyFont="1" applyFill="1" applyBorder="1" applyAlignment="1">
      <alignment vertical="center"/>
    </xf>
    <xf numFmtId="0" fontId="16" fillId="0" borderId="2" xfId="32" applyFont="1" applyFill="1" applyBorder="1" applyAlignment="1">
      <alignment vertical="center"/>
    </xf>
    <xf numFmtId="0" fontId="6" fillId="0" borderId="3" xfId="32" applyFont="1" applyFill="1" applyBorder="1" applyAlignment="1">
      <alignment horizontal="center" vertical="center"/>
    </xf>
    <xf numFmtId="4" fontId="6" fillId="0" borderId="3" xfId="32" applyNumberFormat="1" applyFont="1" applyFill="1" applyBorder="1" applyAlignment="1">
      <alignment horizontal="center" vertical="center"/>
    </xf>
    <xf numFmtId="2" fontId="6" fillId="0" borderId="3" xfId="32" applyNumberFormat="1" applyFont="1" applyFill="1" applyBorder="1" applyAlignment="1">
      <alignment horizontal="center" vertical="center"/>
    </xf>
    <xf numFmtId="4" fontId="6" fillId="0" borderId="3" xfId="32" applyNumberFormat="1" applyFont="1" applyFill="1" applyBorder="1" applyAlignment="1" applyProtection="1">
      <alignment horizontal="center" vertical="center"/>
    </xf>
    <xf numFmtId="4" fontId="6" fillId="0" borderId="3" xfId="32" quotePrefix="1" applyNumberFormat="1" applyFont="1" applyFill="1" applyBorder="1" applyAlignment="1">
      <alignment horizontal="center" vertical="center"/>
    </xf>
    <xf numFmtId="0" fontId="6" fillId="0" borderId="3" xfId="32" quotePrefix="1" applyFont="1" applyFill="1" applyBorder="1" applyAlignment="1">
      <alignment horizontal="center" vertical="center"/>
    </xf>
    <xf numFmtId="164" fontId="7" fillId="0" borderId="2" xfId="32" applyNumberFormat="1" applyFont="1" applyFill="1" applyBorder="1" applyAlignment="1" applyProtection="1">
      <alignment horizontal="center" vertical="center"/>
    </xf>
    <xf numFmtId="4" fontId="5" fillId="0" borderId="0" xfId="32" applyNumberFormat="1" applyFont="1" applyFill="1" applyBorder="1" applyAlignment="1">
      <alignment horizontal="left" vertical="center"/>
    </xf>
    <xf numFmtId="4" fontId="18" fillId="0" borderId="2" xfId="32" applyNumberFormat="1" applyFont="1" applyFill="1" applyBorder="1" applyAlignment="1">
      <alignment vertical="center"/>
    </xf>
    <xf numFmtId="0" fontId="7" fillId="0" borderId="1" xfId="38" applyFont="1" applyBorder="1" applyAlignment="1">
      <alignment horizontal="center"/>
    </xf>
    <xf numFmtId="165" fontId="7" fillId="0" borderId="2" xfId="38" quotePrefix="1" applyNumberFormat="1" applyFont="1" applyBorder="1" applyAlignment="1" applyProtection="1">
      <alignment horizontal="center" vertical="top"/>
    </xf>
    <xf numFmtId="0" fontId="15" fillId="0" borderId="1" xfId="38" applyFont="1" applyBorder="1" applyAlignment="1">
      <alignment horizontal="left"/>
    </xf>
    <xf numFmtId="0" fontId="18" fillId="0" borderId="1" xfId="0" applyFont="1" applyFill="1" applyBorder="1"/>
    <xf numFmtId="0" fontId="18" fillId="0" borderId="3" xfId="32" quotePrefix="1" applyFont="1" applyFill="1" applyBorder="1" applyAlignment="1">
      <alignment horizontal="center" vertical="center"/>
    </xf>
    <xf numFmtId="4" fontId="45" fillId="0" borderId="0" xfId="11" applyNumberFormat="1" applyFont="1" applyFill="1" applyAlignment="1">
      <alignment horizontal="left" vertical="center"/>
    </xf>
    <xf numFmtId="4" fontId="7" fillId="0" borderId="2" xfId="38" applyNumberFormat="1" applyFont="1" applyFill="1" applyBorder="1" applyAlignment="1" applyProtection="1">
      <alignment horizontal="center"/>
    </xf>
    <xf numFmtId="165" fontId="7" fillId="0" borderId="2" xfId="38" applyNumberFormat="1" applyFont="1" applyBorder="1" applyAlignment="1" applyProtection="1">
      <alignment horizontal="left" wrapText="1"/>
    </xf>
    <xf numFmtId="0" fontId="7" fillId="0" borderId="2" xfId="0" applyFont="1" applyFill="1" applyBorder="1" applyAlignment="1">
      <alignment vertical="center"/>
    </xf>
    <xf numFmtId="4" fontId="7" fillId="0" borderId="2" xfId="0" applyNumberFormat="1" applyFont="1" applyFill="1" applyBorder="1" applyAlignment="1" applyProtection="1">
      <alignment horizontal="center" vertical="center"/>
    </xf>
    <xf numFmtId="4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71" fontId="7" fillId="0" borderId="3" xfId="37" applyNumberFormat="1" applyFont="1" applyFill="1" applyBorder="1" applyAlignment="1" applyProtection="1">
      <alignment horizontal="center" vertical="center"/>
    </xf>
    <xf numFmtId="164" fontId="7" fillId="0" borderId="3" xfId="32" applyNumberFormat="1" applyFont="1" applyFill="1" applyBorder="1" applyAlignment="1" applyProtection="1">
      <alignment horizontal="center" vertical="center"/>
    </xf>
    <xf numFmtId="0" fontId="7" fillId="0" borderId="2" xfId="32" quotePrefix="1" applyFont="1" applyFill="1" applyBorder="1" applyAlignment="1">
      <alignment horizontal="center" vertical="center"/>
    </xf>
    <xf numFmtId="167" fontId="7" fillId="0" borderId="2" xfId="32" applyNumberFormat="1" applyFont="1" applyFill="1" applyBorder="1" applyAlignment="1" applyProtection="1">
      <alignment horizontal="center" vertical="center"/>
    </xf>
    <xf numFmtId="4" fontId="7" fillId="0" borderId="0" xfId="32" applyNumberFormat="1" applyFont="1" applyFill="1" applyAlignment="1">
      <alignment horizontal="center" vertical="center"/>
    </xf>
    <xf numFmtId="0" fontId="16" fillId="0" borderId="0" xfId="32" applyFont="1" applyFill="1" applyAlignment="1">
      <alignment horizontal="center" vertical="center"/>
    </xf>
    <xf numFmtId="0" fontId="16" fillId="0" borderId="14" xfId="32" applyFont="1" applyFill="1" applyBorder="1" applyAlignment="1">
      <alignment horizontal="center" vertical="center"/>
    </xf>
    <xf numFmtId="0" fontId="16" fillId="0" borderId="2" xfId="32" applyFont="1" applyFill="1" applyBorder="1" applyAlignment="1">
      <alignment horizontal="center" vertical="center"/>
    </xf>
    <xf numFmtId="4" fontId="7" fillId="0" borderId="3" xfId="32" applyNumberFormat="1" applyFont="1" applyFill="1" applyBorder="1" applyAlignment="1" applyProtection="1">
      <alignment horizontal="center" vertical="center"/>
    </xf>
    <xf numFmtId="2" fontId="7" fillId="0" borderId="3" xfId="32" applyNumberFormat="1" applyFont="1" applyFill="1" applyBorder="1" applyAlignment="1" applyProtection="1">
      <alignment horizontal="center" vertical="center"/>
    </xf>
    <xf numFmtId="0" fontId="3" fillId="0" borderId="3" xfId="32" quotePrefix="1" applyFont="1" applyFill="1" applyBorder="1" applyAlignment="1">
      <alignment horizontal="center" vertical="center"/>
    </xf>
    <xf numFmtId="4" fontId="6" fillId="0" borderId="7" xfId="29" applyNumberFormat="1" applyFont="1" applyFill="1" applyBorder="1" applyAlignment="1" applyProtection="1">
      <alignment horizontal="center" vertical="center"/>
      <protection locked="0"/>
    </xf>
    <xf numFmtId="4" fontId="6" fillId="0" borderId="8" xfId="29" applyNumberFormat="1" applyFont="1" applyFill="1" applyBorder="1" applyAlignment="1" applyProtection="1">
      <alignment horizontal="center" vertical="center"/>
      <protection locked="0"/>
    </xf>
    <xf numFmtId="4" fontId="6" fillId="0" borderId="9" xfId="29" applyNumberFormat="1" applyFont="1" applyFill="1" applyBorder="1" applyAlignment="1" applyProtection="1">
      <alignment horizontal="center" vertical="center"/>
      <protection locked="0"/>
    </xf>
    <xf numFmtId="0" fontId="7" fillId="0" borderId="2" xfId="32" applyFont="1" applyFill="1" applyBorder="1" applyAlignment="1">
      <alignment horizontal="left" vertical="center"/>
    </xf>
    <xf numFmtId="0" fontId="7" fillId="0" borderId="1" xfId="38" applyFont="1" applyBorder="1" applyAlignment="1">
      <alignment horizontal="left"/>
    </xf>
    <xf numFmtId="0" fontId="7" fillId="0" borderId="1" xfId="0" applyFont="1" applyFill="1" applyBorder="1"/>
    <xf numFmtId="0" fontId="7" fillId="0" borderId="2" xfId="32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2" xfId="61" quotePrefix="1" applyNumberFormat="1" applyFont="1" applyBorder="1" applyAlignment="1" applyProtection="1">
      <alignment horizontal="center" vertical="center" wrapText="1"/>
    </xf>
    <xf numFmtId="165" fontId="25" fillId="0" borderId="2" xfId="61" applyNumberFormat="1" applyFont="1" applyBorder="1" applyAlignment="1" applyProtection="1">
      <alignment horizontal="left" vertical="center" wrapText="1"/>
    </xf>
    <xf numFmtId="165" fontId="16" fillId="0" borderId="2" xfId="61" quotePrefix="1" applyNumberFormat="1" applyFont="1" applyBorder="1" applyAlignment="1" applyProtection="1">
      <alignment horizontal="center" vertical="center" wrapText="1"/>
    </xf>
    <xf numFmtId="165" fontId="16" fillId="0" borderId="2" xfId="61" applyNumberFormat="1" applyFont="1" applyBorder="1" applyAlignment="1" applyProtection="1">
      <alignment horizontal="left" vertical="center" wrapText="1"/>
    </xf>
    <xf numFmtId="0" fontId="7" fillId="0" borderId="2" xfId="61" applyFont="1" applyBorder="1" applyAlignment="1">
      <alignment horizontal="center" vertical="center"/>
    </xf>
    <xf numFmtId="0" fontId="7" fillId="0" borderId="2" xfId="61" applyFont="1" applyBorder="1" applyAlignment="1">
      <alignment horizontal="left" vertical="center"/>
    </xf>
    <xf numFmtId="165" fontId="7" fillId="0" borderId="2" xfId="61" quotePrefix="1" applyNumberFormat="1" applyFont="1" applyBorder="1" applyAlignment="1" applyProtection="1">
      <alignment horizontal="center" vertical="center"/>
    </xf>
    <xf numFmtId="165" fontId="7" fillId="0" borderId="2" xfId="61" applyNumberFormat="1" applyFont="1" applyBorder="1" applyAlignment="1" applyProtection="1">
      <alignment horizontal="left" vertical="center" wrapText="1"/>
    </xf>
    <xf numFmtId="4" fontId="7" fillId="0" borderId="2" xfId="61" applyNumberFormat="1" applyFont="1" applyFill="1" applyBorder="1" applyAlignment="1" applyProtection="1">
      <alignment horizontal="center" vertical="center"/>
    </xf>
    <xf numFmtId="165" fontId="7" fillId="0" borderId="2" xfId="61" applyNumberFormat="1" applyFont="1" applyBorder="1" applyAlignment="1" applyProtection="1">
      <alignment vertical="center" wrapText="1"/>
    </xf>
    <xf numFmtId="4" fontId="4" fillId="0" borderId="0" xfId="65" applyNumberFormat="1" applyFont="1" applyFill="1" applyAlignment="1" applyProtection="1">
      <alignment vertical="center"/>
    </xf>
    <xf numFmtId="4" fontId="3" fillId="0" borderId="0" xfId="65" applyNumberFormat="1" applyFont="1" applyFill="1" applyAlignment="1">
      <alignment vertical="center"/>
    </xf>
    <xf numFmtId="4" fontId="4" fillId="0" borderId="0" xfId="69" applyNumberFormat="1" applyFont="1" applyFill="1" applyAlignment="1">
      <alignment horizontal="left" vertical="center"/>
    </xf>
    <xf numFmtId="4" fontId="4" fillId="0" borderId="0" xfId="65" applyNumberFormat="1" applyFont="1" applyFill="1" applyAlignment="1">
      <alignment vertical="center"/>
    </xf>
    <xf numFmtId="0" fontId="5" fillId="0" borderId="0" xfId="65" applyFont="1" applyFill="1" applyAlignment="1">
      <alignment vertical="center"/>
    </xf>
    <xf numFmtId="164" fontId="4" fillId="0" borderId="0" xfId="65" applyNumberFormat="1" applyFont="1" applyFill="1" applyAlignment="1" applyProtection="1">
      <alignment vertical="center"/>
    </xf>
    <xf numFmtId="0" fontId="55" fillId="0" borderId="0" xfId="65" applyFont="1" applyFill="1" applyAlignment="1">
      <alignment vertical="center"/>
    </xf>
    <xf numFmtId="4" fontId="4" fillId="0" borderId="0" xfId="65" applyNumberFormat="1" applyFont="1" applyFill="1" applyBorder="1" applyAlignment="1" applyProtection="1">
      <alignment horizontal="left" vertical="center"/>
    </xf>
    <xf numFmtId="4" fontId="5" fillId="0" borderId="0" xfId="65" applyNumberFormat="1" applyFont="1" applyFill="1" applyBorder="1" applyAlignment="1" applyProtection="1">
      <alignment horizontal="left" vertical="center"/>
    </xf>
    <xf numFmtId="0" fontId="5" fillId="0" borderId="0" xfId="65" applyFont="1" applyFill="1" applyBorder="1" applyAlignment="1">
      <alignment horizontal="left" vertical="center"/>
    </xf>
    <xf numFmtId="0" fontId="6" fillId="0" borderId="1" xfId="65" applyFont="1" applyFill="1" applyBorder="1" applyAlignment="1">
      <alignment horizontal="center" vertical="center"/>
    </xf>
    <xf numFmtId="4" fontId="6" fillId="0" borderId="1" xfId="65" applyNumberFormat="1" applyFont="1" applyFill="1" applyBorder="1" applyAlignment="1">
      <alignment horizontal="center" vertical="center" wrapText="1"/>
    </xf>
    <xf numFmtId="4" fontId="6" fillId="0" borderId="4" xfId="65" applyNumberFormat="1" applyFont="1" applyFill="1" applyBorder="1" applyAlignment="1">
      <alignment horizontal="centerContinuous" vertical="center"/>
    </xf>
    <xf numFmtId="4" fontId="6" fillId="0" borderId="5" xfId="65" applyNumberFormat="1" applyFont="1" applyFill="1" applyBorder="1" applyAlignment="1">
      <alignment horizontal="centerContinuous" vertical="center"/>
    </xf>
    <xf numFmtId="4" fontId="6" fillId="0" borderId="6" xfId="65" applyNumberFormat="1" applyFont="1" applyFill="1" applyBorder="1" applyAlignment="1">
      <alignment horizontal="centerContinuous" vertical="center"/>
    </xf>
    <xf numFmtId="4" fontId="6" fillId="0" borderId="4" xfId="65" applyNumberFormat="1" applyFont="1" applyFill="1" applyBorder="1" applyAlignment="1" applyProtection="1">
      <alignment horizontal="centerContinuous" vertical="center"/>
    </xf>
    <xf numFmtId="4" fontId="6" fillId="0" borderId="6" xfId="65" applyNumberFormat="1" applyFont="1" applyFill="1" applyBorder="1" applyAlignment="1" applyProtection="1">
      <alignment horizontal="centerContinuous" vertical="center"/>
    </xf>
    <xf numFmtId="4" fontId="6" fillId="0" borderId="1" xfId="65" applyNumberFormat="1" applyFont="1" applyFill="1" applyBorder="1" applyAlignment="1" applyProtection="1">
      <alignment horizontal="center" vertical="center"/>
    </xf>
    <xf numFmtId="4" fontId="6" fillId="0" borderId="1" xfId="65" applyNumberFormat="1" applyFont="1" applyFill="1" applyBorder="1" applyAlignment="1">
      <alignment vertical="center"/>
    </xf>
    <xf numFmtId="0" fontId="6" fillId="0" borderId="1" xfId="65" applyFont="1" applyFill="1" applyBorder="1" applyAlignment="1">
      <alignment vertical="center"/>
    </xf>
    <xf numFmtId="4" fontId="6" fillId="0" borderId="4" xfId="66" applyNumberFormat="1" applyFont="1" applyFill="1" applyBorder="1" applyAlignment="1">
      <alignment horizontal="centerContinuous" vertical="center"/>
    </xf>
    <xf numFmtId="4" fontId="6" fillId="0" borderId="5" xfId="66" applyNumberFormat="1" applyFont="1" applyFill="1" applyBorder="1" applyAlignment="1">
      <alignment horizontal="centerContinuous" vertical="center"/>
    </xf>
    <xf numFmtId="4" fontId="6" fillId="0" borderId="6" xfId="66" applyNumberFormat="1" applyFont="1" applyFill="1" applyBorder="1" applyAlignment="1">
      <alignment horizontal="centerContinuous" vertical="center"/>
    </xf>
    <xf numFmtId="0" fontId="6" fillId="0" borderId="2" xfId="65" applyFont="1" applyFill="1" applyBorder="1" applyAlignment="1">
      <alignment horizontal="center" vertical="center"/>
    </xf>
    <xf numFmtId="0" fontId="6" fillId="0" borderId="2" xfId="65" applyFont="1" applyFill="1" applyBorder="1" applyAlignment="1">
      <alignment vertical="center"/>
    </xf>
    <xf numFmtId="4" fontId="6" fillId="0" borderId="2" xfId="65" applyNumberFormat="1" applyFont="1" applyFill="1" applyBorder="1" applyAlignment="1">
      <alignment vertical="center"/>
    </xf>
    <xf numFmtId="4" fontId="6" fillId="0" borderId="7" xfId="65" applyNumberFormat="1" applyFont="1" applyFill="1" applyBorder="1" applyAlignment="1">
      <alignment horizontal="center" vertical="center"/>
    </xf>
    <xf numFmtId="4" fontId="6" fillId="0" borderId="8" xfId="65" applyNumberFormat="1" applyFont="1" applyFill="1" applyBorder="1" applyAlignment="1">
      <alignment horizontal="center" vertical="center"/>
    </xf>
    <xf numFmtId="4" fontId="6" fillId="0" borderId="9" xfId="65" applyNumberFormat="1" applyFont="1" applyFill="1" applyBorder="1" applyAlignment="1" applyProtection="1">
      <alignment horizontal="center" vertical="center"/>
    </xf>
    <xf numFmtId="4" fontId="6" fillId="0" borderId="0" xfId="65" applyNumberFormat="1" applyFont="1" applyFill="1" applyBorder="1" applyAlignment="1" applyProtection="1">
      <alignment horizontal="centerContinuous" vertical="center"/>
    </xf>
    <xf numFmtId="4" fontId="6" fillId="0" borderId="10" xfId="65" applyNumberFormat="1" applyFont="1" applyFill="1" applyBorder="1" applyAlignment="1" applyProtection="1">
      <alignment horizontal="centerContinuous" vertical="center"/>
    </xf>
    <xf numFmtId="4" fontId="6" fillId="0" borderId="2" xfId="65" applyNumberFormat="1" applyFont="1" applyFill="1" applyBorder="1" applyAlignment="1" applyProtection="1">
      <alignment horizontal="center" vertical="center"/>
    </xf>
    <xf numFmtId="4" fontId="6" fillId="0" borderId="0" xfId="65" applyNumberFormat="1" applyFont="1" applyFill="1" applyBorder="1" applyAlignment="1">
      <alignment horizontal="center" vertical="center"/>
    </xf>
    <xf numFmtId="4" fontId="6" fillId="0" borderId="2" xfId="65" applyNumberFormat="1" applyFont="1" applyFill="1" applyBorder="1" applyAlignment="1">
      <alignment horizontal="center" vertical="center"/>
    </xf>
    <xf numFmtId="0" fontId="6" fillId="0" borderId="2" xfId="65" quotePrefix="1" applyFont="1" applyFill="1" applyBorder="1" applyAlignment="1">
      <alignment horizontal="center" vertical="center"/>
    </xf>
    <xf numFmtId="4" fontId="6" fillId="0" borderId="1" xfId="65" applyNumberFormat="1" applyFont="1" applyFill="1" applyBorder="1" applyAlignment="1">
      <alignment horizontal="center" vertical="center"/>
    </xf>
    <xf numFmtId="4" fontId="6" fillId="0" borderId="2" xfId="65" quotePrefix="1" applyNumberFormat="1" applyFont="1" applyFill="1" applyBorder="1" applyAlignment="1" applyProtection="1">
      <alignment horizontal="center" vertical="center"/>
    </xf>
    <xf numFmtId="4" fontId="6" fillId="0" borderId="2" xfId="65" applyNumberFormat="1" applyFont="1" applyFill="1" applyBorder="1" applyAlignment="1" applyProtection="1">
      <alignment vertical="center"/>
    </xf>
    <xf numFmtId="4" fontId="6" fillId="0" borderId="13" xfId="65" applyNumberFormat="1" applyFont="1" applyFill="1" applyBorder="1" applyAlignment="1">
      <alignment vertical="center"/>
    </xf>
    <xf numFmtId="0" fontId="6" fillId="0" borderId="13" xfId="65" applyFont="1" applyFill="1" applyBorder="1" applyAlignment="1">
      <alignment horizontal="center" vertical="center"/>
    </xf>
    <xf numFmtId="0" fontId="6" fillId="0" borderId="3" xfId="65" applyFont="1" applyFill="1" applyBorder="1" applyAlignment="1">
      <alignment horizontal="center" vertical="center"/>
    </xf>
    <xf numFmtId="4" fontId="6" fillId="0" borderId="3" xfId="65" applyNumberFormat="1" applyFont="1" applyFill="1" applyBorder="1" applyAlignment="1">
      <alignment horizontal="center" vertical="center"/>
    </xf>
    <xf numFmtId="4" fontId="6" fillId="0" borderId="3" xfId="65" applyNumberFormat="1" applyFont="1" applyFill="1" applyBorder="1" applyAlignment="1" applyProtection="1">
      <alignment horizontal="center" vertical="center"/>
    </xf>
    <xf numFmtId="4" fontId="6" fillId="0" borderId="3" xfId="65" quotePrefix="1" applyNumberFormat="1" applyFont="1" applyFill="1" applyBorder="1" applyAlignment="1">
      <alignment horizontal="center" vertical="center"/>
    </xf>
    <xf numFmtId="0" fontId="6" fillId="0" borderId="3" xfId="65" quotePrefix="1" applyFont="1" applyFill="1" applyBorder="1" applyAlignment="1">
      <alignment horizontal="center" vertical="center"/>
    </xf>
    <xf numFmtId="4" fontId="6" fillId="0" borderId="7" xfId="68" applyNumberFormat="1" applyFont="1" applyFill="1" applyBorder="1" applyAlignment="1" applyProtection="1">
      <alignment horizontal="center" vertical="center"/>
      <protection locked="0"/>
    </xf>
    <xf numFmtId="4" fontId="6" fillId="0" borderId="8" xfId="68" applyNumberFormat="1" applyFont="1" applyFill="1" applyBorder="1" applyAlignment="1" applyProtection="1">
      <alignment horizontal="center" vertical="center"/>
      <protection locked="0"/>
    </xf>
    <xf numFmtId="4" fontId="6" fillId="0" borderId="9" xfId="68" applyNumberFormat="1" applyFont="1" applyFill="1" applyBorder="1" applyAlignment="1" applyProtection="1">
      <alignment horizontal="center" vertical="center"/>
      <protection locked="0"/>
    </xf>
    <xf numFmtId="0" fontId="3" fillId="0" borderId="3" xfId="65" quotePrefix="1" applyFont="1" applyFill="1" applyBorder="1" applyAlignment="1">
      <alignment horizontal="center" vertical="center"/>
    </xf>
    <xf numFmtId="1" fontId="7" fillId="0" borderId="2" xfId="65" applyNumberFormat="1" applyFont="1" applyFill="1" applyBorder="1" applyAlignment="1">
      <alignment horizontal="center" vertical="center"/>
    </xf>
    <xf numFmtId="2" fontId="7" fillId="0" borderId="2" xfId="65" applyNumberFormat="1" applyFont="1" applyFill="1" applyBorder="1" applyAlignment="1">
      <alignment horizontal="center" vertical="center"/>
    </xf>
    <xf numFmtId="4" fontId="7" fillId="0" borderId="2" xfId="65" quotePrefix="1" applyNumberFormat="1" applyFont="1" applyFill="1" applyBorder="1" applyAlignment="1">
      <alignment horizontal="center" vertical="center"/>
    </xf>
    <xf numFmtId="0" fontId="7" fillId="0" borderId="2" xfId="65" quotePrefix="1" applyFont="1" applyFill="1" applyBorder="1" applyAlignment="1">
      <alignment horizontal="center" vertical="center"/>
    </xf>
    <xf numFmtId="1" fontId="7" fillId="0" borderId="0" xfId="65" applyNumberFormat="1" applyFont="1" applyFill="1" applyAlignment="1">
      <alignment horizontal="center" vertical="center"/>
    </xf>
    <xf numFmtId="1" fontId="7" fillId="0" borderId="10" xfId="65" applyNumberFormat="1" applyFont="1" applyFill="1" applyBorder="1" applyAlignment="1">
      <alignment horizontal="center" vertical="center"/>
    </xf>
    <xf numFmtId="1" fontId="7" fillId="0" borderId="0" xfId="67" applyNumberFormat="1" applyFont="1" applyFill="1" applyBorder="1" applyAlignment="1" applyProtection="1">
      <alignment horizontal="center" vertical="center"/>
    </xf>
    <xf numFmtId="4" fontId="7" fillId="0" borderId="0" xfId="65" applyNumberFormat="1" applyFont="1" applyFill="1" applyAlignment="1" applyProtection="1">
      <alignment vertical="center"/>
    </xf>
    <xf numFmtId="0" fontId="7" fillId="0" borderId="0" xfId="65" applyFont="1" applyFill="1" applyAlignment="1">
      <alignment vertical="center"/>
    </xf>
    <xf numFmtId="2" fontId="7" fillId="0" borderId="2" xfId="65" applyNumberFormat="1" applyFont="1" applyFill="1" applyBorder="1" applyAlignment="1">
      <alignment horizontal="center"/>
    </xf>
    <xf numFmtId="1" fontId="7" fillId="0" borderId="2" xfId="65" applyNumberFormat="1" applyFont="1" applyFill="1" applyBorder="1" applyAlignment="1">
      <alignment horizontal="center"/>
    </xf>
    <xf numFmtId="4" fontId="7" fillId="0" borderId="2" xfId="65" quotePrefix="1" applyNumberFormat="1" applyFont="1" applyFill="1" applyBorder="1" applyAlignment="1">
      <alignment horizontal="center"/>
    </xf>
    <xf numFmtId="0" fontId="7" fillId="0" borderId="2" xfId="65" quotePrefix="1" applyFont="1" applyFill="1" applyBorder="1" applyAlignment="1">
      <alignment horizontal="center"/>
    </xf>
    <xf numFmtId="0" fontId="7" fillId="0" borderId="0" xfId="65" applyFont="1" applyFill="1" applyAlignment="1">
      <alignment horizontal="left" vertical="center"/>
    </xf>
    <xf numFmtId="167" fontId="7" fillId="0" borderId="2" xfId="65" applyNumberFormat="1" applyFont="1" applyFill="1" applyBorder="1" applyAlignment="1" applyProtection="1">
      <alignment horizontal="center" vertical="center"/>
    </xf>
    <xf numFmtId="164" fontId="7" fillId="0" borderId="2" xfId="65" applyNumberFormat="1" applyFont="1" applyFill="1" applyBorder="1" applyAlignment="1" applyProtection="1">
      <alignment horizontal="center" vertical="center"/>
    </xf>
    <xf numFmtId="4" fontId="7" fillId="0" borderId="0" xfId="65" applyNumberFormat="1" applyFont="1" applyFill="1" applyAlignment="1">
      <alignment horizontal="center" vertical="center"/>
    </xf>
    <xf numFmtId="171" fontId="7" fillId="0" borderId="3" xfId="65" applyNumberFormat="1" applyFont="1" applyFill="1" applyBorder="1" applyAlignment="1" applyProtection="1">
      <alignment horizontal="center" vertical="center"/>
    </xf>
    <xf numFmtId="4" fontId="7" fillId="0" borderId="3" xfId="65" applyNumberFormat="1" applyFont="1" applyFill="1" applyBorder="1" applyAlignment="1" applyProtection="1">
      <alignment horizontal="center" vertical="center"/>
    </xf>
    <xf numFmtId="164" fontId="7" fillId="0" borderId="3" xfId="65" applyNumberFormat="1" applyFont="1" applyFill="1" applyBorder="1" applyAlignment="1" applyProtection="1">
      <alignment horizontal="center" vertical="center"/>
    </xf>
    <xf numFmtId="4" fontId="7" fillId="0" borderId="0" xfId="65" applyNumberFormat="1" applyFont="1" applyFill="1" applyAlignment="1" applyProtection="1">
      <alignment horizontal="center" vertical="center"/>
    </xf>
    <xf numFmtId="0" fontId="7" fillId="0" borderId="0" xfId="65" applyFont="1" applyFill="1" applyAlignment="1">
      <alignment horizontal="center" vertical="center"/>
    </xf>
    <xf numFmtId="0" fontId="4" fillId="0" borderId="0" xfId="32" applyFont="1" applyFill="1" applyAlignment="1">
      <alignment horizontal="center" vertical="center"/>
    </xf>
    <xf numFmtId="4" fontId="7" fillId="0" borderId="2" xfId="32" quotePrefix="1" applyNumberFormat="1" applyFont="1" applyFill="1" applyBorder="1" applyAlignment="1">
      <alignment horizontal="center" vertical="center"/>
    </xf>
    <xf numFmtId="1" fontId="7" fillId="0" borderId="0" xfId="32" applyNumberFormat="1" applyFont="1" applyFill="1" applyAlignment="1">
      <alignment horizontal="center" vertical="center"/>
    </xf>
    <xf numFmtId="1" fontId="7" fillId="0" borderId="10" xfId="32" applyNumberFormat="1" applyFont="1" applyFill="1" applyBorder="1" applyAlignment="1">
      <alignment horizontal="center" vertical="center"/>
    </xf>
    <xf numFmtId="1" fontId="7" fillId="0" borderId="0" xfId="33" applyNumberFormat="1" applyFont="1" applyFill="1" applyBorder="1" applyAlignment="1" applyProtection="1">
      <alignment horizontal="center" vertical="center"/>
    </xf>
    <xf numFmtId="1" fontId="7" fillId="0" borderId="2" xfId="32" applyNumberFormat="1" applyFont="1" applyFill="1" applyBorder="1" applyAlignment="1" applyProtection="1">
      <alignment horizontal="center" vertical="top"/>
    </xf>
    <xf numFmtId="0" fontId="7" fillId="0" borderId="0" xfId="32" applyFont="1" applyFill="1" applyAlignment="1">
      <alignment horizontal="left" vertical="center"/>
    </xf>
    <xf numFmtId="165" fontId="7" fillId="0" borderId="0" xfId="32" applyNumberFormat="1" applyFont="1" applyFill="1" applyAlignment="1" applyProtection="1">
      <alignment horizontal="left" vertical="center"/>
    </xf>
    <xf numFmtId="2" fontId="7" fillId="0" borderId="0" xfId="32" applyNumberFormat="1" applyFont="1" applyFill="1" applyAlignment="1">
      <alignment horizontal="center" vertical="center"/>
    </xf>
    <xf numFmtId="4" fontId="7" fillId="0" borderId="0" xfId="32" applyNumberFormat="1" applyFont="1" applyFill="1" applyAlignment="1" applyProtection="1">
      <alignment horizontal="center" vertical="center"/>
    </xf>
    <xf numFmtId="0" fontId="7" fillId="0" borderId="0" xfId="32" applyFont="1" applyFill="1" applyAlignment="1">
      <alignment horizontal="center" vertical="center"/>
    </xf>
    <xf numFmtId="4" fontId="18" fillId="0" borderId="0" xfId="32" applyNumberFormat="1" applyFont="1" applyFill="1" applyAlignment="1">
      <alignment horizontal="center" vertical="center"/>
    </xf>
    <xf numFmtId="2" fontId="18" fillId="0" borderId="0" xfId="32" applyNumberFormat="1" applyFont="1" applyFill="1" applyAlignment="1">
      <alignment horizontal="center" vertical="center"/>
    </xf>
    <xf numFmtId="4" fontId="18" fillId="0" borderId="0" xfId="32" applyNumberFormat="1" applyFont="1" applyFill="1" applyAlignment="1" applyProtection="1">
      <alignment horizontal="center" vertical="center"/>
    </xf>
    <xf numFmtId="0" fontId="18" fillId="0" borderId="0" xfId="32" applyFont="1" applyFill="1" applyAlignment="1">
      <alignment horizontal="center" vertical="center"/>
    </xf>
    <xf numFmtId="1" fontId="7" fillId="0" borderId="2" xfId="65" applyNumberFormat="1" applyFont="1" applyFill="1" applyBorder="1" applyAlignment="1" applyProtection="1">
      <alignment horizontal="center" vertical="top"/>
    </xf>
    <xf numFmtId="2" fontId="22" fillId="0" borderId="10" xfId="65" applyNumberFormat="1" applyFont="1" applyFill="1" applyBorder="1" applyAlignment="1" applyProtection="1">
      <alignment horizontal="center" vertical="center"/>
    </xf>
    <xf numFmtId="4" fontId="4" fillId="0" borderId="0" xfId="37" applyNumberFormat="1" applyFont="1" applyFill="1" applyAlignment="1" applyProtection="1">
      <alignment vertical="center"/>
    </xf>
    <xf numFmtId="4" fontId="3" fillId="0" borderId="0" xfId="37" applyNumberFormat="1" applyFont="1" applyFill="1" applyAlignment="1">
      <alignment vertical="center"/>
    </xf>
    <xf numFmtId="4" fontId="4" fillId="0" borderId="0" xfId="13" applyNumberFormat="1" applyFont="1" applyFill="1" applyAlignment="1">
      <alignment horizontal="left" vertical="center"/>
    </xf>
    <xf numFmtId="4" fontId="4" fillId="0" borderId="0" xfId="37" applyNumberFormat="1" applyFont="1" applyFill="1" applyAlignment="1">
      <alignment vertical="center"/>
    </xf>
    <xf numFmtId="0" fontId="5" fillId="0" borderId="0" xfId="37" applyFont="1" applyFill="1" applyAlignment="1">
      <alignment vertical="center"/>
    </xf>
    <xf numFmtId="164" fontId="4" fillId="0" borderId="0" xfId="37" applyNumberFormat="1" applyFont="1" applyFill="1" applyAlignment="1" applyProtection="1">
      <alignment vertical="center"/>
    </xf>
    <xf numFmtId="0" fontId="55" fillId="0" borderId="0" xfId="37" applyFont="1" applyFill="1" applyAlignment="1">
      <alignment vertical="center"/>
    </xf>
    <xf numFmtId="4" fontId="4" fillId="0" borderId="0" xfId="37" applyNumberFormat="1" applyFont="1" applyFill="1" applyBorder="1" applyAlignment="1" applyProtection="1">
      <alignment horizontal="left" vertical="center"/>
    </xf>
    <xf numFmtId="4" fontId="5" fillId="0" borderId="0" xfId="37" applyNumberFormat="1" applyFont="1" applyFill="1" applyBorder="1" applyAlignment="1" applyProtection="1">
      <alignment horizontal="left" vertical="center"/>
    </xf>
    <xf numFmtId="0" fontId="5" fillId="0" borderId="0" xfId="37" applyFont="1" applyFill="1" applyBorder="1" applyAlignment="1">
      <alignment horizontal="left" vertical="center"/>
    </xf>
    <xf numFmtId="0" fontId="6" fillId="0" borderId="1" xfId="37" applyFont="1" applyFill="1" applyBorder="1" applyAlignment="1">
      <alignment horizontal="center" vertical="center"/>
    </xf>
    <xf numFmtId="4" fontId="6" fillId="0" borderId="1" xfId="37" applyNumberFormat="1" applyFont="1" applyFill="1" applyBorder="1" applyAlignment="1">
      <alignment horizontal="center" vertical="center" wrapText="1"/>
    </xf>
    <xf numFmtId="4" fontId="6" fillId="0" borderId="4" xfId="37" applyNumberFormat="1" applyFont="1" applyFill="1" applyBorder="1" applyAlignment="1">
      <alignment horizontal="centerContinuous" vertical="center"/>
    </xf>
    <xf numFmtId="4" fontId="6" fillId="0" borderId="5" xfId="37" applyNumberFormat="1" applyFont="1" applyFill="1" applyBorder="1" applyAlignment="1">
      <alignment horizontal="centerContinuous" vertical="center"/>
    </xf>
    <xf numFmtId="4" fontId="6" fillId="0" borderId="6" xfId="37" applyNumberFormat="1" applyFont="1" applyFill="1" applyBorder="1" applyAlignment="1">
      <alignment horizontal="centerContinuous" vertical="center"/>
    </xf>
    <xf numFmtId="4" fontId="6" fillId="0" borderId="4" xfId="37" applyNumberFormat="1" applyFont="1" applyFill="1" applyBorder="1" applyAlignment="1" applyProtection="1">
      <alignment horizontal="centerContinuous" vertical="center"/>
    </xf>
    <xf numFmtId="4" fontId="6" fillId="0" borderId="6" xfId="37" applyNumberFormat="1" applyFont="1" applyFill="1" applyBorder="1" applyAlignment="1" applyProtection="1">
      <alignment horizontal="centerContinuous" vertical="center"/>
    </xf>
    <xf numFmtId="4" fontId="6" fillId="0" borderId="1" xfId="37" applyNumberFormat="1" applyFont="1" applyFill="1" applyBorder="1" applyAlignment="1" applyProtection="1">
      <alignment horizontal="center" vertical="center"/>
    </xf>
    <xf numFmtId="4" fontId="6" fillId="0" borderId="1" xfId="37" applyNumberFormat="1" applyFont="1" applyFill="1" applyBorder="1" applyAlignment="1">
      <alignment vertical="center"/>
    </xf>
    <xf numFmtId="0" fontId="6" fillId="0" borderId="1" xfId="37" applyFont="1" applyFill="1" applyBorder="1" applyAlignment="1">
      <alignment vertical="center"/>
    </xf>
    <xf numFmtId="4" fontId="6" fillId="0" borderId="4" xfId="41" applyNumberFormat="1" applyFont="1" applyFill="1" applyBorder="1" applyAlignment="1">
      <alignment horizontal="centerContinuous" vertical="center"/>
    </xf>
    <xf numFmtId="4" fontId="6" fillId="0" borderId="5" xfId="41" applyNumberFormat="1" applyFont="1" applyFill="1" applyBorder="1" applyAlignment="1">
      <alignment horizontal="centerContinuous" vertical="center"/>
    </xf>
    <xf numFmtId="4" fontId="6" fillId="0" borderId="6" xfId="41" applyNumberFormat="1" applyFont="1" applyFill="1" applyBorder="1" applyAlignment="1">
      <alignment horizontal="centerContinuous" vertical="center"/>
    </xf>
    <xf numFmtId="0" fontId="6" fillId="0" borderId="2" xfId="37" applyFont="1" applyFill="1" applyBorder="1" applyAlignment="1">
      <alignment horizontal="center" vertical="center"/>
    </xf>
    <xf numFmtId="0" fontId="6" fillId="0" borderId="2" xfId="37" applyFont="1" applyFill="1" applyBorder="1" applyAlignment="1">
      <alignment vertical="center"/>
    </xf>
    <xf numFmtId="4" fontId="6" fillId="0" borderId="2" xfId="37" applyNumberFormat="1" applyFont="1" applyFill="1" applyBorder="1" applyAlignment="1">
      <alignment vertical="center"/>
    </xf>
    <xf numFmtId="4" fontId="6" fillId="0" borderId="7" xfId="37" applyNumberFormat="1" applyFont="1" applyFill="1" applyBorder="1" applyAlignment="1">
      <alignment horizontal="center" vertical="center"/>
    </xf>
    <xf numFmtId="4" fontId="6" fillId="0" borderId="8" xfId="37" applyNumberFormat="1" applyFont="1" applyFill="1" applyBorder="1" applyAlignment="1">
      <alignment horizontal="center" vertical="center"/>
    </xf>
    <xf numFmtId="4" fontId="6" fillId="0" borderId="9" xfId="37" applyNumberFormat="1" applyFont="1" applyFill="1" applyBorder="1" applyAlignment="1" applyProtection="1">
      <alignment horizontal="center" vertical="center"/>
    </xf>
    <xf numFmtId="4" fontId="6" fillId="0" borderId="0" xfId="37" applyNumberFormat="1" applyFont="1" applyFill="1" applyBorder="1" applyAlignment="1" applyProtection="1">
      <alignment horizontal="centerContinuous" vertical="center"/>
    </xf>
    <xf numFmtId="4" fontId="6" fillId="0" borderId="10" xfId="37" applyNumberFormat="1" applyFont="1" applyFill="1" applyBorder="1" applyAlignment="1" applyProtection="1">
      <alignment horizontal="centerContinuous" vertical="center"/>
    </xf>
    <xf numFmtId="4" fontId="6" fillId="0" borderId="2" xfId="37" applyNumberFormat="1" applyFont="1" applyFill="1" applyBorder="1" applyAlignment="1" applyProtection="1">
      <alignment horizontal="center" vertical="center"/>
    </xf>
    <xf numFmtId="4" fontId="6" fillId="0" borderId="0" xfId="37" applyNumberFormat="1" applyFont="1" applyFill="1" applyBorder="1" applyAlignment="1">
      <alignment horizontal="center" vertical="center"/>
    </xf>
    <xf numFmtId="4" fontId="6" fillId="0" borderId="2" xfId="37" applyNumberFormat="1" applyFont="1" applyFill="1" applyBorder="1" applyAlignment="1">
      <alignment horizontal="center" vertical="center"/>
    </xf>
    <xf numFmtId="0" fontId="6" fillId="0" borderId="2" xfId="37" quotePrefix="1" applyFont="1" applyFill="1" applyBorder="1" applyAlignment="1">
      <alignment horizontal="center" vertical="center"/>
    </xf>
    <xf numFmtId="4" fontId="6" fillId="0" borderId="1" xfId="37" applyNumberFormat="1" applyFont="1" applyFill="1" applyBorder="1" applyAlignment="1">
      <alignment horizontal="center" vertical="center"/>
    </xf>
    <xf numFmtId="4" fontId="6" fillId="0" borderId="2" xfId="37" quotePrefix="1" applyNumberFormat="1" applyFont="1" applyFill="1" applyBorder="1" applyAlignment="1" applyProtection="1">
      <alignment horizontal="center" vertical="center"/>
    </xf>
    <xf numFmtId="4" fontId="6" fillId="0" borderId="2" xfId="37" applyNumberFormat="1" applyFont="1" applyFill="1" applyBorder="1" applyAlignment="1" applyProtection="1">
      <alignment vertical="center"/>
    </xf>
    <xf numFmtId="4" fontId="6" fillId="0" borderId="13" xfId="37" applyNumberFormat="1" applyFont="1" applyFill="1" applyBorder="1" applyAlignment="1">
      <alignment vertical="center"/>
    </xf>
    <xf numFmtId="0" fontId="6" fillId="0" borderId="13" xfId="37" applyFont="1" applyFill="1" applyBorder="1" applyAlignment="1">
      <alignment horizontal="center" vertical="center"/>
    </xf>
    <xf numFmtId="0" fontId="6" fillId="0" borderId="3" xfId="37" applyFont="1" applyFill="1" applyBorder="1" applyAlignment="1">
      <alignment horizontal="center" vertical="center"/>
    </xf>
    <xf numFmtId="4" fontId="6" fillId="0" borderId="3" xfId="37" applyNumberFormat="1" applyFont="1" applyFill="1" applyBorder="1" applyAlignment="1">
      <alignment horizontal="center" vertical="center"/>
    </xf>
    <xf numFmtId="4" fontId="6" fillId="0" borderId="3" xfId="37" applyNumberFormat="1" applyFont="1" applyFill="1" applyBorder="1" applyAlignment="1" applyProtection="1">
      <alignment horizontal="center" vertical="center"/>
    </xf>
    <xf numFmtId="4" fontId="6" fillId="0" borderId="3" xfId="37" quotePrefix="1" applyNumberFormat="1" applyFont="1" applyFill="1" applyBorder="1" applyAlignment="1">
      <alignment horizontal="center" vertical="center"/>
    </xf>
    <xf numFmtId="0" fontId="6" fillId="0" borderId="3" xfId="37" quotePrefix="1" applyFont="1" applyFill="1" applyBorder="1" applyAlignment="1">
      <alignment horizontal="center" vertical="center"/>
    </xf>
    <xf numFmtId="0" fontId="3" fillId="0" borderId="3" xfId="37" quotePrefix="1" applyFont="1" applyFill="1" applyBorder="1" applyAlignment="1">
      <alignment horizontal="center" vertical="center"/>
    </xf>
    <xf numFmtId="1" fontId="7" fillId="0" borderId="2" xfId="37" applyNumberFormat="1" applyFont="1" applyFill="1" applyBorder="1" applyAlignment="1">
      <alignment horizontal="center" vertical="center"/>
    </xf>
    <xf numFmtId="2" fontId="7" fillId="0" borderId="2" xfId="37" applyNumberFormat="1" applyFont="1" applyFill="1" applyBorder="1" applyAlignment="1">
      <alignment horizontal="center" vertical="center"/>
    </xf>
    <xf numFmtId="4" fontId="7" fillId="0" borderId="2" xfId="37" quotePrefix="1" applyNumberFormat="1" applyFont="1" applyFill="1" applyBorder="1" applyAlignment="1">
      <alignment horizontal="center" vertical="center"/>
    </xf>
    <xf numFmtId="0" fontId="7" fillId="0" borderId="2" xfId="37" quotePrefix="1" applyFont="1" applyFill="1" applyBorder="1" applyAlignment="1">
      <alignment horizontal="center" vertical="center"/>
    </xf>
    <xf numFmtId="1" fontId="7" fillId="0" borderId="0" xfId="37" applyNumberFormat="1" applyFont="1" applyFill="1" applyAlignment="1">
      <alignment horizontal="center" vertical="center"/>
    </xf>
    <xf numFmtId="1" fontId="7" fillId="0" borderId="10" xfId="37" applyNumberFormat="1" applyFont="1" applyFill="1" applyBorder="1" applyAlignment="1">
      <alignment horizontal="center" vertical="center"/>
    </xf>
    <xf numFmtId="1" fontId="7" fillId="0" borderId="0" xfId="35" applyNumberFormat="1" applyFont="1" applyFill="1" applyBorder="1" applyAlignment="1" applyProtection="1">
      <alignment horizontal="center" vertical="center"/>
    </xf>
    <xf numFmtId="164" fontId="7" fillId="0" borderId="2" xfId="37" applyNumberFormat="1" applyFont="1" applyFill="1" applyBorder="1" applyAlignment="1" applyProtection="1">
      <alignment horizontal="center" vertical="center"/>
    </xf>
    <xf numFmtId="2" fontId="22" fillId="0" borderId="10" xfId="37" applyNumberFormat="1" applyFont="1" applyFill="1" applyBorder="1" applyAlignment="1" applyProtection="1">
      <alignment horizontal="center" vertical="center"/>
    </xf>
    <xf numFmtId="0" fontId="4" fillId="0" borderId="0" xfId="65" applyFont="1" applyFill="1" applyAlignment="1">
      <alignment horizontal="center" vertical="center"/>
    </xf>
    <xf numFmtId="165" fontId="7" fillId="0" borderId="0" xfId="65" applyNumberFormat="1" applyFont="1" applyFill="1" applyAlignment="1" applyProtection="1">
      <alignment horizontal="left" vertical="center"/>
    </xf>
    <xf numFmtId="4" fontId="16" fillId="0" borderId="0" xfId="65" applyNumberFormat="1" applyFont="1" applyFill="1" applyAlignment="1">
      <alignment vertical="center"/>
    </xf>
    <xf numFmtId="0" fontId="4" fillId="0" borderId="0" xfId="65" applyFont="1" applyFill="1" applyAlignment="1">
      <alignment vertical="center"/>
    </xf>
    <xf numFmtId="0" fontId="4" fillId="0" borderId="0" xfId="65" applyFont="1" applyFill="1" applyBorder="1" applyAlignment="1">
      <alignment horizontal="left" vertical="center"/>
    </xf>
    <xf numFmtId="4" fontId="6" fillId="0" borderId="7" xfId="31" applyNumberFormat="1" applyFont="1" applyFill="1" applyBorder="1" applyAlignment="1" applyProtection="1">
      <alignment horizontal="center" vertical="center"/>
      <protection locked="0"/>
    </xf>
    <xf numFmtId="4" fontId="6" fillId="0" borderId="8" xfId="31" applyNumberFormat="1" applyFont="1" applyFill="1" applyBorder="1" applyAlignment="1" applyProtection="1">
      <alignment horizontal="center" vertical="center"/>
      <protection locked="0"/>
    </xf>
    <xf numFmtId="4" fontId="6" fillId="0" borderId="9" xfId="31" applyNumberFormat="1" applyFont="1" applyFill="1" applyBorder="1" applyAlignment="1" applyProtection="1">
      <alignment horizontal="center" vertical="center"/>
      <protection locked="0"/>
    </xf>
    <xf numFmtId="4" fontId="7" fillId="0" borderId="0" xfId="37" applyNumberFormat="1" applyFont="1" applyFill="1" applyAlignment="1">
      <alignment horizontal="center" vertical="center"/>
    </xf>
    <xf numFmtId="4" fontId="4" fillId="0" borderId="0" xfId="32" applyNumberFormat="1" applyFont="1" applyFill="1" applyProtection="1"/>
    <xf numFmtId="4" fontId="4" fillId="0" borderId="0" xfId="32" applyNumberFormat="1" applyFont="1" applyFill="1"/>
    <xf numFmtId="0" fontId="5" fillId="0" borderId="0" xfId="32" applyFont="1" applyFill="1" applyAlignment="1">
      <alignment vertical="top"/>
    </xf>
    <xf numFmtId="164" fontId="4" fillId="0" borderId="0" xfId="32" applyNumberFormat="1" applyFont="1" applyFill="1" applyProtection="1"/>
    <xf numFmtId="4" fontId="3" fillId="0" borderId="0" xfId="32" applyNumberFormat="1" applyFont="1" applyFill="1"/>
    <xf numFmtId="0" fontId="6" fillId="0" borderId="1" xfId="32" applyFont="1" applyFill="1" applyBorder="1" applyAlignment="1">
      <alignment horizontal="center"/>
    </xf>
    <xf numFmtId="4" fontId="6" fillId="0" borderId="4" xfId="32" applyNumberFormat="1" applyFont="1" applyFill="1" applyBorder="1" applyAlignment="1">
      <alignment horizontal="centerContinuous"/>
    </xf>
    <xf numFmtId="4" fontId="6" fillId="0" borderId="5" xfId="32" applyNumberFormat="1" applyFont="1" applyFill="1" applyBorder="1" applyAlignment="1">
      <alignment horizontal="centerContinuous"/>
    </xf>
    <xf numFmtId="4" fontId="6" fillId="0" borderId="6" xfId="32" applyNumberFormat="1" applyFont="1" applyFill="1" applyBorder="1" applyAlignment="1">
      <alignment horizontal="centerContinuous"/>
    </xf>
    <xf numFmtId="4" fontId="6" fillId="0" borderId="4" xfId="32" applyNumberFormat="1" applyFont="1" applyFill="1" applyBorder="1" applyAlignment="1" applyProtection="1">
      <alignment horizontal="centerContinuous"/>
    </xf>
    <xf numFmtId="4" fontId="6" fillId="0" borderId="6" xfId="32" applyNumberFormat="1" applyFont="1" applyFill="1" applyBorder="1" applyAlignment="1" applyProtection="1">
      <alignment horizontal="centerContinuous"/>
    </xf>
    <xf numFmtId="4" fontId="6" fillId="0" borderId="1" xfId="32" applyNumberFormat="1" applyFont="1" applyFill="1" applyBorder="1" applyAlignment="1" applyProtection="1">
      <alignment horizontal="center"/>
    </xf>
    <xf numFmtId="4" fontId="6" fillId="0" borderId="1" xfId="32" applyNumberFormat="1" applyFont="1" applyFill="1" applyBorder="1"/>
    <xf numFmtId="0" fontId="6" fillId="0" borderId="1" xfId="32" applyFont="1" applyFill="1" applyBorder="1"/>
    <xf numFmtId="0" fontId="6" fillId="0" borderId="2" xfId="32" applyFont="1" applyFill="1" applyBorder="1" applyAlignment="1">
      <alignment horizontal="center"/>
    </xf>
    <xf numFmtId="0" fontId="6" fillId="0" borderId="2" xfId="32" applyFont="1" applyFill="1" applyBorder="1"/>
    <xf numFmtId="4" fontId="6" fillId="0" borderId="2" xfId="32" applyNumberFormat="1" applyFont="1" applyFill="1" applyBorder="1"/>
    <xf numFmtId="4" fontId="6" fillId="0" borderId="7" xfId="32" applyNumberFormat="1" applyFont="1" applyFill="1" applyBorder="1" applyAlignment="1">
      <alignment horizontal="center"/>
    </xf>
    <xf numFmtId="4" fontId="6" fillId="0" borderId="8" xfId="32" applyNumberFormat="1" applyFont="1" applyFill="1" applyBorder="1" applyAlignment="1">
      <alignment horizontal="center"/>
    </xf>
    <xf numFmtId="4" fontId="6" fillId="0" borderId="9" xfId="32" applyNumberFormat="1" applyFont="1" applyFill="1" applyBorder="1" applyAlignment="1" applyProtection="1">
      <alignment horizontal="center"/>
    </xf>
    <xf numFmtId="4" fontId="6" fillId="0" borderId="0" xfId="32" applyNumberFormat="1" applyFont="1" applyFill="1" applyBorder="1" applyAlignment="1" applyProtection="1">
      <alignment horizontal="centerContinuous"/>
    </xf>
    <xf numFmtId="4" fontId="6" fillId="0" borderId="10" xfId="32" applyNumberFormat="1" applyFont="1" applyFill="1" applyBorder="1" applyAlignment="1" applyProtection="1">
      <alignment horizontal="centerContinuous"/>
    </xf>
    <xf numFmtId="4" fontId="6" fillId="0" borderId="2" xfId="32" applyNumberFormat="1" applyFont="1" applyFill="1" applyBorder="1" applyAlignment="1" applyProtection="1">
      <alignment horizontal="center"/>
    </xf>
    <xf numFmtId="4" fontId="6" fillId="0" borderId="0" xfId="32" applyNumberFormat="1" applyFont="1" applyFill="1" applyBorder="1" applyAlignment="1">
      <alignment horizontal="center"/>
    </xf>
    <xf numFmtId="4" fontId="6" fillId="0" borderId="2" xfId="32" applyNumberFormat="1" applyFont="1" applyFill="1" applyBorder="1" applyAlignment="1">
      <alignment horizontal="center"/>
    </xf>
    <xf numFmtId="0" fontId="6" fillId="0" borderId="2" xfId="32" quotePrefix="1" applyFont="1" applyFill="1" applyBorder="1" applyAlignment="1">
      <alignment horizontal="center"/>
    </xf>
    <xf numFmtId="4" fontId="6" fillId="0" borderId="1" xfId="32" applyNumberFormat="1" applyFont="1" applyFill="1" applyBorder="1" applyAlignment="1">
      <alignment horizontal="center"/>
    </xf>
    <xf numFmtId="4" fontId="6" fillId="0" borderId="2" xfId="32" quotePrefix="1" applyNumberFormat="1" applyFont="1" applyFill="1" applyBorder="1" applyAlignment="1" applyProtection="1">
      <alignment horizontal="center"/>
    </xf>
    <xf numFmtId="4" fontId="6" fillId="0" borderId="2" xfId="32" applyNumberFormat="1" applyFont="1" applyFill="1" applyBorder="1" applyProtection="1"/>
    <xf numFmtId="4" fontId="6" fillId="0" borderId="13" xfId="32" applyNumberFormat="1" applyFont="1" applyFill="1" applyBorder="1"/>
    <xf numFmtId="0" fontId="6" fillId="0" borderId="13" xfId="32" applyFont="1" applyFill="1" applyBorder="1" applyAlignment="1">
      <alignment horizontal="center"/>
    </xf>
    <xf numFmtId="0" fontId="6" fillId="0" borderId="3" xfId="32" applyFont="1" applyFill="1" applyBorder="1" applyAlignment="1">
      <alignment horizontal="center"/>
    </xf>
    <xf numFmtId="4" fontId="6" fillId="0" borderId="3" xfId="32" applyNumberFormat="1" applyFont="1" applyFill="1" applyBorder="1" applyAlignment="1">
      <alignment horizontal="center"/>
    </xf>
    <xf numFmtId="4" fontId="6" fillId="0" borderId="3" xfId="32" applyNumberFormat="1" applyFont="1" applyFill="1" applyBorder="1" applyAlignment="1" applyProtection="1">
      <alignment horizontal="center"/>
    </xf>
    <xf numFmtId="4" fontId="6" fillId="0" borderId="3" xfId="32" quotePrefix="1" applyNumberFormat="1" applyFont="1" applyFill="1" applyBorder="1" applyAlignment="1">
      <alignment horizontal="center"/>
    </xf>
    <xf numFmtId="0" fontId="6" fillId="0" borderId="3" xfId="32" quotePrefix="1" applyFont="1" applyFill="1" applyBorder="1" applyAlignment="1">
      <alignment horizontal="center"/>
    </xf>
    <xf numFmtId="1" fontId="7" fillId="0" borderId="2" xfId="32" applyNumberFormat="1" applyFont="1" applyFill="1" applyBorder="1" applyAlignment="1">
      <alignment horizontal="center"/>
    </xf>
    <xf numFmtId="0" fontId="7" fillId="0" borderId="2" xfId="32" quotePrefix="1" applyFont="1" applyFill="1" applyBorder="1" applyAlignment="1">
      <alignment horizontal="center"/>
    </xf>
    <xf numFmtId="0" fontId="7" fillId="0" borderId="10" xfId="0" applyFont="1" applyBorder="1" applyAlignment="1">
      <alignment horizontal="center"/>
    </xf>
    <xf numFmtId="1" fontId="25" fillId="0" borderId="14" xfId="32" applyNumberFormat="1" applyFont="1" applyFill="1" applyBorder="1" applyAlignment="1">
      <alignment horizontal="left" vertical="center"/>
    </xf>
    <xf numFmtId="1" fontId="7" fillId="0" borderId="0" xfId="32" applyNumberFormat="1" applyFont="1" applyFill="1" applyAlignment="1">
      <alignment horizontal="center"/>
    </xf>
    <xf numFmtId="2" fontId="22" fillId="0" borderId="10" xfId="32" applyNumberFormat="1" applyFont="1" applyFill="1" applyBorder="1" applyAlignment="1" applyProtection="1">
      <alignment horizontal="center" vertical="center"/>
    </xf>
    <xf numFmtId="171" fontId="7" fillId="0" borderId="3" xfId="32" applyNumberFormat="1" applyFont="1" applyFill="1" applyBorder="1" applyAlignment="1" applyProtection="1">
      <alignment horizontal="center" vertical="center"/>
    </xf>
    <xf numFmtId="0" fontId="4" fillId="0" borderId="0" xfId="37" applyFont="1" applyFill="1" applyAlignment="1">
      <alignment vertical="center"/>
    </xf>
    <xf numFmtId="0" fontId="4" fillId="0" borderId="0" xfId="37" applyFont="1" applyFill="1" applyBorder="1" applyAlignment="1">
      <alignment horizontal="left" vertical="center"/>
    </xf>
    <xf numFmtId="0" fontId="7" fillId="0" borderId="0" xfId="37" applyFont="1" applyFill="1" applyAlignment="1">
      <alignment horizontal="left" vertical="center"/>
    </xf>
    <xf numFmtId="165" fontId="7" fillId="0" borderId="0" xfId="37" applyNumberFormat="1" applyFont="1" applyFill="1" applyAlignment="1" applyProtection="1">
      <alignment horizontal="left" vertical="center"/>
    </xf>
    <xf numFmtId="4" fontId="7" fillId="0" borderId="0" xfId="37" applyNumberFormat="1" applyFont="1" applyFill="1" applyAlignment="1" applyProtection="1">
      <alignment vertical="center"/>
    </xf>
    <xf numFmtId="0" fontId="7" fillId="0" borderId="0" xfId="37" applyFont="1" applyFill="1" applyAlignment="1">
      <alignment vertical="center"/>
    </xf>
    <xf numFmtId="4" fontId="16" fillId="0" borderId="0" xfId="65" applyNumberFormat="1" applyFont="1" applyFill="1" applyAlignment="1">
      <alignment horizontal="center" vertical="center"/>
    </xf>
    <xf numFmtId="4" fontId="4" fillId="0" borderId="0" xfId="65" applyNumberFormat="1" applyFont="1" applyFill="1" applyProtection="1"/>
    <xf numFmtId="4" fontId="4" fillId="0" borderId="0" xfId="69" applyNumberFormat="1" applyFont="1" applyFill="1" applyAlignment="1">
      <alignment horizontal="left"/>
    </xf>
    <xf numFmtId="4" fontId="4" fillId="0" borderId="0" xfId="65" applyNumberFormat="1" applyFont="1" applyFill="1"/>
    <xf numFmtId="164" fontId="4" fillId="0" borderId="0" xfId="65" applyNumberFormat="1" applyFont="1" applyFill="1" applyProtection="1"/>
    <xf numFmtId="0" fontId="55" fillId="0" borderId="0" xfId="65" applyFont="1" applyFill="1"/>
    <xf numFmtId="4" fontId="4" fillId="0" borderId="0" xfId="65" applyNumberFormat="1" applyFont="1" applyFill="1" applyBorder="1" applyAlignment="1" applyProtection="1">
      <alignment horizontal="left"/>
    </xf>
    <xf numFmtId="0" fontId="4" fillId="0" borderId="0" xfId="65" applyFont="1" applyFill="1"/>
    <xf numFmtId="0" fontId="4" fillId="0" borderId="0" xfId="65" applyFont="1" applyFill="1" applyBorder="1" applyAlignment="1">
      <alignment horizontal="left"/>
    </xf>
    <xf numFmtId="0" fontId="6" fillId="0" borderId="1" xfId="65" applyFont="1" applyFill="1" applyBorder="1" applyAlignment="1">
      <alignment horizontal="center"/>
    </xf>
    <xf numFmtId="4" fontId="6" fillId="0" borderId="4" xfId="65" applyNumberFormat="1" applyFont="1" applyFill="1" applyBorder="1" applyAlignment="1">
      <alignment horizontal="centerContinuous"/>
    </xf>
    <xf numFmtId="4" fontId="6" fillId="0" borderId="5" xfId="65" applyNumberFormat="1" applyFont="1" applyFill="1" applyBorder="1" applyAlignment="1">
      <alignment horizontal="centerContinuous"/>
    </xf>
    <xf numFmtId="4" fontId="6" fillId="0" borderId="6" xfId="65" applyNumberFormat="1" applyFont="1" applyFill="1" applyBorder="1" applyAlignment="1">
      <alignment horizontal="centerContinuous"/>
    </xf>
    <xf numFmtId="4" fontId="6" fillId="0" borderId="4" xfId="65" applyNumberFormat="1" applyFont="1" applyFill="1" applyBorder="1" applyAlignment="1" applyProtection="1">
      <alignment horizontal="centerContinuous"/>
    </xf>
    <xf numFmtId="4" fontId="6" fillId="0" borderId="6" xfId="65" applyNumberFormat="1" applyFont="1" applyFill="1" applyBorder="1" applyAlignment="1" applyProtection="1">
      <alignment horizontal="centerContinuous"/>
    </xf>
    <xf numFmtId="4" fontId="6" fillId="0" borderId="1" xfId="65" applyNumberFormat="1" applyFont="1" applyFill="1" applyBorder="1" applyAlignment="1" applyProtection="1">
      <alignment horizontal="center"/>
    </xf>
    <xf numFmtId="4" fontId="6" fillId="0" borderId="1" xfId="65" applyNumberFormat="1" applyFont="1" applyFill="1" applyBorder="1"/>
    <xf numFmtId="0" fontId="6" fillId="0" borderId="1" xfId="65" applyFont="1" applyFill="1" applyBorder="1"/>
    <xf numFmtId="4" fontId="6" fillId="0" borderId="4" xfId="66" applyNumberFormat="1" applyFont="1" applyFill="1" applyBorder="1" applyAlignment="1">
      <alignment horizontal="centerContinuous"/>
    </xf>
    <xf numFmtId="4" fontId="6" fillId="0" borderId="5" xfId="66" applyNumberFormat="1" applyFont="1" applyFill="1" applyBorder="1" applyAlignment="1">
      <alignment horizontal="centerContinuous"/>
    </xf>
    <xf numFmtId="4" fontId="6" fillId="0" borderId="6" xfId="66" applyNumberFormat="1" applyFont="1" applyFill="1" applyBorder="1" applyAlignment="1">
      <alignment horizontal="centerContinuous"/>
    </xf>
    <xf numFmtId="0" fontId="6" fillId="0" borderId="2" xfId="65" applyFont="1" applyFill="1" applyBorder="1" applyAlignment="1">
      <alignment horizontal="center"/>
    </xf>
    <xf numFmtId="0" fontId="6" fillId="0" borderId="2" xfId="65" applyFont="1" applyFill="1" applyBorder="1"/>
    <xf numFmtId="4" fontId="6" fillId="0" borderId="2" xfId="65" applyNumberFormat="1" applyFont="1" applyFill="1" applyBorder="1"/>
    <xf numFmtId="4" fontId="6" fillId="0" borderId="7" xfId="65" applyNumberFormat="1" applyFont="1" applyFill="1" applyBorder="1" applyAlignment="1">
      <alignment horizontal="center"/>
    </xf>
    <xf numFmtId="4" fontId="6" fillId="0" borderId="8" xfId="65" applyNumberFormat="1" applyFont="1" applyFill="1" applyBorder="1" applyAlignment="1">
      <alignment horizontal="center"/>
    </xf>
    <xf numFmtId="4" fontId="6" fillId="0" borderId="9" xfId="65" applyNumberFormat="1" applyFont="1" applyFill="1" applyBorder="1" applyAlignment="1" applyProtection="1">
      <alignment horizontal="center"/>
    </xf>
    <xf numFmtId="4" fontId="6" fillId="0" borderId="0" xfId="65" applyNumberFormat="1" applyFont="1" applyFill="1" applyBorder="1" applyAlignment="1" applyProtection="1">
      <alignment horizontal="centerContinuous"/>
    </xf>
    <xf numFmtId="4" fontId="6" fillId="0" borderId="10" xfId="65" applyNumberFormat="1" applyFont="1" applyFill="1" applyBorder="1" applyAlignment="1" applyProtection="1">
      <alignment horizontal="centerContinuous"/>
    </xf>
    <xf numFmtId="4" fontId="6" fillId="0" borderId="2" xfId="65" applyNumberFormat="1" applyFont="1" applyFill="1" applyBorder="1" applyAlignment="1" applyProtection="1">
      <alignment horizontal="center"/>
    </xf>
    <xf numFmtId="4" fontId="6" fillId="0" borderId="0" xfId="65" applyNumberFormat="1" applyFont="1" applyFill="1" applyBorder="1" applyAlignment="1">
      <alignment horizontal="center"/>
    </xf>
    <xf numFmtId="4" fontId="6" fillId="0" borderId="2" xfId="65" applyNumberFormat="1" applyFont="1" applyFill="1" applyBorder="1" applyAlignment="1">
      <alignment horizontal="center"/>
    </xf>
    <xf numFmtId="0" fontId="6" fillId="0" borderId="2" xfId="65" quotePrefix="1" applyFont="1" applyFill="1" applyBorder="1" applyAlignment="1">
      <alignment horizontal="center"/>
    </xf>
    <xf numFmtId="4" fontId="6" fillId="0" borderId="1" xfId="65" applyNumberFormat="1" applyFont="1" applyFill="1" applyBorder="1" applyAlignment="1">
      <alignment horizontal="center"/>
    </xf>
    <xf numFmtId="4" fontId="6" fillId="0" borderId="2" xfId="65" quotePrefix="1" applyNumberFormat="1" applyFont="1" applyFill="1" applyBorder="1" applyAlignment="1" applyProtection="1">
      <alignment horizontal="center"/>
    </xf>
    <xf numFmtId="4" fontId="6" fillId="0" borderId="2" xfId="65" applyNumberFormat="1" applyFont="1" applyFill="1" applyBorder="1" applyProtection="1"/>
    <xf numFmtId="4" fontId="6" fillId="0" borderId="13" xfId="65" applyNumberFormat="1" applyFont="1" applyFill="1" applyBorder="1"/>
    <xf numFmtId="0" fontId="6" fillId="0" borderId="13" xfId="65" applyFont="1" applyFill="1" applyBorder="1" applyAlignment="1">
      <alignment horizontal="center"/>
    </xf>
    <xf numFmtId="0" fontId="6" fillId="0" borderId="3" xfId="65" applyFont="1" applyFill="1" applyBorder="1" applyAlignment="1">
      <alignment horizontal="center"/>
    </xf>
    <xf numFmtId="4" fontId="6" fillId="0" borderId="3" xfId="65" applyNumberFormat="1" applyFont="1" applyFill="1" applyBorder="1" applyAlignment="1">
      <alignment horizontal="center"/>
    </xf>
    <xf numFmtId="4" fontId="6" fillId="0" borderId="3" xfId="65" applyNumberFormat="1" applyFont="1" applyFill="1" applyBorder="1" applyAlignment="1" applyProtection="1">
      <alignment horizontal="center"/>
    </xf>
    <xf numFmtId="4" fontId="6" fillId="0" borderId="3" xfId="65" quotePrefix="1" applyNumberFormat="1" applyFont="1" applyFill="1" applyBorder="1" applyAlignment="1">
      <alignment horizontal="center"/>
    </xf>
    <xf numFmtId="0" fontId="6" fillId="0" borderId="3" xfId="65" quotePrefix="1" applyFont="1" applyFill="1" applyBorder="1" applyAlignment="1">
      <alignment horizontal="center"/>
    </xf>
    <xf numFmtId="1" fontId="7" fillId="0" borderId="0" xfId="65" applyNumberFormat="1" applyFont="1" applyFill="1" applyAlignment="1">
      <alignment horizontal="center"/>
    </xf>
    <xf numFmtId="1" fontId="7" fillId="0" borderId="10" xfId="65" applyNumberFormat="1" applyFont="1" applyFill="1" applyBorder="1" applyAlignment="1">
      <alignment horizontal="center"/>
    </xf>
    <xf numFmtId="1" fontId="7" fillId="0" borderId="0" xfId="67" applyNumberFormat="1" applyFont="1" applyFill="1" applyBorder="1" applyAlignment="1" applyProtection="1">
      <alignment horizontal="center"/>
    </xf>
    <xf numFmtId="0" fontId="7" fillId="0" borderId="0" xfId="65" applyFont="1" applyFill="1" applyAlignment="1">
      <alignment horizontal="left"/>
    </xf>
    <xf numFmtId="165" fontId="7" fillId="0" borderId="0" xfId="65" applyNumberFormat="1" applyFont="1" applyFill="1" applyAlignment="1" applyProtection="1">
      <alignment horizontal="left"/>
    </xf>
    <xf numFmtId="4" fontId="7" fillId="0" borderId="0" xfId="65" applyNumberFormat="1" applyFont="1" applyFill="1" applyProtection="1"/>
    <xf numFmtId="0" fontId="7" fillId="0" borderId="0" xfId="65" applyFont="1" applyFill="1"/>
    <xf numFmtId="0" fontId="4" fillId="0" borderId="0" xfId="42" applyFont="1" applyAlignment="1">
      <alignment horizontal="left" vertical="center"/>
    </xf>
    <xf numFmtId="0" fontId="6" fillId="0" borderId="1" xfId="42" applyFont="1" applyBorder="1" applyAlignment="1">
      <alignment horizontal="center"/>
    </xf>
    <xf numFmtId="0" fontId="6" fillId="0" borderId="2" xfId="42" applyFont="1" applyBorder="1" applyAlignment="1">
      <alignment horizontal="center"/>
    </xf>
    <xf numFmtId="0" fontId="6" fillId="0" borderId="2" xfId="42" applyFont="1" applyBorder="1" applyAlignment="1">
      <alignment horizontal="left"/>
    </xf>
    <xf numFmtId="0" fontId="6" fillId="0" borderId="2" xfId="42" applyFont="1" applyBorder="1"/>
    <xf numFmtId="0" fontId="6" fillId="0" borderId="3" xfId="42" applyFont="1" applyBorder="1" applyAlignment="1">
      <alignment horizontal="center"/>
    </xf>
    <xf numFmtId="0" fontId="6" fillId="0" borderId="3" xfId="42" applyFont="1" applyBorder="1" applyAlignment="1">
      <alignment horizontal="left"/>
    </xf>
    <xf numFmtId="165" fontId="7" fillId="0" borderId="2" xfId="42" quotePrefix="1" applyNumberFormat="1" applyFont="1" applyBorder="1" applyAlignment="1" applyProtection="1">
      <alignment horizontal="center" vertical="top" wrapText="1"/>
    </xf>
    <xf numFmtId="165" fontId="25" fillId="0" borderId="2" xfId="42" applyNumberFormat="1" applyFont="1" applyBorder="1" applyAlignment="1" applyProtection="1">
      <alignment horizontal="left" vertical="top" wrapText="1"/>
    </xf>
    <xf numFmtId="165" fontId="16" fillId="0" borderId="2" xfId="42" quotePrefix="1" applyNumberFormat="1" applyFont="1" applyBorder="1" applyAlignment="1" applyProtection="1">
      <alignment horizontal="center" vertical="top" wrapText="1"/>
    </xf>
    <xf numFmtId="165" fontId="16" fillId="0" borderId="2" xfId="42" applyNumberFormat="1" applyFont="1" applyBorder="1" applyAlignment="1" applyProtection="1">
      <alignment horizontal="left" vertical="top" wrapText="1"/>
    </xf>
    <xf numFmtId="0" fontId="7" fillId="0" borderId="2" xfId="42" applyFont="1" applyBorder="1" applyAlignment="1">
      <alignment horizontal="center"/>
    </xf>
    <xf numFmtId="0" fontId="7" fillId="0" borderId="2" xfId="42" applyFont="1" applyBorder="1" applyAlignment="1">
      <alignment horizontal="left"/>
    </xf>
    <xf numFmtId="165" fontId="7" fillId="0" borderId="2" xfId="42" quotePrefix="1" applyNumberFormat="1" applyFont="1" applyBorder="1" applyAlignment="1" applyProtection="1">
      <alignment horizontal="center" vertical="top"/>
    </xf>
    <xf numFmtId="165" fontId="7" fillId="0" borderId="2" xfId="42" applyNumberFormat="1" applyFont="1" applyBorder="1" applyAlignment="1" applyProtection="1">
      <alignment horizontal="left" wrapText="1"/>
    </xf>
    <xf numFmtId="165" fontId="7" fillId="0" borderId="2" xfId="42" quotePrefix="1" applyNumberFormat="1" applyFont="1" applyBorder="1" applyAlignment="1" applyProtection="1">
      <alignment horizontal="center" vertical="center"/>
    </xf>
    <xf numFmtId="4" fontId="7" fillId="0" borderId="0" xfId="42" applyNumberFormat="1" applyFont="1"/>
    <xf numFmtId="165" fontId="7" fillId="0" borderId="2" xfId="42" quotePrefix="1" applyNumberFormat="1" applyFont="1" applyBorder="1" applyAlignment="1" applyProtection="1">
      <alignment horizontal="center" vertical="center" wrapText="1"/>
    </xf>
    <xf numFmtId="165" fontId="7" fillId="0" borderId="2" xfId="42" applyNumberFormat="1" applyFont="1" applyBorder="1" applyAlignment="1" applyProtection="1">
      <alignment horizontal="left" vertical="top" wrapText="1"/>
    </xf>
    <xf numFmtId="0" fontId="7" fillId="0" borderId="0" xfId="42" applyFont="1" applyAlignment="1">
      <alignment horizontal="left"/>
    </xf>
    <xf numFmtId="165" fontId="7" fillId="0" borderId="0" xfId="42" applyNumberFormat="1" applyFont="1" applyAlignment="1" applyProtection="1">
      <alignment horizontal="left"/>
    </xf>
    <xf numFmtId="0" fontId="7" fillId="0" borderId="0" xfId="0" applyFont="1" applyFill="1"/>
    <xf numFmtId="4" fontId="7" fillId="0" borderId="0" xfId="42" applyNumberFormat="1" applyFont="1" applyAlignment="1">
      <alignment horizontal="left"/>
    </xf>
    <xf numFmtId="4" fontId="4" fillId="0" borderId="0" xfId="27" applyNumberFormat="1" applyFont="1" applyProtection="1"/>
    <xf numFmtId="0" fontId="5" fillId="0" borderId="0" xfId="27" applyFont="1" applyAlignment="1">
      <alignment vertical="top"/>
    </xf>
    <xf numFmtId="164" fontId="4" fillId="0" borderId="0" xfId="27" applyNumberFormat="1" applyFont="1" applyProtection="1"/>
    <xf numFmtId="0" fontId="5" fillId="0" borderId="0" xfId="27" applyFont="1"/>
    <xf numFmtId="0" fontId="6" fillId="0" borderId="1" xfId="27" applyFont="1" applyBorder="1" applyAlignment="1">
      <alignment horizontal="center"/>
    </xf>
    <xf numFmtId="0" fontId="6" fillId="0" borderId="1" xfId="27" applyFont="1" applyBorder="1" applyAlignment="1">
      <alignment horizontal="center" wrapText="1"/>
    </xf>
    <xf numFmtId="0" fontId="6" fillId="0" borderId="2" xfId="27" applyFont="1" applyBorder="1" applyAlignment="1">
      <alignment horizontal="center"/>
    </xf>
    <xf numFmtId="0" fontId="6" fillId="0" borderId="2" xfId="27" applyFont="1" applyBorder="1" applyAlignment="1">
      <alignment wrapText="1"/>
    </xf>
    <xf numFmtId="0" fontId="6" fillId="0" borderId="2" xfId="27" applyFont="1" applyBorder="1"/>
    <xf numFmtId="0" fontId="6" fillId="0" borderId="3" xfId="27" applyFont="1" applyBorder="1" applyAlignment="1">
      <alignment horizontal="center"/>
    </xf>
    <xf numFmtId="0" fontId="6" fillId="0" borderId="3" xfId="27" applyFont="1" applyBorder="1" applyAlignment="1">
      <alignment horizontal="center" wrapText="1"/>
    </xf>
    <xf numFmtId="4" fontId="5" fillId="0" borderId="0" xfId="32" applyNumberFormat="1" applyFont="1" applyFill="1" applyProtection="1"/>
    <xf numFmtId="4" fontId="4" fillId="0" borderId="0" xfId="32" applyNumberFormat="1" applyFont="1" applyFill="1" applyBorder="1" applyAlignment="1" applyProtection="1">
      <alignment horizontal="left"/>
    </xf>
    <xf numFmtId="4" fontId="7" fillId="0" borderId="2" xfId="10" applyNumberFormat="1" applyFont="1" applyFill="1" applyBorder="1" applyAlignment="1" applyProtection="1">
      <alignment horizontal="center" vertical="center" wrapText="1"/>
    </xf>
    <xf numFmtId="0" fontId="7" fillId="0" borderId="2" xfId="10" applyNumberFormat="1" applyFont="1" applyFill="1" applyBorder="1" applyAlignment="1" applyProtection="1">
      <alignment horizontal="center" vertical="center" wrapText="1"/>
    </xf>
    <xf numFmtId="4" fontId="7" fillId="0" borderId="2" xfId="27" applyNumberFormat="1" applyFont="1" applyFill="1" applyBorder="1" applyAlignment="1" applyProtection="1">
      <alignment horizontal="center" vertical="center" wrapText="1"/>
    </xf>
    <xf numFmtId="3" fontId="7" fillId="0" borderId="2" xfId="27" applyNumberFormat="1" applyFont="1" applyFill="1" applyBorder="1" applyAlignment="1" applyProtection="1">
      <alignment horizontal="center" vertical="center"/>
    </xf>
    <xf numFmtId="4" fontId="7" fillId="0" borderId="2" xfId="27" applyNumberFormat="1" applyFont="1" applyFill="1" applyBorder="1" applyAlignment="1" applyProtection="1">
      <alignment horizontal="center" vertical="center"/>
    </xf>
    <xf numFmtId="0" fontId="7" fillId="0" borderId="10" xfId="27" applyNumberFormat="1" applyFont="1" applyFill="1" applyBorder="1" applyAlignment="1">
      <alignment horizontal="center" vertical="center"/>
    </xf>
    <xf numFmtId="4" fontId="7" fillId="0" borderId="0" xfId="27" applyNumberFormat="1" applyFont="1" applyFill="1" applyAlignment="1">
      <alignment horizontal="center" vertical="center"/>
    </xf>
    <xf numFmtId="0" fontId="7" fillId="0" borderId="2" xfId="27" applyNumberFormat="1" applyFont="1" applyFill="1" applyBorder="1" applyAlignment="1" applyProtection="1">
      <alignment horizontal="center" vertical="center"/>
    </xf>
    <xf numFmtId="4" fontId="7" fillId="0" borderId="2" xfId="27" applyNumberFormat="1" applyFont="1" applyFill="1" applyBorder="1" applyAlignment="1">
      <alignment horizontal="center" vertical="center"/>
    </xf>
    <xf numFmtId="4" fontId="7" fillId="0" borderId="10" xfId="27" applyNumberFormat="1" applyFont="1" applyFill="1" applyBorder="1" applyAlignment="1">
      <alignment horizontal="center" vertical="center"/>
    </xf>
    <xf numFmtId="164" fontId="7" fillId="0" borderId="2" xfId="27" applyNumberFormat="1" applyFont="1" applyFill="1" applyBorder="1" applyAlignment="1" applyProtection="1">
      <alignment horizontal="center" vertical="center"/>
    </xf>
    <xf numFmtId="0" fontId="4" fillId="0" borderId="0" xfId="38" applyFont="1" applyAlignment="1">
      <alignment horizontal="left" vertical="center"/>
    </xf>
    <xf numFmtId="165" fontId="7" fillId="0" borderId="2" xfId="38" quotePrefix="1" applyNumberFormat="1" applyFont="1" applyBorder="1" applyAlignment="1" applyProtection="1">
      <alignment horizontal="center" vertical="center"/>
    </xf>
    <xf numFmtId="165" fontId="7" fillId="0" borderId="2" xfId="38" quotePrefix="1" applyNumberFormat="1" applyFont="1" applyBorder="1" applyAlignment="1" applyProtection="1">
      <alignment horizontal="center" vertical="center" wrapText="1"/>
    </xf>
    <xf numFmtId="165" fontId="7" fillId="0" borderId="2" xfId="38" applyNumberFormat="1" applyFont="1" applyBorder="1" applyAlignment="1" applyProtection="1">
      <alignment vertical="center" wrapText="1"/>
    </xf>
    <xf numFmtId="0" fontId="5" fillId="0" borderId="0" xfId="32" applyFont="1" applyFill="1"/>
    <xf numFmtId="0" fontId="55" fillId="0" borderId="0" xfId="32" applyFont="1" applyFill="1"/>
    <xf numFmtId="4" fontId="5" fillId="0" borderId="0" xfId="32" applyNumberFormat="1" applyFont="1" applyFill="1" applyBorder="1" applyAlignment="1" applyProtection="1">
      <alignment horizontal="left"/>
    </xf>
    <xf numFmtId="0" fontId="5" fillId="0" borderId="0" xfId="32" applyFont="1" applyFill="1" applyBorder="1" applyAlignment="1">
      <alignment horizontal="left"/>
    </xf>
    <xf numFmtId="1" fontId="7" fillId="0" borderId="10" xfId="32" applyNumberFormat="1" applyFont="1" applyFill="1" applyBorder="1" applyAlignment="1">
      <alignment horizontal="center"/>
    </xf>
    <xf numFmtId="1" fontId="7" fillId="0" borderId="0" xfId="33" applyNumberFormat="1" applyFont="1" applyFill="1" applyBorder="1" applyAlignment="1" applyProtection="1">
      <alignment horizontal="center"/>
    </xf>
    <xf numFmtId="0" fontId="4" fillId="0" borderId="0" xfId="32" applyFont="1" applyFill="1"/>
    <xf numFmtId="0" fontId="3" fillId="0" borderId="3" xfId="32" quotePrefix="1" applyFont="1" applyFill="1" applyBorder="1" applyAlignment="1">
      <alignment horizontal="center"/>
    </xf>
    <xf numFmtId="0" fontId="56" fillId="0" borderId="10" xfId="0" applyFont="1" applyBorder="1" applyAlignment="1">
      <alignment horizontal="center"/>
    </xf>
    <xf numFmtId="0" fontId="72" fillId="0" borderId="2" xfId="32" applyFont="1" applyFill="1" applyBorder="1" applyAlignment="1">
      <alignment horizontal="center"/>
    </xf>
    <xf numFmtId="4" fontId="72" fillId="0" borderId="2" xfId="32" applyNumberFormat="1" applyFont="1" applyFill="1" applyBorder="1" applyAlignment="1" applyProtection="1">
      <alignment horizontal="center" vertical="center"/>
    </xf>
    <xf numFmtId="165" fontId="72" fillId="0" borderId="2" xfId="38" applyNumberFormat="1" applyFont="1" applyFill="1" applyBorder="1" applyAlignment="1" applyProtection="1">
      <alignment horizontal="left" vertical="center" wrapText="1"/>
    </xf>
    <xf numFmtId="2" fontId="72" fillId="0" borderId="10" xfId="32" applyNumberFormat="1" applyFont="1" applyFill="1" applyBorder="1" applyAlignment="1" applyProtection="1">
      <alignment horizontal="center" vertical="center"/>
    </xf>
    <xf numFmtId="1" fontId="72" fillId="0" borderId="2" xfId="32" applyNumberFormat="1" applyFont="1" applyFill="1" applyBorder="1" applyAlignment="1" applyProtection="1">
      <alignment horizontal="center" vertical="center"/>
    </xf>
    <xf numFmtId="4" fontId="72" fillId="0" borderId="2" xfId="32" applyNumberFormat="1" applyFont="1" applyFill="1" applyBorder="1" applyAlignment="1" applyProtection="1">
      <alignment horizontal="center"/>
    </xf>
    <xf numFmtId="4" fontId="72" fillId="0" borderId="2" xfId="32" applyNumberFormat="1" applyFont="1" applyFill="1" applyBorder="1" applyAlignment="1">
      <alignment horizontal="center"/>
    </xf>
    <xf numFmtId="4" fontId="72" fillId="0" borderId="2" xfId="32" applyNumberFormat="1" applyFont="1" applyFill="1" applyBorder="1" applyAlignment="1">
      <alignment horizontal="center" vertical="center"/>
    </xf>
    <xf numFmtId="4" fontId="72" fillId="0" borderId="0" xfId="32" applyNumberFormat="1" applyFont="1" applyFill="1"/>
    <xf numFmtId="4" fontId="72" fillId="0" borderId="10" xfId="32" applyNumberFormat="1" applyFont="1" applyFill="1" applyBorder="1" applyAlignment="1" applyProtection="1">
      <alignment horizontal="center" vertical="center" wrapText="1"/>
    </xf>
    <xf numFmtId="165" fontId="72" fillId="0" borderId="0" xfId="32" applyNumberFormat="1" applyFont="1" applyFill="1" applyBorder="1" applyAlignment="1" applyProtection="1">
      <alignment horizontal="left" vertical="center" wrapText="1"/>
    </xf>
    <xf numFmtId="3" fontId="72" fillId="0" borderId="2" xfId="32" applyNumberFormat="1" applyFont="1" applyFill="1" applyBorder="1" applyAlignment="1" applyProtection="1">
      <alignment horizontal="center" vertical="center"/>
    </xf>
    <xf numFmtId="4" fontId="72" fillId="0" borderId="2" xfId="32" applyNumberFormat="1" applyFont="1" applyFill="1" applyBorder="1" applyAlignment="1" applyProtection="1">
      <alignment horizontal="center" vertical="center" wrapText="1"/>
    </xf>
    <xf numFmtId="165" fontId="72" fillId="0" borderId="2" xfId="32" applyNumberFormat="1" applyFont="1" applyFill="1" applyBorder="1" applyAlignment="1" applyProtection="1">
      <alignment horizontal="left" vertical="center"/>
    </xf>
    <xf numFmtId="165" fontId="72" fillId="0" borderId="10" xfId="32" applyNumberFormat="1" applyFont="1" applyFill="1" applyBorder="1" applyAlignment="1" applyProtection="1">
      <alignment horizontal="center" vertical="center"/>
    </xf>
    <xf numFmtId="1" fontId="72" fillId="0" borderId="2" xfId="32" applyNumberFormat="1" applyFont="1" applyFill="1" applyBorder="1" applyAlignment="1" applyProtection="1">
      <alignment horizontal="center" vertical="center" wrapText="1"/>
    </xf>
    <xf numFmtId="3" fontId="72" fillId="0" borderId="2" xfId="32" applyNumberFormat="1" applyFont="1" applyFill="1" applyBorder="1" applyAlignment="1" applyProtection="1">
      <alignment horizontal="center" vertical="center" wrapText="1"/>
    </xf>
    <xf numFmtId="4" fontId="72" fillId="0" borderId="10" xfId="32" applyNumberFormat="1" applyFont="1" applyFill="1" applyBorder="1" applyAlignment="1">
      <alignment horizontal="center"/>
    </xf>
    <xf numFmtId="165" fontId="72" fillId="0" borderId="2" xfId="32" applyNumberFormat="1" applyFont="1" applyFill="1" applyBorder="1" applyAlignment="1" applyProtection="1">
      <alignment horizontal="left" vertical="top"/>
    </xf>
    <xf numFmtId="165" fontId="72" fillId="0" borderId="10" xfId="32" applyNumberFormat="1" applyFont="1" applyFill="1" applyBorder="1" applyAlignment="1" applyProtection="1">
      <alignment horizontal="left" vertical="top"/>
    </xf>
    <xf numFmtId="165" fontId="72" fillId="0" borderId="2" xfId="32" applyNumberFormat="1" applyFont="1" applyFill="1" applyBorder="1" applyAlignment="1" applyProtection="1">
      <alignment horizontal="left" vertical="top" wrapText="1"/>
    </xf>
    <xf numFmtId="165" fontId="72" fillId="0" borderId="10" xfId="32" applyNumberFormat="1" applyFont="1" applyFill="1" applyBorder="1" applyAlignment="1" applyProtection="1">
      <alignment vertical="top" wrapText="1"/>
    </xf>
    <xf numFmtId="1" fontId="72" fillId="0" borderId="2" xfId="32" applyNumberFormat="1" applyFont="1" applyFill="1" applyBorder="1" applyAlignment="1" applyProtection="1">
      <alignment horizontal="center" vertical="top" wrapText="1"/>
    </xf>
    <xf numFmtId="165" fontId="72" fillId="0" borderId="2" xfId="32" applyNumberFormat="1" applyFont="1" applyFill="1" applyBorder="1" applyAlignment="1" applyProtection="1">
      <alignment horizontal="left" wrapText="1"/>
    </xf>
    <xf numFmtId="165" fontId="72" fillId="0" borderId="3" xfId="32" applyNumberFormat="1" applyFont="1" applyFill="1" applyBorder="1" applyAlignment="1" applyProtection="1">
      <alignment horizontal="center"/>
    </xf>
    <xf numFmtId="165" fontId="72" fillId="0" borderId="3" xfId="32" applyNumberFormat="1" applyFont="1" applyFill="1" applyBorder="1" applyAlignment="1" applyProtection="1">
      <alignment horizontal="left"/>
    </xf>
    <xf numFmtId="1" fontId="72" fillId="0" borderId="2" xfId="32" applyNumberFormat="1" applyFont="1" applyFill="1" applyBorder="1" applyAlignment="1">
      <alignment horizontal="center"/>
    </xf>
    <xf numFmtId="2" fontId="72" fillId="0" borderId="2" xfId="32" applyNumberFormat="1" applyFont="1" applyFill="1" applyBorder="1" applyAlignment="1">
      <alignment horizontal="center"/>
    </xf>
    <xf numFmtId="4" fontId="72" fillId="0" borderId="2" xfId="32" quotePrefix="1" applyNumberFormat="1" applyFont="1" applyFill="1" applyBorder="1" applyAlignment="1">
      <alignment horizontal="center"/>
    </xf>
    <xf numFmtId="0" fontId="72" fillId="0" borderId="2" xfId="32" quotePrefix="1" applyFont="1" applyFill="1" applyBorder="1" applyAlignment="1">
      <alignment horizontal="center"/>
    </xf>
    <xf numFmtId="1" fontId="72" fillId="0" borderId="0" xfId="32" applyNumberFormat="1" applyFont="1" applyFill="1" applyAlignment="1">
      <alignment horizontal="center"/>
    </xf>
    <xf numFmtId="1" fontId="72" fillId="0" borderId="10" xfId="32" applyNumberFormat="1" applyFont="1" applyFill="1" applyBorder="1" applyAlignment="1">
      <alignment horizontal="center"/>
    </xf>
    <xf numFmtId="1" fontId="72" fillId="0" borderId="0" xfId="33" applyNumberFormat="1" applyFont="1" applyFill="1" applyBorder="1" applyAlignment="1" applyProtection="1">
      <alignment horizontal="center"/>
    </xf>
    <xf numFmtId="1" fontId="72" fillId="0" borderId="2" xfId="32" applyNumberFormat="1" applyFont="1" applyFill="1" applyBorder="1" applyAlignment="1" applyProtection="1">
      <alignment horizontal="center" vertical="top"/>
    </xf>
    <xf numFmtId="0" fontId="72" fillId="0" borderId="2" xfId="32" applyNumberFormat="1" applyFont="1" applyFill="1" applyBorder="1" applyAlignment="1" applyProtection="1">
      <alignment horizontal="center" vertical="center"/>
    </xf>
    <xf numFmtId="167" fontId="72" fillId="0" borderId="2" xfId="32" applyNumberFormat="1" applyFont="1" applyFill="1" applyBorder="1" applyAlignment="1" applyProtection="1">
      <alignment horizontal="center" vertical="center"/>
    </xf>
    <xf numFmtId="2" fontId="73" fillId="0" borderId="10" xfId="32" applyNumberFormat="1" applyFont="1" applyFill="1" applyBorder="1" applyAlignment="1" applyProtection="1">
      <alignment horizontal="center" vertical="center"/>
    </xf>
    <xf numFmtId="164" fontId="72" fillId="0" borderId="2" xfId="32" applyNumberFormat="1" applyFont="1" applyFill="1" applyBorder="1" applyAlignment="1" applyProtection="1">
      <alignment horizontal="center" vertical="center"/>
    </xf>
    <xf numFmtId="171" fontId="72" fillId="0" borderId="3" xfId="32" applyNumberFormat="1" applyFont="1" applyFill="1" applyBorder="1" applyAlignment="1" applyProtection="1">
      <alignment horizontal="center" vertical="center"/>
    </xf>
    <xf numFmtId="4" fontId="72" fillId="0" borderId="3" xfId="32" applyNumberFormat="1" applyFont="1" applyFill="1" applyBorder="1" applyAlignment="1" applyProtection="1">
      <alignment horizontal="center" vertical="center"/>
    </xf>
    <xf numFmtId="164" fontId="72" fillId="0" borderId="3" xfId="32" applyNumberFormat="1" applyFont="1" applyFill="1" applyBorder="1" applyAlignment="1" applyProtection="1">
      <alignment horizontal="center" vertical="center"/>
    </xf>
    <xf numFmtId="4" fontId="72" fillId="0" borderId="0" xfId="32" applyNumberFormat="1" applyFont="1" applyFill="1" applyAlignment="1">
      <alignment horizontal="left" vertical="center"/>
    </xf>
    <xf numFmtId="0" fontId="72" fillId="0" borderId="10" xfId="0" applyFont="1" applyBorder="1" applyAlignment="1">
      <alignment horizontal="center"/>
    </xf>
    <xf numFmtId="1" fontId="74" fillId="0" borderId="14" xfId="32" applyNumberFormat="1" applyFont="1" applyFill="1" applyBorder="1" applyAlignment="1">
      <alignment horizontal="left" vertical="center"/>
    </xf>
    <xf numFmtId="2" fontId="72" fillId="0" borderId="2" xfId="32" applyNumberFormat="1" applyFont="1" applyFill="1" applyBorder="1" applyAlignment="1">
      <alignment horizontal="center" vertical="center"/>
    </xf>
    <xf numFmtId="1" fontId="72" fillId="0" borderId="2" xfId="32" applyNumberFormat="1" applyFont="1" applyFill="1" applyBorder="1" applyAlignment="1">
      <alignment horizontal="center" vertical="center"/>
    </xf>
    <xf numFmtId="1" fontId="72" fillId="0" borderId="0" xfId="32" applyNumberFormat="1" applyFont="1" applyFill="1" applyAlignment="1">
      <alignment horizontal="center" vertical="center"/>
    </xf>
    <xf numFmtId="1" fontId="72" fillId="0" borderId="10" xfId="32" applyNumberFormat="1" applyFont="1" applyFill="1" applyBorder="1" applyAlignment="1">
      <alignment horizontal="center" vertical="center"/>
    </xf>
    <xf numFmtId="1" fontId="72" fillId="0" borderId="0" xfId="33" applyNumberFormat="1" applyFont="1" applyFill="1" applyBorder="1" applyAlignment="1" applyProtection="1">
      <alignment horizontal="center" vertical="center"/>
    </xf>
    <xf numFmtId="1" fontId="72" fillId="0" borderId="10" xfId="32" applyNumberFormat="1" applyFont="1" applyFill="1" applyBorder="1" applyAlignment="1" applyProtection="1">
      <alignment horizontal="center" vertical="center"/>
    </xf>
    <xf numFmtId="0" fontId="72" fillId="0" borderId="2" xfId="32" applyFont="1" applyFill="1" applyBorder="1" applyAlignment="1">
      <alignment horizontal="center" vertical="center"/>
    </xf>
    <xf numFmtId="4" fontId="72" fillId="0" borderId="2" xfId="32" quotePrefix="1" applyNumberFormat="1" applyFont="1" applyFill="1" applyBorder="1" applyAlignment="1">
      <alignment horizontal="center" vertical="center"/>
    </xf>
    <xf numFmtId="0" fontId="72" fillId="0" borderId="2" xfId="32" quotePrefix="1" applyFont="1" applyFill="1" applyBorder="1" applyAlignment="1">
      <alignment horizontal="center" vertical="center"/>
    </xf>
    <xf numFmtId="4" fontId="72" fillId="0" borderId="10" xfId="32" applyNumberFormat="1" applyFont="1" applyFill="1" applyBorder="1" applyAlignment="1">
      <alignment horizontal="center" vertical="center"/>
    </xf>
    <xf numFmtId="165" fontId="72" fillId="0" borderId="3" xfId="32" applyNumberFormat="1" applyFont="1" applyFill="1" applyBorder="1" applyAlignment="1" applyProtection="1">
      <alignment horizontal="center" vertical="center"/>
    </xf>
    <xf numFmtId="4" fontId="73" fillId="0" borderId="2" xfId="32" applyNumberFormat="1" applyFont="1" applyFill="1" applyBorder="1" applyAlignment="1" applyProtection="1">
      <alignment horizontal="center" vertical="center"/>
    </xf>
    <xf numFmtId="165" fontId="72" fillId="0" borderId="0" xfId="32" applyNumberFormat="1" applyFont="1" applyFill="1" applyBorder="1" applyAlignment="1" applyProtection="1">
      <alignment horizontal="center" vertical="center" wrapText="1"/>
    </xf>
    <xf numFmtId="165" fontId="72" fillId="0" borderId="2" xfId="32" applyNumberFormat="1" applyFont="1" applyFill="1" applyBorder="1" applyAlignment="1" applyProtection="1">
      <alignment horizontal="center" vertical="center"/>
    </xf>
    <xf numFmtId="165" fontId="72" fillId="0" borderId="2" xfId="32" applyNumberFormat="1" applyFont="1" applyFill="1" applyBorder="1" applyAlignment="1" applyProtection="1">
      <alignment horizontal="center" vertical="center" wrapText="1"/>
    </xf>
    <xf numFmtId="165" fontId="72" fillId="0" borderId="10" xfId="32" applyNumberFormat="1" applyFont="1" applyFill="1" applyBorder="1" applyAlignment="1" applyProtection="1">
      <alignment horizontal="center" vertical="center" wrapText="1"/>
    </xf>
    <xf numFmtId="1" fontId="72" fillId="0" borderId="3" xfId="32" applyNumberFormat="1" applyFont="1" applyFill="1" applyBorder="1" applyAlignment="1" applyProtection="1">
      <alignment horizontal="center" vertical="center"/>
    </xf>
    <xf numFmtId="3" fontId="72" fillId="0" borderId="3" xfId="32" applyNumberFormat="1" applyFont="1" applyFill="1" applyBorder="1" applyAlignment="1" applyProtection="1">
      <alignment horizontal="center" vertical="center"/>
    </xf>
    <xf numFmtId="4" fontId="5" fillId="0" borderId="0" xfId="27" applyNumberFormat="1" applyFont="1" applyProtection="1"/>
    <xf numFmtId="4" fontId="38" fillId="0" borderId="2" xfId="27" applyNumberFormat="1" applyFont="1" applyFill="1" applyBorder="1" applyAlignment="1" applyProtection="1">
      <alignment horizontal="center" vertical="center" wrapText="1"/>
    </xf>
    <xf numFmtId="0" fontId="4" fillId="0" borderId="0" xfId="43" applyFont="1" applyFill="1"/>
    <xf numFmtId="4" fontId="4" fillId="0" borderId="0" xfId="43" applyNumberFormat="1" applyFont="1" applyFill="1" applyProtection="1"/>
    <xf numFmtId="0" fontId="4" fillId="0" borderId="0" xfId="21" quotePrefix="1" applyFont="1" applyFill="1" applyAlignment="1">
      <alignment horizontal="left"/>
    </xf>
    <xf numFmtId="0" fontId="4" fillId="0" borderId="0" xfId="21" applyFont="1" applyFill="1" applyAlignment="1">
      <alignment horizontal="left"/>
    </xf>
    <xf numFmtId="0" fontId="4" fillId="0" borderId="0" xfId="43" applyFont="1" applyFill="1" applyAlignment="1">
      <alignment horizontal="left"/>
    </xf>
    <xf numFmtId="0" fontId="6" fillId="0" borderId="1" xfId="19" applyFont="1" applyBorder="1" applyAlignment="1">
      <alignment horizontal="center"/>
    </xf>
    <xf numFmtId="0" fontId="6" fillId="0" borderId="2" xfId="19" applyFont="1" applyBorder="1" applyAlignment="1">
      <alignment horizontal="center"/>
    </xf>
    <xf numFmtId="0" fontId="6" fillId="0" borderId="2" xfId="19" applyFont="1" applyBorder="1"/>
    <xf numFmtId="0" fontId="6" fillId="0" borderId="3" xfId="19" applyFont="1" applyBorder="1" applyAlignment="1">
      <alignment horizontal="center"/>
    </xf>
    <xf numFmtId="0" fontId="7" fillId="0" borderId="16" xfId="24" applyFont="1" applyBorder="1" applyAlignment="1">
      <alignment horizontal="center" vertical="center" wrapText="1"/>
    </xf>
    <xf numFmtId="0" fontId="22" fillId="0" borderId="2" xfId="24" applyFont="1" applyBorder="1" applyAlignment="1">
      <alignment horizontal="justify" vertical="center"/>
    </xf>
    <xf numFmtId="0" fontId="7" fillId="0" borderId="16" xfId="24" applyFont="1" applyFill="1" applyBorder="1" applyAlignment="1">
      <alignment horizontal="center" vertical="center" wrapText="1"/>
    </xf>
    <xf numFmtId="0" fontId="16" fillId="0" borderId="2" xfId="24" applyFont="1" applyFill="1" applyBorder="1" applyAlignment="1">
      <alignment horizontal="center" vertical="center"/>
    </xf>
    <xf numFmtId="171" fontId="7" fillId="0" borderId="2" xfId="0" applyNumberFormat="1" applyFont="1" applyFill="1" applyBorder="1" applyAlignment="1">
      <alignment horizontal="center" vertical="center"/>
    </xf>
    <xf numFmtId="0" fontId="16" fillId="0" borderId="16" xfId="24" applyFont="1" applyFill="1" applyBorder="1" applyAlignment="1">
      <alignment horizontal="center" vertical="center" wrapText="1"/>
    </xf>
    <xf numFmtId="0" fontId="75" fillId="0" borderId="16" xfId="24" applyFont="1" applyFill="1" applyBorder="1" applyAlignment="1">
      <alignment horizontal="center" vertical="center" wrapText="1"/>
    </xf>
    <xf numFmtId="0" fontId="75" fillId="0" borderId="2" xfId="24" applyFont="1" applyFill="1" applyBorder="1" applyAlignment="1">
      <alignment horizontal="left" vertical="center" wrapText="1"/>
    </xf>
    <xf numFmtId="4" fontId="7" fillId="0" borderId="10" xfId="43" applyNumberFormat="1" applyFont="1" applyFill="1" applyBorder="1" applyAlignment="1">
      <alignment horizontal="center" vertical="center"/>
    </xf>
    <xf numFmtId="4" fontId="7" fillId="0" borderId="14" xfId="43" applyNumberFormat="1" applyFont="1" applyFill="1" applyBorder="1" applyAlignment="1">
      <alignment horizontal="center" vertical="center"/>
    </xf>
    <xf numFmtId="0" fontId="7" fillId="0" borderId="2" xfId="43" applyNumberFormat="1" applyFont="1" applyFill="1" applyBorder="1" applyAlignment="1" applyProtection="1">
      <alignment horizontal="center" vertical="center"/>
    </xf>
    <xf numFmtId="4" fontId="22" fillId="0" borderId="2" xfId="19" applyNumberFormat="1" applyFont="1" applyFill="1" applyBorder="1" applyAlignment="1" applyProtection="1">
      <alignment horizontal="center" vertical="center"/>
    </xf>
    <xf numFmtId="4" fontId="22" fillId="0" borderId="2" xfId="19" applyNumberFormat="1" applyFont="1" applyFill="1" applyBorder="1" applyAlignment="1" applyProtection="1">
      <alignment horizontal="center" vertical="center" wrapText="1"/>
    </xf>
    <xf numFmtId="4" fontId="7" fillId="0" borderId="14" xfId="43" applyNumberFormat="1" applyFont="1" applyFill="1" applyBorder="1" applyAlignment="1" applyProtection="1">
      <alignment horizontal="center" vertical="center"/>
    </xf>
    <xf numFmtId="4" fontId="7" fillId="0" borderId="14" xfId="43" applyNumberFormat="1" applyFont="1" applyFill="1" applyBorder="1" applyAlignment="1" applyProtection="1">
      <alignment horizontal="center" vertical="center" wrapText="1"/>
    </xf>
    <xf numFmtId="4" fontId="7" fillId="0" borderId="10" xfId="43" applyNumberFormat="1" applyFont="1" applyFill="1" applyBorder="1" applyAlignment="1" applyProtection="1">
      <alignment horizontal="center" vertical="center" wrapText="1"/>
    </xf>
    <xf numFmtId="0" fontId="4" fillId="0" borderId="0" xfId="38" applyFont="1" applyFill="1" applyAlignment="1">
      <alignment vertical="center"/>
    </xf>
    <xf numFmtId="4" fontId="4" fillId="0" borderId="0" xfId="38" applyNumberFormat="1" applyFont="1" applyFill="1" applyAlignment="1" applyProtection="1">
      <alignment vertical="center"/>
    </xf>
    <xf numFmtId="4" fontId="4" fillId="0" borderId="0" xfId="38" applyNumberFormat="1" applyFont="1" applyFill="1" applyAlignment="1">
      <alignment vertical="center"/>
    </xf>
    <xf numFmtId="0" fontId="4" fillId="0" borderId="0" xfId="21" quotePrefix="1" applyFont="1" applyFill="1" applyAlignment="1">
      <alignment horizontal="left" vertical="center"/>
    </xf>
    <xf numFmtId="0" fontId="4" fillId="0" borderId="0" xfId="21" applyFont="1" applyFill="1" applyAlignment="1">
      <alignment horizontal="left" vertical="center"/>
    </xf>
    <xf numFmtId="4" fontId="4" fillId="0" borderId="0" xfId="21" applyNumberFormat="1" applyFont="1" applyFill="1" applyAlignment="1">
      <alignment vertical="center"/>
    </xf>
    <xf numFmtId="0" fontId="4" fillId="0" borderId="0" xfId="21" applyFont="1" applyFill="1" applyAlignment="1">
      <alignment vertical="center"/>
    </xf>
    <xf numFmtId="4" fontId="4" fillId="0" borderId="0" xfId="22" applyNumberFormat="1" applyFont="1" applyFill="1" applyAlignment="1">
      <alignment horizontal="left" vertical="center"/>
    </xf>
    <xf numFmtId="4" fontId="4" fillId="0" borderId="0" xfId="38" applyNumberFormat="1" applyFont="1" applyFill="1" applyBorder="1" applyAlignment="1" applyProtection="1">
      <alignment horizontal="left" vertical="center"/>
    </xf>
    <xf numFmtId="0" fontId="4" fillId="0" borderId="0" xfId="22" applyFont="1" applyFill="1" applyAlignment="1">
      <alignment vertical="center"/>
    </xf>
    <xf numFmtId="0" fontId="4" fillId="0" borderId="0" xfId="22" applyFont="1" applyFill="1" applyAlignment="1">
      <alignment horizontal="left" vertical="center"/>
    </xf>
    <xf numFmtId="4" fontId="4" fillId="0" borderId="0" xfId="22" applyNumberFormat="1" applyFont="1" applyFill="1" applyAlignment="1">
      <alignment vertical="center"/>
    </xf>
    <xf numFmtId="4" fontId="4" fillId="0" borderId="0" xfId="22" applyNumberFormat="1" applyFont="1" applyFill="1" applyAlignment="1" applyProtection="1">
      <alignment vertical="center"/>
    </xf>
    <xf numFmtId="4" fontId="4" fillId="0" borderId="0" xfId="22" applyNumberFormat="1" applyFont="1" applyFill="1" applyBorder="1" applyAlignment="1" applyProtection="1">
      <alignment horizontal="left" vertical="center"/>
    </xf>
    <xf numFmtId="4" fontId="6" fillId="0" borderId="2" xfId="38" applyNumberFormat="1" applyFont="1" applyFill="1" applyBorder="1" applyAlignment="1" applyProtection="1">
      <alignment horizontal="center" vertical="center"/>
    </xf>
    <xf numFmtId="0" fontId="6" fillId="0" borderId="3" xfId="38" applyFont="1" applyFill="1" applyBorder="1" applyAlignment="1">
      <alignment horizontal="center" vertical="center"/>
    </xf>
    <xf numFmtId="4" fontId="6" fillId="0" borderId="3" xfId="38" applyNumberFormat="1" applyFont="1" applyFill="1" applyBorder="1" applyAlignment="1">
      <alignment horizontal="center" vertical="center"/>
    </xf>
    <xf numFmtId="4" fontId="6" fillId="0" borderId="3" xfId="38" applyNumberFormat="1" applyFont="1" applyFill="1" applyBorder="1" applyAlignment="1" applyProtection="1">
      <alignment horizontal="center" vertical="center"/>
    </xf>
    <xf numFmtId="4" fontId="6" fillId="0" borderId="3" xfId="38" quotePrefix="1" applyNumberFormat="1" applyFont="1" applyFill="1" applyBorder="1" applyAlignment="1">
      <alignment horizontal="center" vertical="center"/>
    </xf>
    <xf numFmtId="0" fontId="6" fillId="0" borderId="3" xfId="38" quotePrefix="1" applyFont="1" applyFill="1" applyBorder="1" applyAlignment="1">
      <alignment horizontal="center" vertical="center"/>
    </xf>
    <xf numFmtId="0" fontId="3" fillId="0" borderId="3" xfId="22" applyFont="1" applyFill="1" applyBorder="1" applyAlignment="1">
      <alignment horizontal="center" vertical="center"/>
    </xf>
    <xf numFmtId="0" fontId="7" fillId="0" borderId="2" xfId="24" applyFont="1" applyFill="1" applyBorder="1" applyAlignment="1">
      <alignment horizontal="left" vertical="center"/>
    </xf>
    <xf numFmtId="0" fontId="7" fillId="0" borderId="2" xfId="23" applyFont="1" applyFill="1" applyBorder="1" applyAlignment="1">
      <alignment horizontal="center" vertical="center" wrapText="1"/>
    </xf>
    <xf numFmtId="0" fontId="4" fillId="0" borderId="0" xfId="32" applyFont="1" applyFill="1" applyAlignment="1">
      <alignment vertical="top"/>
    </xf>
    <xf numFmtId="0" fontId="7" fillId="0" borderId="0" xfId="32" applyFont="1" applyFill="1" applyAlignment="1">
      <alignment horizontal="left"/>
    </xf>
    <xf numFmtId="165" fontId="7" fillId="0" borderId="0" xfId="32" applyNumberFormat="1" applyFont="1" applyFill="1" applyAlignment="1" applyProtection="1">
      <alignment horizontal="left"/>
    </xf>
    <xf numFmtId="4" fontId="7" fillId="0" borderId="0" xfId="32" applyNumberFormat="1" applyFont="1" applyFill="1" applyProtection="1"/>
    <xf numFmtId="0" fontId="7" fillId="0" borderId="10" xfId="26" applyFont="1" applyBorder="1" applyAlignment="1">
      <alignment horizontal="center"/>
    </xf>
    <xf numFmtId="1" fontId="7" fillId="0" borderId="10" xfId="33" applyNumberFormat="1" applyFont="1" applyFill="1" applyBorder="1" applyAlignment="1" applyProtection="1">
      <alignment horizontal="center" vertical="center"/>
    </xf>
    <xf numFmtId="1" fontId="7" fillId="0" borderId="10" xfId="32" applyNumberFormat="1" applyFont="1" applyFill="1" applyBorder="1" applyAlignment="1" applyProtection="1">
      <alignment horizontal="center" vertical="center" wrapText="1"/>
    </xf>
    <xf numFmtId="0" fontId="7" fillId="0" borderId="10" xfId="26" applyFont="1" applyBorder="1" applyAlignment="1">
      <alignment horizontal="left" vertical="center"/>
    </xf>
    <xf numFmtId="0" fontId="6" fillId="0" borderId="3" xfId="0" applyFont="1" applyFill="1" applyBorder="1"/>
    <xf numFmtId="165" fontId="72" fillId="0" borderId="2" xfId="38" quotePrefix="1" applyNumberFormat="1" applyFont="1" applyBorder="1" applyAlignment="1" applyProtection="1">
      <alignment horizontal="center" vertical="top" wrapText="1"/>
    </xf>
    <xf numFmtId="165" fontId="74" fillId="0" borderId="2" xfId="38" applyNumberFormat="1" applyFont="1" applyBorder="1" applyAlignment="1" applyProtection="1">
      <alignment horizontal="left" vertical="top" wrapText="1"/>
    </xf>
    <xf numFmtId="165" fontId="76" fillId="0" borderId="2" xfId="38" quotePrefix="1" applyNumberFormat="1" applyFont="1" applyBorder="1" applyAlignment="1" applyProtection="1">
      <alignment horizontal="center" vertical="top" wrapText="1"/>
    </xf>
    <xf numFmtId="165" fontId="76" fillId="0" borderId="2" xfId="38" applyNumberFormat="1" applyFont="1" applyBorder="1" applyAlignment="1" applyProtection="1">
      <alignment horizontal="left" vertical="top" wrapText="1"/>
    </xf>
    <xf numFmtId="165" fontId="72" fillId="0" borderId="2" xfId="38" applyNumberFormat="1" applyFont="1" applyBorder="1" applyAlignment="1" applyProtection="1">
      <alignment horizontal="center"/>
    </xf>
    <xf numFmtId="165" fontId="72" fillId="0" borderId="2" xfId="38" applyNumberFormat="1" applyFont="1" applyBorder="1" applyAlignment="1" applyProtection="1">
      <alignment horizontal="left"/>
    </xf>
    <xf numFmtId="165" fontId="72" fillId="0" borderId="3" xfId="38" applyNumberFormat="1" applyFont="1" applyBorder="1" applyAlignment="1" applyProtection="1">
      <alignment horizontal="center"/>
    </xf>
    <xf numFmtId="165" fontId="72" fillId="0" borderId="3" xfId="38" applyNumberFormat="1" applyFont="1" applyBorder="1" applyAlignment="1" applyProtection="1">
      <alignment horizontal="left"/>
    </xf>
    <xf numFmtId="165" fontId="72" fillId="0" borderId="2" xfId="38" quotePrefix="1" applyNumberFormat="1" applyFont="1" applyBorder="1" applyAlignment="1" applyProtection="1">
      <alignment horizontal="center" vertical="top"/>
    </xf>
    <xf numFmtId="165" fontId="72" fillId="0" borderId="2" xfId="38" applyNumberFormat="1" applyFont="1" applyBorder="1" applyAlignment="1" applyProtection="1">
      <alignment horizontal="left" wrapText="1"/>
    </xf>
    <xf numFmtId="4" fontId="72" fillId="0" borderId="2" xfId="38" applyNumberFormat="1" applyFont="1" applyFill="1" applyBorder="1" applyAlignment="1" applyProtection="1">
      <alignment horizontal="center"/>
    </xf>
    <xf numFmtId="0" fontId="72" fillId="0" borderId="2" xfId="0" applyFont="1" applyFill="1" applyBorder="1"/>
    <xf numFmtId="165" fontId="76" fillId="0" borderId="2" xfId="38" applyNumberFormat="1" applyFont="1" applyBorder="1" applyAlignment="1" applyProtection="1">
      <alignment horizontal="left" wrapText="1"/>
    </xf>
    <xf numFmtId="165" fontId="74" fillId="0" borderId="2" xfId="38" applyNumberFormat="1" applyFont="1" applyBorder="1" applyAlignment="1" applyProtection="1">
      <alignment horizontal="left" wrapText="1"/>
    </xf>
    <xf numFmtId="165" fontId="72" fillId="0" borderId="2" xfId="38" applyNumberFormat="1" applyFont="1" applyBorder="1" applyAlignment="1" applyProtection="1">
      <alignment horizontal="left" vertical="top" wrapText="1"/>
    </xf>
    <xf numFmtId="171" fontId="72" fillId="0" borderId="3" xfId="37" applyNumberFormat="1" applyFont="1" applyFill="1" applyBorder="1" applyAlignment="1" applyProtection="1">
      <alignment horizontal="center" vertical="center"/>
    </xf>
    <xf numFmtId="4" fontId="72" fillId="0" borderId="2" xfId="38" applyNumberFormat="1" applyFont="1" applyFill="1" applyBorder="1" applyAlignment="1" applyProtection="1">
      <alignment horizontal="center" vertical="center"/>
    </xf>
    <xf numFmtId="4" fontId="72" fillId="0" borderId="2" xfId="0" applyNumberFormat="1" applyFont="1" applyFill="1" applyBorder="1" applyAlignment="1">
      <alignment horizontal="center" vertical="center"/>
    </xf>
    <xf numFmtId="0" fontId="72" fillId="0" borderId="2" xfId="0" applyFont="1" applyFill="1" applyBorder="1" applyAlignment="1">
      <alignment horizontal="center" vertical="center"/>
    </xf>
    <xf numFmtId="4" fontId="72" fillId="0" borderId="2" xfId="0" applyNumberFormat="1" applyFont="1" applyFill="1" applyBorder="1" applyAlignment="1" applyProtection="1">
      <alignment horizontal="center" vertical="center"/>
    </xf>
    <xf numFmtId="0" fontId="72" fillId="0" borderId="0" xfId="38" applyFont="1" applyAlignment="1">
      <alignment horizontal="left"/>
    </xf>
    <xf numFmtId="165" fontId="72" fillId="0" borderId="0" xfId="38" applyNumberFormat="1" applyFont="1" applyAlignment="1" applyProtection="1">
      <alignment horizontal="left"/>
    </xf>
    <xf numFmtId="4" fontId="72" fillId="0" borderId="0" xfId="38" applyNumberFormat="1" applyFont="1"/>
    <xf numFmtId="4" fontId="72" fillId="0" borderId="0" xfId="38" applyNumberFormat="1" applyFont="1" applyAlignment="1">
      <alignment horizontal="left"/>
    </xf>
    <xf numFmtId="0" fontId="72" fillId="0" borderId="0" xfId="0" applyFont="1" applyFill="1" applyAlignment="1">
      <alignment horizontal="center" vertical="center"/>
    </xf>
    <xf numFmtId="165" fontId="72" fillId="0" borderId="2" xfId="38" quotePrefix="1" applyNumberFormat="1" applyFont="1" applyBorder="1" applyAlignment="1" applyProtection="1">
      <alignment horizontal="center" vertical="center"/>
    </xf>
    <xf numFmtId="165" fontId="72" fillId="0" borderId="2" xfId="38" quotePrefix="1" applyNumberFormat="1" applyFont="1" applyBorder="1" applyAlignment="1" applyProtection="1">
      <alignment horizontal="center" vertical="center" wrapText="1"/>
    </xf>
    <xf numFmtId="165" fontId="7" fillId="5" borderId="2" xfId="38" quotePrefix="1" applyNumberFormat="1" applyFont="1" applyFill="1" applyBorder="1" applyAlignment="1" applyProtection="1">
      <alignment horizontal="center" vertical="top"/>
    </xf>
    <xf numFmtId="165" fontId="7" fillId="5" borderId="2" xfId="38" quotePrefix="1" applyNumberFormat="1" applyFont="1" applyFill="1" applyBorder="1" applyAlignment="1" applyProtection="1">
      <alignment horizontal="center" vertical="top" wrapText="1"/>
    </xf>
    <xf numFmtId="4" fontId="7" fillId="0" borderId="0" xfId="38" applyNumberFormat="1" applyFont="1"/>
    <xf numFmtId="4" fontId="7" fillId="0" borderId="2" xfId="17" applyNumberFormat="1" applyFont="1" applyFill="1" applyBorder="1" applyAlignment="1" applyProtection="1">
      <alignment horizontal="center" vertical="center" wrapText="1"/>
    </xf>
    <xf numFmtId="0" fontId="7" fillId="0" borderId="2" xfId="38" applyFont="1" applyBorder="1" applyAlignment="1">
      <alignment horizontal="center"/>
    </xf>
    <xf numFmtId="0" fontId="7" fillId="0" borderId="2" xfId="38" applyFont="1" applyBorder="1" applyAlignment="1">
      <alignment horizontal="left"/>
    </xf>
    <xf numFmtId="4" fontId="7" fillId="0" borderId="14" xfId="38" applyNumberFormat="1" applyFont="1" applyBorder="1" applyAlignment="1">
      <alignment horizontal="left"/>
    </xf>
    <xf numFmtId="4" fontId="7" fillId="0" borderId="2" xfId="25" applyNumberFormat="1" applyFont="1" applyFill="1" applyBorder="1" applyAlignment="1" applyProtection="1">
      <alignment horizontal="center" vertical="center" wrapText="1"/>
    </xf>
    <xf numFmtId="0" fontId="7" fillId="0" borderId="0" xfId="38" applyFont="1" applyAlignment="1">
      <alignment horizontal="left"/>
    </xf>
    <xf numFmtId="165" fontId="7" fillId="0" borderId="0" xfId="38" applyNumberFormat="1" applyFont="1" applyAlignment="1" applyProtection="1">
      <alignment horizontal="left"/>
    </xf>
    <xf numFmtId="0" fontId="7" fillId="0" borderId="2" xfId="17" applyFont="1" applyBorder="1" applyAlignment="1">
      <alignment horizontal="center"/>
    </xf>
    <xf numFmtId="0" fontId="7" fillId="0" borderId="2" xfId="17" applyFont="1" applyBorder="1" applyAlignment="1">
      <alignment horizontal="left"/>
    </xf>
    <xf numFmtId="0" fontId="7" fillId="0" borderId="0" xfId="0" applyFont="1" applyFill="1" applyAlignment="1">
      <alignment horizontal="center" vertical="center"/>
    </xf>
    <xf numFmtId="0" fontId="7" fillId="0" borderId="2" xfId="44" applyFont="1" applyBorder="1" applyAlignment="1">
      <alignment horizontal="center"/>
    </xf>
    <xf numFmtId="0" fontId="7" fillId="0" borderId="2" xfId="44" applyFont="1" applyBorder="1" applyAlignment="1">
      <alignment horizontal="left"/>
    </xf>
    <xf numFmtId="165" fontId="25" fillId="0" borderId="2" xfId="44" applyNumberFormat="1" applyFont="1" applyBorder="1" applyAlignment="1" applyProtection="1">
      <alignment horizontal="left" wrapText="1"/>
    </xf>
    <xf numFmtId="165" fontId="7" fillId="0" borderId="2" xfId="44" quotePrefix="1" applyNumberFormat="1" applyFont="1" applyBorder="1" applyAlignment="1" applyProtection="1">
      <alignment horizontal="center" vertical="top" wrapText="1"/>
    </xf>
    <xf numFmtId="165" fontId="7" fillId="0" borderId="2" xfId="44" applyNumberFormat="1" applyFont="1" applyBorder="1" applyAlignment="1" applyProtection="1">
      <alignment horizontal="center" wrapText="1"/>
    </xf>
    <xf numFmtId="165" fontId="7" fillId="0" borderId="2" xfId="44" quotePrefix="1" applyNumberFormat="1" applyFont="1" applyFill="1" applyBorder="1" applyAlignment="1" applyProtection="1">
      <alignment horizontal="center" vertical="top" wrapText="1"/>
    </xf>
    <xf numFmtId="165" fontId="7" fillId="0" borderId="2" xfId="44" applyNumberFormat="1" applyFont="1" applyFill="1" applyBorder="1" applyAlignment="1" applyProtection="1">
      <alignment horizontal="center" wrapText="1"/>
    </xf>
    <xf numFmtId="165" fontId="7" fillId="0" borderId="2" xfId="39" quotePrefix="1" applyNumberFormat="1" applyFont="1" applyBorder="1" applyAlignment="1" applyProtection="1">
      <alignment horizontal="center" vertical="top" wrapText="1"/>
    </xf>
    <xf numFmtId="165" fontId="7" fillId="0" borderId="2" xfId="39" applyNumberFormat="1" applyFont="1" applyBorder="1" applyAlignment="1" applyProtection="1">
      <alignment horizontal="center" wrapText="1"/>
    </xf>
    <xf numFmtId="165" fontId="16" fillId="0" borderId="2" xfId="44" quotePrefix="1" applyNumberFormat="1" applyFont="1" applyBorder="1" applyAlignment="1" applyProtection="1">
      <alignment horizontal="center" vertical="top" wrapText="1"/>
    </xf>
    <xf numFmtId="165" fontId="25" fillId="0" borderId="2" xfId="44" applyNumberFormat="1" applyFont="1" applyBorder="1" applyAlignment="1" applyProtection="1">
      <alignment horizontal="left" vertical="top" wrapText="1"/>
    </xf>
    <xf numFmtId="165" fontId="7" fillId="0" borderId="2" xfId="44" applyNumberFormat="1" applyFont="1" applyBorder="1" applyAlignment="1" applyProtection="1">
      <alignment horizontal="left" vertical="top" wrapText="1"/>
    </xf>
    <xf numFmtId="165" fontId="7" fillId="0" borderId="2" xfId="44" applyNumberFormat="1" applyFont="1" applyBorder="1" applyAlignment="1" applyProtection="1">
      <alignment horizontal="center" vertical="top" wrapText="1"/>
    </xf>
    <xf numFmtId="165" fontId="16" fillId="0" borderId="2" xfId="44" applyNumberFormat="1" applyFont="1" applyBorder="1" applyAlignment="1" applyProtection="1">
      <alignment horizontal="left" vertical="top" wrapText="1"/>
    </xf>
    <xf numFmtId="165" fontId="7" fillId="0" borderId="2" xfId="44" applyNumberFormat="1" applyFont="1" applyBorder="1" applyAlignment="1" applyProtection="1">
      <alignment horizontal="center"/>
    </xf>
    <xf numFmtId="165" fontId="7" fillId="0" borderId="2" xfId="44" applyNumberFormat="1" applyFont="1" applyBorder="1" applyAlignment="1" applyProtection="1">
      <alignment horizontal="left"/>
    </xf>
    <xf numFmtId="165" fontId="7" fillId="0" borderId="3" xfId="44" applyNumberFormat="1" applyFont="1" applyBorder="1" applyAlignment="1" applyProtection="1">
      <alignment horizontal="center"/>
    </xf>
    <xf numFmtId="165" fontId="7" fillId="0" borderId="3" xfId="44" applyNumberFormat="1" applyFont="1" applyBorder="1" applyAlignment="1" applyProtection="1">
      <alignment horizontal="left"/>
    </xf>
    <xf numFmtId="0" fontId="7" fillId="0" borderId="0" xfId="44" applyFont="1" applyAlignment="1">
      <alignment horizontal="left"/>
    </xf>
    <xf numFmtId="165" fontId="7" fillId="0" borderId="0" xfId="44" applyNumberFormat="1" applyFont="1" applyAlignment="1" applyProtection="1">
      <alignment horizontal="left"/>
    </xf>
    <xf numFmtId="4" fontId="7" fillId="0" borderId="0" xfId="44" applyNumberFormat="1" applyFont="1"/>
    <xf numFmtId="4" fontId="7" fillId="0" borderId="0" xfId="44" applyNumberFormat="1" applyFont="1" applyAlignment="1">
      <alignment horizontal="left"/>
    </xf>
    <xf numFmtId="0" fontId="16" fillId="0" borderId="0" xfId="0" applyFont="1"/>
    <xf numFmtId="0" fontId="6" fillId="0" borderId="3" xfId="44" applyFont="1" applyBorder="1" applyAlignment="1">
      <alignment horizontal="center" vertical="center"/>
    </xf>
    <xf numFmtId="4" fontId="7" fillId="0" borderId="2" xfId="44" applyNumberFormat="1" applyFont="1" applyFill="1" applyBorder="1" applyAlignment="1" applyProtection="1">
      <alignment horizontal="center" vertical="center" wrapText="1"/>
    </xf>
    <xf numFmtId="0" fontId="7" fillId="0" borderId="2" xfId="44" applyNumberFormat="1" applyFont="1" applyFill="1" applyBorder="1" applyAlignment="1" applyProtection="1">
      <alignment horizontal="center" vertical="center"/>
    </xf>
    <xf numFmtId="4" fontId="7" fillId="0" borderId="2" xfId="44" applyNumberFormat="1" applyFont="1" applyFill="1" applyBorder="1" applyAlignment="1">
      <alignment horizontal="center" vertical="center"/>
    </xf>
    <xf numFmtId="4" fontId="7" fillId="0" borderId="2" xfId="44" applyNumberFormat="1" applyFont="1" applyFill="1" applyBorder="1" applyAlignment="1" applyProtection="1">
      <alignment horizontal="center" vertical="center"/>
    </xf>
    <xf numFmtId="0" fontId="16" fillId="0" borderId="0" xfId="44" applyFont="1" applyFill="1" applyAlignment="1">
      <alignment horizontal="center" vertical="center"/>
    </xf>
    <xf numFmtId="0" fontId="7" fillId="0" borderId="2" xfId="0" applyFont="1" applyFill="1" applyBorder="1" applyAlignment="1">
      <alignment horizontal="right" vertical="center"/>
    </xf>
    <xf numFmtId="4" fontId="7" fillId="0" borderId="2" xfId="0" applyNumberFormat="1" applyFont="1" applyFill="1" applyBorder="1" applyAlignment="1" applyProtection="1">
      <alignment horizontal="right" vertical="center"/>
    </xf>
    <xf numFmtId="0" fontId="4" fillId="0" borderId="0" xfId="27" applyFont="1"/>
    <xf numFmtId="0" fontId="4" fillId="0" borderId="0" xfId="38" applyFont="1" applyFill="1" applyBorder="1" applyAlignment="1">
      <alignment horizontal="left"/>
    </xf>
    <xf numFmtId="4" fontId="7" fillId="0" borderId="0" xfId="38" applyNumberFormat="1" applyFont="1" applyAlignment="1">
      <alignment horizontal="left"/>
    </xf>
    <xf numFmtId="4" fontId="7" fillId="0" borderId="0" xfId="38" applyNumberFormat="1" applyFont="1" applyFill="1" applyBorder="1" applyAlignment="1">
      <alignment horizontal="center" vertical="center"/>
    </xf>
    <xf numFmtId="4" fontId="7" fillId="0" borderId="3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165" fontId="7" fillId="0" borderId="2" xfId="38" quotePrefix="1" applyNumberFormat="1" applyFont="1" applyBorder="1" applyAlignment="1" applyProtection="1">
      <alignment vertical="center"/>
    </xf>
    <xf numFmtId="165" fontId="7" fillId="0" borderId="2" xfId="38" quotePrefix="1" applyNumberFormat="1" applyFont="1" applyBorder="1" applyAlignment="1" applyProtection="1">
      <alignment vertical="center" wrapText="1"/>
    </xf>
    <xf numFmtId="4" fontId="7" fillId="0" borderId="2" xfId="38" applyNumberFormat="1" applyFont="1" applyFill="1" applyBorder="1" applyAlignment="1" applyProtection="1">
      <alignment horizontal="right" vertical="center" wrapText="1"/>
    </xf>
    <xf numFmtId="0" fontId="4" fillId="0" borderId="0" xfId="32" applyFont="1" applyFill="1" applyAlignment="1">
      <alignment vertical="center"/>
    </xf>
    <xf numFmtId="0" fontId="4" fillId="0" borderId="0" xfId="32" applyFont="1" applyFill="1" applyBorder="1" applyAlignment="1">
      <alignment horizontal="left" vertical="center"/>
    </xf>
    <xf numFmtId="4" fontId="4" fillId="0" borderId="0" xfId="36" applyNumberFormat="1" applyFont="1" applyFill="1" applyProtection="1"/>
    <xf numFmtId="4" fontId="4" fillId="0" borderId="0" xfId="12" applyNumberFormat="1" applyFont="1" applyFill="1" applyAlignment="1">
      <alignment horizontal="left"/>
    </xf>
    <xf numFmtId="164" fontId="4" fillId="0" borderId="0" xfId="36" applyNumberFormat="1" applyFont="1" applyFill="1" applyProtection="1"/>
    <xf numFmtId="4" fontId="4" fillId="0" borderId="0" xfId="36" applyNumberFormat="1" applyFont="1" applyFill="1"/>
    <xf numFmtId="4" fontId="3" fillId="0" borderId="0" xfId="36" applyNumberFormat="1" applyFont="1" applyFill="1"/>
    <xf numFmtId="4" fontId="4" fillId="0" borderId="0" xfId="36" applyNumberFormat="1" applyFont="1" applyFill="1" applyBorder="1" applyAlignment="1" applyProtection="1">
      <alignment horizontal="left"/>
    </xf>
    <xf numFmtId="0" fontId="6" fillId="0" borderId="1" xfId="36" applyFont="1" applyFill="1" applyBorder="1" applyAlignment="1">
      <alignment horizontal="center"/>
    </xf>
    <xf numFmtId="4" fontId="6" fillId="0" borderId="1" xfId="36" applyNumberFormat="1" applyFont="1" applyFill="1" applyBorder="1" applyAlignment="1">
      <alignment horizontal="center" vertical="center" wrapText="1"/>
    </xf>
    <xf numFmtId="4" fontId="6" fillId="0" borderId="4" xfId="36" applyNumberFormat="1" applyFont="1" applyFill="1" applyBorder="1" applyAlignment="1">
      <alignment horizontal="centerContinuous"/>
    </xf>
    <xf numFmtId="4" fontId="6" fillId="0" borderId="5" xfId="36" applyNumberFormat="1" applyFont="1" applyFill="1" applyBorder="1" applyAlignment="1">
      <alignment horizontal="centerContinuous"/>
    </xf>
    <xf numFmtId="4" fontId="6" fillId="0" borderId="6" xfId="36" applyNumberFormat="1" applyFont="1" applyFill="1" applyBorder="1" applyAlignment="1">
      <alignment horizontal="centerContinuous"/>
    </xf>
    <xf numFmtId="4" fontId="6" fillId="0" borderId="4" xfId="36" applyNumberFormat="1" applyFont="1" applyFill="1" applyBorder="1" applyAlignment="1" applyProtection="1">
      <alignment horizontal="centerContinuous"/>
    </xf>
    <xf numFmtId="4" fontId="6" fillId="0" borderId="6" xfId="36" applyNumberFormat="1" applyFont="1" applyFill="1" applyBorder="1" applyAlignment="1" applyProtection="1">
      <alignment horizontal="centerContinuous"/>
    </xf>
    <xf numFmtId="4" fontId="6" fillId="0" borderId="1" xfId="36" applyNumberFormat="1" applyFont="1" applyFill="1" applyBorder="1" applyAlignment="1" applyProtection="1">
      <alignment horizontal="center"/>
    </xf>
    <xf numFmtId="4" fontId="6" fillId="0" borderId="1" xfId="36" applyNumberFormat="1" applyFont="1" applyFill="1" applyBorder="1"/>
    <xf numFmtId="0" fontId="6" fillId="0" borderId="1" xfId="36" applyFont="1" applyFill="1" applyBorder="1"/>
    <xf numFmtId="4" fontId="6" fillId="0" borderId="4" xfId="40" applyNumberFormat="1" applyFont="1" applyFill="1" applyBorder="1" applyAlignment="1">
      <alignment horizontal="centerContinuous"/>
    </xf>
    <xf numFmtId="4" fontId="6" fillId="0" borderId="5" xfId="40" applyNumberFormat="1" applyFont="1" applyFill="1" applyBorder="1" applyAlignment="1">
      <alignment horizontal="centerContinuous"/>
    </xf>
    <xf numFmtId="4" fontId="6" fillId="0" borderId="6" xfId="40" applyNumberFormat="1" applyFont="1" applyFill="1" applyBorder="1" applyAlignment="1">
      <alignment horizontal="centerContinuous"/>
    </xf>
    <xf numFmtId="0" fontId="6" fillId="0" borderId="2" xfId="36" applyFont="1" applyFill="1" applyBorder="1" applyAlignment="1">
      <alignment horizontal="center"/>
    </xf>
    <xf numFmtId="0" fontId="6" fillId="0" borderId="2" xfId="36" applyFont="1" applyFill="1" applyBorder="1"/>
    <xf numFmtId="4" fontId="6" fillId="0" borderId="2" xfId="36" applyNumberFormat="1" applyFont="1" applyFill="1" applyBorder="1"/>
    <xf numFmtId="4" fontId="6" fillId="0" borderId="7" xfId="36" applyNumberFormat="1" applyFont="1" applyFill="1" applyBorder="1" applyAlignment="1">
      <alignment horizontal="center"/>
    </xf>
    <xf numFmtId="4" fontId="6" fillId="0" borderId="8" xfId="36" applyNumberFormat="1" applyFont="1" applyFill="1" applyBorder="1" applyAlignment="1">
      <alignment horizontal="center"/>
    </xf>
    <xf numFmtId="4" fontId="6" fillId="0" borderId="9" xfId="36" applyNumberFormat="1" applyFont="1" applyFill="1" applyBorder="1" applyAlignment="1" applyProtection="1">
      <alignment horizontal="center"/>
    </xf>
    <xf numFmtId="4" fontId="6" fillId="0" borderId="0" xfId="36" applyNumberFormat="1" applyFont="1" applyFill="1" applyBorder="1" applyAlignment="1" applyProtection="1">
      <alignment horizontal="centerContinuous"/>
    </xf>
    <xf numFmtId="4" fontId="6" fillId="0" borderId="10" xfId="36" applyNumberFormat="1" applyFont="1" applyFill="1" applyBorder="1" applyAlignment="1" applyProtection="1">
      <alignment horizontal="centerContinuous"/>
    </xf>
    <xf numFmtId="4" fontId="6" fillId="0" borderId="2" xfId="36" applyNumberFormat="1" applyFont="1" applyFill="1" applyBorder="1" applyAlignment="1" applyProtection="1">
      <alignment horizontal="center"/>
    </xf>
    <xf numFmtId="4" fontId="6" fillId="0" borderId="0" xfId="36" applyNumberFormat="1" applyFont="1" applyFill="1" applyBorder="1" applyAlignment="1">
      <alignment horizontal="center"/>
    </xf>
    <xf numFmtId="4" fontId="6" fillId="0" borderId="2" xfId="36" applyNumberFormat="1" applyFont="1" applyFill="1" applyBorder="1" applyAlignment="1">
      <alignment horizontal="center"/>
    </xf>
    <xf numFmtId="0" fontId="6" fillId="0" borderId="2" xfId="36" quotePrefix="1" applyFont="1" applyFill="1" applyBorder="1" applyAlignment="1">
      <alignment horizontal="center"/>
    </xf>
    <xf numFmtId="4" fontId="6" fillId="0" borderId="1" xfId="36" applyNumberFormat="1" applyFont="1" applyFill="1" applyBorder="1" applyAlignment="1">
      <alignment horizontal="center"/>
    </xf>
    <xf numFmtId="4" fontId="6" fillId="0" borderId="2" xfId="36" quotePrefix="1" applyNumberFormat="1" applyFont="1" applyFill="1" applyBorder="1" applyAlignment="1" applyProtection="1">
      <alignment horizontal="center"/>
    </xf>
    <xf numFmtId="4" fontId="6" fillId="0" borderId="2" xfId="36" applyNumberFormat="1" applyFont="1" applyFill="1" applyBorder="1" applyProtection="1"/>
    <xf numFmtId="4" fontId="6" fillId="0" borderId="13" xfId="36" applyNumberFormat="1" applyFont="1" applyFill="1" applyBorder="1"/>
    <xf numFmtId="0" fontId="6" fillId="0" borderId="13" xfId="36" applyFont="1" applyFill="1" applyBorder="1" applyAlignment="1">
      <alignment horizontal="center"/>
    </xf>
    <xf numFmtId="0" fontId="6" fillId="0" borderId="3" xfId="36" applyFont="1" applyFill="1" applyBorder="1" applyAlignment="1">
      <alignment horizontal="center"/>
    </xf>
    <xf numFmtId="4" fontId="6" fillId="0" borderId="3" xfId="36" applyNumberFormat="1" applyFont="1" applyFill="1" applyBorder="1" applyAlignment="1">
      <alignment horizontal="center"/>
    </xf>
    <xf numFmtId="4" fontId="6" fillId="0" borderId="3" xfId="36" applyNumberFormat="1" applyFont="1" applyFill="1" applyBorder="1" applyAlignment="1" applyProtection="1">
      <alignment horizontal="center"/>
    </xf>
    <xf numFmtId="4" fontId="6" fillId="0" borderId="3" xfId="36" quotePrefix="1" applyNumberFormat="1" applyFont="1" applyFill="1" applyBorder="1" applyAlignment="1">
      <alignment horizontal="center"/>
    </xf>
    <xf numFmtId="0" fontId="6" fillId="0" borderId="3" xfId="36" quotePrefix="1" applyFont="1" applyFill="1" applyBorder="1" applyAlignment="1">
      <alignment horizontal="center"/>
    </xf>
    <xf numFmtId="0" fontId="3" fillId="0" borderId="3" xfId="36" quotePrefix="1" applyFont="1" applyFill="1" applyBorder="1" applyAlignment="1">
      <alignment horizontal="center"/>
    </xf>
    <xf numFmtId="165" fontId="7" fillId="0" borderId="14" xfId="32" applyNumberFormat="1" applyFont="1" applyFill="1" applyBorder="1" applyAlignment="1" applyProtection="1">
      <alignment horizontal="center" vertical="center" wrapText="1"/>
    </xf>
    <xf numFmtId="165" fontId="7" fillId="0" borderId="14" xfId="32" applyNumberFormat="1" applyFont="1" applyFill="1" applyBorder="1" applyAlignment="1" applyProtection="1">
      <alignment horizontal="center" vertical="center"/>
    </xf>
    <xf numFmtId="4" fontId="7" fillId="0" borderId="10" xfId="32" applyNumberFormat="1" applyFont="1" applyFill="1" applyBorder="1" applyAlignment="1" applyProtection="1">
      <alignment horizontal="center" vertical="center"/>
    </xf>
    <xf numFmtId="49" fontId="7" fillId="0" borderId="2" xfId="25" applyNumberFormat="1" applyFont="1" applyBorder="1" applyAlignment="1">
      <alignment horizontal="left" vertical="center" wrapText="1"/>
    </xf>
    <xf numFmtId="0" fontId="7" fillId="0" borderId="2" xfId="32" applyFont="1" applyFill="1" applyBorder="1" applyAlignment="1">
      <alignment vertical="center"/>
    </xf>
    <xf numFmtId="0" fontId="17" fillId="0" borderId="2" xfId="32" applyFont="1" applyFill="1" applyBorder="1" applyAlignment="1">
      <alignment horizontal="left" vertical="center"/>
    </xf>
    <xf numFmtId="165" fontId="25" fillId="0" borderId="2" xfId="33" applyNumberFormat="1" applyFont="1" applyFill="1" applyBorder="1" applyAlignment="1" applyProtection="1">
      <alignment horizontal="left" vertical="center"/>
    </xf>
    <xf numFmtId="0" fontId="0" fillId="0" borderId="0" xfId="0" applyBorder="1"/>
    <xf numFmtId="0" fontId="4" fillId="0" borderId="0" xfId="36" applyFont="1" applyFill="1"/>
    <xf numFmtId="4" fontId="10" fillId="0" borderId="0" xfId="25" applyNumberFormat="1" applyFont="1" applyAlignment="1">
      <alignment vertical="center"/>
    </xf>
    <xf numFmtId="4" fontId="4" fillId="0" borderId="0" xfId="38" applyNumberFormat="1" applyFont="1" applyAlignment="1" applyProtection="1"/>
    <xf numFmtId="4" fontId="4" fillId="0" borderId="0" xfId="44" applyNumberFormat="1" applyFont="1" applyAlignment="1" applyProtection="1"/>
    <xf numFmtId="4" fontId="27" fillId="0" borderId="0" xfId="0" applyNumberFormat="1" applyFont="1" applyFill="1" applyBorder="1" applyAlignment="1">
      <alignment horizontal="center" vertical="center"/>
    </xf>
    <xf numFmtId="1" fontId="4" fillId="0" borderId="0" xfId="11" applyNumberFormat="1" applyFont="1" applyFill="1" applyAlignment="1">
      <alignment horizontal="left" vertical="center"/>
    </xf>
    <xf numFmtId="0" fontId="27" fillId="0" borderId="0" xfId="0" applyFont="1" applyBorder="1" applyAlignment="1">
      <alignment horizontal="center"/>
    </xf>
    <xf numFmtId="0" fontId="26" fillId="0" borderId="0" xfId="49" applyFont="1" applyFill="1" applyBorder="1" applyAlignment="1">
      <alignment horizontal="center" vertical="center"/>
    </xf>
    <xf numFmtId="4" fontId="22" fillId="0" borderId="2" xfId="65" applyNumberFormat="1" applyFont="1" applyFill="1" applyBorder="1" applyAlignment="1" applyProtection="1">
      <alignment horizontal="center" vertical="center"/>
    </xf>
    <xf numFmtId="4" fontId="22" fillId="0" borderId="2" xfId="32" applyNumberFormat="1" applyFont="1" applyFill="1" applyBorder="1" applyAlignment="1" applyProtection="1">
      <alignment horizontal="center" vertical="center"/>
    </xf>
    <xf numFmtId="4" fontId="22" fillId="0" borderId="2" xfId="32" applyNumberFormat="1" applyFont="1" applyFill="1" applyBorder="1" applyAlignment="1" applyProtection="1">
      <alignment horizontal="center" vertical="center" wrapText="1"/>
    </xf>
    <xf numFmtId="4" fontId="7" fillId="0" borderId="14" xfId="32" applyNumberFormat="1" applyFont="1" applyFill="1" applyBorder="1" applyAlignment="1" applyProtection="1">
      <alignment horizontal="center" vertical="center" wrapText="1"/>
    </xf>
    <xf numFmtId="4" fontId="78" fillId="0" borderId="2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7" fontId="5" fillId="0" borderId="0" xfId="49" applyNumberFormat="1" applyFont="1" applyFill="1" applyBorder="1" applyAlignment="1" applyProtection="1">
      <alignment horizontal="center" vertical="center" wrapText="1"/>
    </xf>
    <xf numFmtId="167" fontId="5" fillId="2" borderId="3" xfId="49" applyNumberFormat="1" applyFont="1" applyFill="1" applyBorder="1" applyAlignment="1" applyProtection="1">
      <alignment horizontal="center" vertical="center" wrapText="1"/>
    </xf>
    <xf numFmtId="4" fontId="5" fillId="2" borderId="3" xfId="49" applyNumberFormat="1" applyFont="1" applyFill="1" applyBorder="1" applyAlignment="1" applyProtection="1">
      <alignment horizontal="center" vertical="center" wrapText="1"/>
    </xf>
    <xf numFmtId="43" fontId="7" fillId="0" borderId="2" xfId="70" applyFont="1" applyFill="1" applyBorder="1" applyAlignment="1" applyProtection="1">
      <alignment horizontal="center" vertical="center"/>
    </xf>
    <xf numFmtId="43" fontId="7" fillId="0" borderId="2" xfId="70" applyFont="1" applyFill="1" applyBorder="1" applyAlignment="1" applyProtection="1">
      <alignment horizontal="center" vertical="center" wrapText="1"/>
    </xf>
    <xf numFmtId="43" fontId="7" fillId="0" borderId="2" xfId="70" applyFont="1" applyFill="1" applyBorder="1" applyAlignment="1" applyProtection="1">
      <alignment horizontal="left" vertical="center"/>
    </xf>
    <xf numFmtId="43" fontId="7" fillId="0" borderId="2" xfId="70" applyFont="1" applyFill="1" applyBorder="1" applyAlignment="1" applyProtection="1">
      <alignment horizontal="left" vertical="center" wrapText="1"/>
    </xf>
    <xf numFmtId="43" fontId="7" fillId="0" borderId="2" xfId="70" applyFont="1" applyFill="1" applyBorder="1" applyAlignment="1" applyProtection="1">
      <alignment vertical="center"/>
    </xf>
    <xf numFmtId="43" fontId="7" fillId="0" borderId="10" xfId="70" applyFont="1" applyFill="1" applyBorder="1" applyAlignment="1" applyProtection="1">
      <alignment horizontal="center" vertical="center"/>
    </xf>
    <xf numFmtId="43" fontId="22" fillId="0" borderId="10" xfId="70" applyFont="1" applyFill="1" applyBorder="1" applyAlignment="1" applyProtection="1">
      <alignment horizontal="left" vertical="center"/>
    </xf>
    <xf numFmtId="0" fontId="0" fillId="0" borderId="0" xfId="0" applyFill="1" applyAlignment="1">
      <alignment vertical="center"/>
    </xf>
    <xf numFmtId="0" fontId="3" fillId="0" borderId="0" xfId="61" applyFont="1" applyFill="1" applyAlignment="1">
      <alignment vertical="center"/>
    </xf>
    <xf numFmtId="0" fontId="7" fillId="0" borderId="2" xfId="61" applyNumberFormat="1" applyFont="1" applyFill="1" applyBorder="1" applyAlignment="1" applyProtection="1">
      <alignment horizontal="center" vertical="center"/>
    </xf>
    <xf numFmtId="0" fontId="9" fillId="0" borderId="0" xfId="61" applyFill="1" applyAlignment="1">
      <alignment vertical="center"/>
    </xf>
    <xf numFmtId="4" fontId="7" fillId="0" borderId="0" xfId="61" applyNumberFormat="1" applyFont="1" applyFill="1" applyAlignment="1">
      <alignment horizontal="center" vertical="center"/>
    </xf>
    <xf numFmtId="4" fontId="7" fillId="0" borderId="2" xfId="61" applyNumberFormat="1" applyFont="1" applyFill="1" applyBorder="1" applyAlignment="1" applyProtection="1">
      <alignment horizontal="center" vertical="center" wrapText="1"/>
    </xf>
    <xf numFmtId="0" fontId="16" fillId="0" borderId="10" xfId="0" applyFont="1" applyFill="1" applyBorder="1" applyAlignment="1">
      <alignment horizontal="center" vertical="center" wrapText="1"/>
    </xf>
    <xf numFmtId="0" fontId="71" fillId="0" borderId="10" xfId="0" applyFont="1" applyFill="1" applyBorder="1" applyAlignment="1">
      <alignment horizontal="center" vertical="center" wrapText="1"/>
    </xf>
    <xf numFmtId="170" fontId="7" fillId="0" borderId="2" xfId="32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/>
    <xf numFmtId="0" fontId="4" fillId="0" borderId="0" xfId="71" applyFont="1" applyFill="1" applyAlignment="1">
      <alignment horizontal="left"/>
    </xf>
    <xf numFmtId="4" fontId="4" fillId="0" borderId="0" xfId="72" applyNumberFormat="1" applyFont="1" applyFill="1" applyAlignment="1">
      <alignment horizontal="left"/>
    </xf>
    <xf numFmtId="1" fontId="4" fillId="0" borderId="0" xfId="71" applyNumberFormat="1" applyFont="1" applyFill="1" applyAlignment="1">
      <alignment horizontal="left"/>
    </xf>
    <xf numFmtId="4" fontId="6" fillId="0" borderId="4" xfId="71" applyNumberFormat="1" applyFont="1" applyFill="1" applyBorder="1" applyAlignment="1">
      <alignment horizontal="centerContinuous"/>
    </xf>
    <xf numFmtId="4" fontId="6" fillId="0" borderId="5" xfId="71" applyNumberFormat="1" applyFont="1" applyFill="1" applyBorder="1" applyAlignment="1">
      <alignment horizontal="centerContinuous"/>
    </xf>
    <xf numFmtId="4" fontId="6" fillId="0" borderId="6" xfId="71" applyNumberFormat="1" applyFont="1" applyFill="1" applyBorder="1" applyAlignment="1">
      <alignment horizontal="centerContinuous"/>
    </xf>
    <xf numFmtId="4" fontId="13" fillId="0" borderId="7" xfId="73" applyNumberFormat="1" applyFont="1" applyFill="1" applyBorder="1" applyAlignment="1" applyProtection="1">
      <alignment horizontal="center" vertical="center"/>
      <protection locked="0"/>
    </xf>
    <xf numFmtId="4" fontId="13" fillId="0" borderId="8" xfId="73" applyNumberFormat="1" applyFont="1" applyFill="1" applyBorder="1" applyAlignment="1" applyProtection="1">
      <alignment horizontal="center" vertical="center"/>
      <protection locked="0"/>
    </xf>
    <xf numFmtId="4" fontId="13" fillId="0" borderId="9" xfId="73" applyNumberFormat="1" applyFont="1" applyFill="1" applyBorder="1" applyAlignment="1" applyProtection="1">
      <alignment horizontal="center" vertical="center"/>
      <protection locked="0"/>
    </xf>
    <xf numFmtId="1" fontId="15" fillId="0" borderId="2" xfId="32" applyNumberFormat="1" applyFont="1" applyFill="1" applyBorder="1" applyAlignment="1" applyProtection="1">
      <alignment horizontal="center" vertical="top" wrapText="1"/>
    </xf>
    <xf numFmtId="1" fontId="7" fillId="0" borderId="2" xfId="32" applyNumberFormat="1" applyFont="1" applyFill="1" applyBorder="1" applyAlignment="1" applyProtection="1">
      <alignment horizontal="center"/>
    </xf>
    <xf numFmtId="1" fontId="15" fillId="0" borderId="2" xfId="32" applyNumberFormat="1" applyFont="1" applyFill="1" applyBorder="1" applyAlignment="1" applyProtection="1">
      <alignment horizontal="center" vertical="center" wrapText="1"/>
    </xf>
    <xf numFmtId="4" fontId="22" fillId="0" borderId="2" xfId="32" applyNumberFormat="1" applyFont="1" applyFill="1" applyBorder="1" applyAlignment="1" applyProtection="1">
      <alignment horizontal="center" vertical="top" wrapText="1"/>
    </xf>
    <xf numFmtId="1" fontId="15" fillId="0" borderId="2" xfId="32" applyNumberFormat="1" applyFont="1" applyFill="1" applyBorder="1" applyAlignment="1" applyProtection="1">
      <alignment horizontal="center" vertical="top"/>
    </xf>
    <xf numFmtId="171" fontId="7" fillId="0" borderId="3" xfId="32" applyNumberFormat="1" applyFont="1" applyFill="1" applyBorder="1" applyProtection="1"/>
    <xf numFmtId="4" fontId="7" fillId="0" borderId="3" xfId="32" applyNumberFormat="1" applyFont="1" applyFill="1" applyBorder="1" applyProtection="1"/>
    <xf numFmtId="164" fontId="7" fillId="0" borderId="3" xfId="32" applyNumberFormat="1" applyFont="1" applyFill="1" applyBorder="1" applyProtection="1"/>
    <xf numFmtId="4" fontId="17" fillId="0" borderId="0" xfId="74" applyNumberFormat="1" applyFont="1" applyFill="1" applyAlignment="1" applyProtection="1">
      <alignment vertical="center"/>
    </xf>
    <xf numFmtId="4" fontId="17" fillId="0" borderId="0" xfId="74" applyNumberFormat="1" applyFont="1" applyFill="1" applyAlignment="1">
      <alignment vertical="center"/>
    </xf>
    <xf numFmtId="0" fontId="17" fillId="0" borderId="0" xfId="74" applyFont="1" applyFill="1" applyAlignment="1">
      <alignment vertical="center"/>
    </xf>
    <xf numFmtId="0" fontId="18" fillId="0" borderId="0" xfId="74" applyFont="1" applyFill="1" applyAlignment="1">
      <alignment vertical="center"/>
    </xf>
    <xf numFmtId="0" fontId="2" fillId="0" borderId="0" xfId="74" applyFont="1" applyFill="1" applyAlignment="1">
      <alignment vertical="center"/>
    </xf>
    <xf numFmtId="4" fontId="4" fillId="0" borderId="0" xfId="75" applyNumberFormat="1" applyFont="1" applyFill="1" applyAlignment="1">
      <alignment horizontal="left" vertical="center"/>
    </xf>
    <xf numFmtId="4" fontId="18" fillId="0" borderId="0" xfId="74" applyNumberFormat="1" applyFont="1" applyFill="1" applyAlignment="1">
      <alignment vertical="center"/>
    </xf>
    <xf numFmtId="2" fontId="18" fillId="0" borderId="0" xfId="74" applyNumberFormat="1" applyFont="1" applyFill="1" applyAlignment="1">
      <alignment vertical="center"/>
    </xf>
    <xf numFmtId="0" fontId="15" fillId="0" borderId="0" xfId="74" applyFont="1" applyFill="1" applyAlignment="1">
      <alignment vertical="center"/>
    </xf>
    <xf numFmtId="164" fontId="17" fillId="0" borderId="0" xfId="74" applyNumberFormat="1" applyFont="1" applyFill="1" applyAlignment="1" applyProtection="1">
      <alignment vertical="center"/>
    </xf>
    <xf numFmtId="3" fontId="4" fillId="0" borderId="0" xfId="75" applyNumberFormat="1" applyFont="1" applyFill="1" applyAlignment="1">
      <alignment horizontal="left" vertical="center"/>
    </xf>
    <xf numFmtId="2" fontId="17" fillId="0" borderId="0" xfId="74" applyNumberFormat="1" applyFont="1" applyFill="1" applyAlignment="1">
      <alignment vertical="center"/>
    </xf>
    <xf numFmtId="0" fontId="4" fillId="0" borderId="0" xfId="75" applyNumberFormat="1" applyFont="1" applyFill="1" applyAlignment="1">
      <alignment horizontal="left" vertical="center"/>
    </xf>
    <xf numFmtId="4" fontId="17" fillId="0" borderId="0" xfId="74" applyNumberFormat="1" applyFont="1" applyFill="1" applyBorder="1" applyAlignment="1" applyProtection="1">
      <alignment horizontal="left" vertical="center"/>
    </xf>
    <xf numFmtId="4" fontId="15" fillId="0" borderId="0" xfId="74" applyNumberFormat="1" applyFont="1" applyFill="1" applyBorder="1" applyAlignment="1" applyProtection="1">
      <alignment horizontal="left" vertical="center"/>
    </xf>
    <xf numFmtId="0" fontId="15" fillId="0" borderId="0" xfId="74" applyFont="1" applyFill="1" applyBorder="1" applyAlignment="1">
      <alignment horizontal="left" vertical="center"/>
    </xf>
    <xf numFmtId="0" fontId="17" fillId="0" borderId="0" xfId="74" applyFont="1" applyFill="1" applyAlignment="1">
      <alignment horizontal="center" vertical="center"/>
    </xf>
    <xf numFmtId="0" fontId="20" fillId="0" borderId="1" xfId="74" applyFont="1" applyFill="1" applyBorder="1" applyAlignment="1">
      <alignment horizontal="center" vertical="center"/>
    </xf>
    <xf numFmtId="4" fontId="20" fillId="0" borderId="1" xfId="74" applyNumberFormat="1" applyFont="1" applyFill="1" applyBorder="1" applyAlignment="1">
      <alignment horizontal="center" vertical="center" wrapText="1"/>
    </xf>
    <xf numFmtId="4" fontId="20" fillId="0" borderId="4" xfId="74" applyNumberFormat="1" applyFont="1" applyFill="1" applyBorder="1" applyAlignment="1">
      <alignment horizontal="centerContinuous" vertical="center"/>
    </xf>
    <xf numFmtId="2" fontId="20" fillId="0" borderId="5" xfId="74" applyNumberFormat="1" applyFont="1" applyFill="1" applyBorder="1" applyAlignment="1">
      <alignment horizontal="centerContinuous" vertical="center"/>
    </xf>
    <xf numFmtId="4" fontId="20" fillId="0" borderId="6" xfId="74" applyNumberFormat="1" applyFont="1" applyFill="1" applyBorder="1" applyAlignment="1">
      <alignment horizontal="centerContinuous" vertical="center"/>
    </xf>
    <xf numFmtId="4" fontId="20" fillId="0" borderId="4" xfId="74" applyNumberFormat="1" applyFont="1" applyFill="1" applyBorder="1" applyAlignment="1" applyProtection="1">
      <alignment horizontal="centerContinuous" vertical="center"/>
    </xf>
    <xf numFmtId="4" fontId="20" fillId="0" borderId="6" xfId="74" applyNumberFormat="1" applyFont="1" applyFill="1" applyBorder="1" applyAlignment="1" applyProtection="1">
      <alignment horizontal="centerContinuous" vertical="center"/>
    </xf>
    <xf numFmtId="4" fontId="20" fillId="0" borderId="1" xfId="74" applyNumberFormat="1" applyFont="1" applyFill="1" applyBorder="1" applyAlignment="1" applyProtection="1">
      <alignment horizontal="center" vertical="center"/>
    </xf>
    <xf numFmtId="4" fontId="20" fillId="0" borderId="5" xfId="74" applyNumberFormat="1" applyFont="1" applyFill="1" applyBorder="1" applyAlignment="1">
      <alignment horizontal="centerContinuous" vertical="center"/>
    </xf>
    <xf numFmtId="4" fontId="20" fillId="0" borderId="1" xfId="74" applyNumberFormat="1" applyFont="1" applyFill="1" applyBorder="1" applyAlignment="1">
      <alignment vertical="center"/>
    </xf>
    <xf numFmtId="0" fontId="20" fillId="0" borderId="1" xfId="74" applyFont="1" applyFill="1" applyBorder="1" applyAlignment="1">
      <alignment vertical="center"/>
    </xf>
    <xf numFmtId="4" fontId="6" fillId="0" borderId="4" xfId="76" applyNumberFormat="1" applyFont="1" applyFill="1" applyBorder="1" applyAlignment="1">
      <alignment horizontal="centerContinuous" vertical="center"/>
    </xf>
    <xf numFmtId="4" fontId="6" fillId="0" borderId="5" xfId="76" applyNumberFormat="1" applyFont="1" applyFill="1" applyBorder="1" applyAlignment="1">
      <alignment horizontal="centerContinuous" vertical="center"/>
    </xf>
    <xf numFmtId="4" fontId="6" fillId="0" borderId="6" xfId="76" applyNumberFormat="1" applyFont="1" applyFill="1" applyBorder="1" applyAlignment="1">
      <alignment horizontal="centerContinuous" vertical="center"/>
    </xf>
    <xf numFmtId="0" fontId="20" fillId="0" borderId="0" xfId="74" applyFont="1" applyFill="1" applyAlignment="1">
      <alignment vertical="center"/>
    </xf>
    <xf numFmtId="0" fontId="21" fillId="0" borderId="0" xfId="74" applyFont="1" applyFill="1" applyAlignment="1">
      <alignment vertical="center"/>
    </xf>
    <xf numFmtId="0" fontId="20" fillId="0" borderId="2" xfId="74" applyFont="1" applyFill="1" applyBorder="1" applyAlignment="1">
      <alignment horizontal="center" vertical="center"/>
    </xf>
    <xf numFmtId="0" fontId="20" fillId="0" borderId="2" xfId="74" applyFont="1" applyFill="1" applyBorder="1" applyAlignment="1">
      <alignment vertical="center"/>
    </xf>
    <xf numFmtId="4" fontId="20" fillId="0" borderId="2" xfId="74" applyNumberFormat="1" applyFont="1" applyFill="1" applyBorder="1" applyAlignment="1">
      <alignment vertical="center"/>
    </xf>
    <xf numFmtId="4" fontId="20" fillId="0" borderId="7" xfId="74" applyNumberFormat="1" applyFont="1" applyFill="1" applyBorder="1" applyAlignment="1">
      <alignment horizontal="center" vertical="center"/>
    </xf>
    <xf numFmtId="2" fontId="20" fillId="0" borderId="8" xfId="74" applyNumberFormat="1" applyFont="1" applyFill="1" applyBorder="1" applyAlignment="1">
      <alignment horizontal="center" vertical="center"/>
    </xf>
    <xf numFmtId="4" fontId="20" fillId="0" borderId="9" xfId="74" applyNumberFormat="1" applyFont="1" applyFill="1" applyBorder="1" applyAlignment="1" applyProtection="1">
      <alignment horizontal="center" vertical="center"/>
    </xf>
    <xf numFmtId="4" fontId="20" fillId="0" borderId="0" xfId="74" applyNumberFormat="1" applyFont="1" applyFill="1" applyBorder="1" applyAlignment="1" applyProtection="1">
      <alignment horizontal="centerContinuous" vertical="center"/>
    </xf>
    <xf numFmtId="4" fontId="20" fillId="0" borderId="10" xfId="74" applyNumberFormat="1" applyFont="1" applyFill="1" applyBorder="1" applyAlignment="1" applyProtection="1">
      <alignment horizontal="centerContinuous" vertical="center"/>
    </xf>
    <xf numFmtId="4" fontId="20" fillId="0" borderId="2" xfId="74" applyNumberFormat="1" applyFont="1" applyFill="1" applyBorder="1" applyAlignment="1" applyProtection="1">
      <alignment horizontal="center" vertical="center"/>
    </xf>
    <xf numFmtId="4" fontId="20" fillId="0" borderId="8" xfId="74" applyNumberFormat="1" applyFont="1" applyFill="1" applyBorder="1" applyAlignment="1">
      <alignment horizontal="center" vertical="center"/>
    </xf>
    <xf numFmtId="4" fontId="20" fillId="0" borderId="0" xfId="74" applyNumberFormat="1" applyFont="1" applyFill="1" applyBorder="1" applyAlignment="1">
      <alignment horizontal="center" vertical="center"/>
    </xf>
    <xf numFmtId="4" fontId="20" fillId="0" borderId="2" xfId="74" applyNumberFormat="1" applyFont="1" applyFill="1" applyBorder="1" applyAlignment="1">
      <alignment horizontal="center" vertical="center"/>
    </xf>
    <xf numFmtId="0" fontId="20" fillId="0" borderId="2" xfId="74" quotePrefix="1" applyFont="1" applyFill="1" applyBorder="1" applyAlignment="1">
      <alignment horizontal="center" vertical="center"/>
    </xf>
    <xf numFmtId="4" fontId="13" fillId="0" borderId="7" xfId="77" applyNumberFormat="1" applyFont="1" applyFill="1" applyBorder="1" applyAlignment="1" applyProtection="1">
      <alignment horizontal="center" vertical="center"/>
      <protection locked="0"/>
    </xf>
    <xf numFmtId="4" fontId="13" fillId="0" borderId="8" xfId="77" applyNumberFormat="1" applyFont="1" applyFill="1" applyBorder="1" applyAlignment="1" applyProtection="1">
      <alignment horizontal="center" vertical="center"/>
      <protection locked="0"/>
    </xf>
    <xf numFmtId="4" fontId="13" fillId="0" borderId="9" xfId="77" applyNumberFormat="1" applyFont="1" applyFill="1" applyBorder="1" applyAlignment="1" applyProtection="1">
      <alignment horizontal="center" vertical="center"/>
      <protection locked="0"/>
    </xf>
    <xf numFmtId="4" fontId="20" fillId="0" borderId="1" xfId="74" applyNumberFormat="1" applyFont="1" applyFill="1" applyBorder="1" applyAlignment="1">
      <alignment horizontal="center" vertical="center"/>
    </xf>
    <xf numFmtId="2" fontId="20" fillId="0" borderId="1" xfId="74" applyNumberFormat="1" applyFont="1" applyFill="1" applyBorder="1" applyAlignment="1">
      <alignment horizontal="center" vertical="center"/>
    </xf>
    <xf numFmtId="4" fontId="20" fillId="0" borderId="2" xfId="74" quotePrefix="1" applyNumberFormat="1" applyFont="1" applyFill="1" applyBorder="1" applyAlignment="1" applyProtection="1">
      <alignment horizontal="center" vertical="center"/>
    </xf>
    <xf numFmtId="2" fontId="20" fillId="0" borderId="2" xfId="74" applyNumberFormat="1" applyFont="1" applyFill="1" applyBorder="1" applyAlignment="1">
      <alignment horizontal="center" vertical="center"/>
    </xf>
    <xf numFmtId="2" fontId="20" fillId="0" borderId="2" xfId="74" applyNumberFormat="1" applyFont="1" applyFill="1" applyBorder="1" applyAlignment="1">
      <alignment vertical="center"/>
    </xf>
    <xf numFmtId="4" fontId="20" fillId="0" borderId="2" xfId="74" applyNumberFormat="1" applyFont="1" applyFill="1" applyBorder="1" applyAlignment="1" applyProtection="1">
      <alignment vertical="center"/>
    </xf>
    <xf numFmtId="4" fontId="20" fillId="0" borderId="13" xfId="74" applyNumberFormat="1" applyFont="1" applyFill="1" applyBorder="1" applyAlignment="1">
      <alignment vertical="center"/>
    </xf>
    <xf numFmtId="0" fontId="20" fillId="0" borderId="13" xfId="74" applyFont="1" applyFill="1" applyBorder="1" applyAlignment="1">
      <alignment horizontal="center" vertical="center"/>
    </xf>
    <xf numFmtId="0" fontId="20" fillId="0" borderId="3" xfId="74" applyFont="1" applyFill="1" applyBorder="1" applyAlignment="1">
      <alignment horizontal="center" vertical="center"/>
    </xf>
    <xf numFmtId="4" fontId="20" fillId="0" borderId="3" xfId="74" applyNumberFormat="1" applyFont="1" applyFill="1" applyBorder="1" applyAlignment="1">
      <alignment horizontal="center" vertical="center"/>
    </xf>
    <xf numFmtId="2" fontId="20" fillId="0" borderId="3" xfId="74" applyNumberFormat="1" applyFont="1" applyFill="1" applyBorder="1" applyAlignment="1">
      <alignment horizontal="center" vertical="center"/>
    </xf>
    <xf numFmtId="4" fontId="20" fillId="0" borderId="3" xfId="74" applyNumberFormat="1" applyFont="1" applyFill="1" applyBorder="1" applyAlignment="1" applyProtection="1">
      <alignment horizontal="center" vertical="center"/>
    </xf>
    <xf numFmtId="4" fontId="20" fillId="0" borderId="3" xfId="74" quotePrefix="1" applyNumberFormat="1" applyFont="1" applyFill="1" applyBorder="1" applyAlignment="1">
      <alignment horizontal="center" vertical="center"/>
    </xf>
    <xf numFmtId="0" fontId="20" fillId="0" borderId="3" xfId="74" quotePrefix="1" applyFont="1" applyFill="1" applyBorder="1" applyAlignment="1">
      <alignment horizontal="center" vertical="center"/>
    </xf>
    <xf numFmtId="0" fontId="40" fillId="0" borderId="2" xfId="74" applyFont="1" applyFill="1" applyBorder="1" applyAlignment="1">
      <alignment horizontal="center" vertical="center"/>
    </xf>
    <xf numFmtId="0" fontId="15" fillId="0" borderId="2" xfId="74" applyFont="1" applyFill="1" applyBorder="1" applyAlignment="1">
      <alignment horizontal="left" vertical="center"/>
    </xf>
    <xf numFmtId="4" fontId="15" fillId="0" borderId="2" xfId="74" applyNumberFormat="1" applyFont="1" applyFill="1" applyBorder="1" applyAlignment="1">
      <alignment horizontal="center" vertical="center"/>
    </xf>
    <xf numFmtId="2" fontId="15" fillId="0" borderId="2" xfId="74" applyNumberFormat="1" applyFont="1" applyFill="1" applyBorder="1" applyAlignment="1">
      <alignment horizontal="center" vertical="center"/>
    </xf>
    <xf numFmtId="4" fontId="15" fillId="0" borderId="2" xfId="74" applyNumberFormat="1" applyFont="1" applyFill="1" applyBorder="1" applyAlignment="1" applyProtection="1">
      <alignment horizontal="center" vertical="center"/>
    </xf>
    <xf numFmtId="0" fontId="15" fillId="0" borderId="2" xfId="74" quotePrefix="1" applyFont="1" applyFill="1" applyBorder="1" applyAlignment="1">
      <alignment horizontal="center" vertical="center"/>
    </xf>
    <xf numFmtId="165" fontId="7" fillId="0" borderId="2" xfId="74" applyNumberFormat="1" applyFont="1" applyFill="1" applyBorder="1" applyAlignment="1" applyProtection="1">
      <alignment horizontal="center" vertical="center"/>
    </xf>
    <xf numFmtId="165" fontId="15" fillId="0" borderId="0" xfId="74" applyNumberFormat="1" applyFont="1" applyFill="1" applyBorder="1" applyAlignment="1" applyProtection="1">
      <alignment horizontal="left" vertical="center" wrapText="1"/>
    </xf>
    <xf numFmtId="165" fontId="7" fillId="0" borderId="2" xfId="74" applyNumberFormat="1" applyFont="1" applyFill="1" applyBorder="1" applyAlignment="1" applyProtection="1">
      <alignment horizontal="left" vertical="center"/>
    </xf>
    <xf numFmtId="165" fontId="7" fillId="0" borderId="10" xfId="74" applyNumberFormat="1" applyFont="1" applyFill="1" applyBorder="1" applyAlignment="1" applyProtection="1">
      <alignment horizontal="left" vertical="center"/>
    </xf>
    <xf numFmtId="2" fontId="7" fillId="0" borderId="2" xfId="74" applyNumberFormat="1" applyFont="1" applyFill="1" applyBorder="1" applyAlignment="1" applyProtection="1">
      <alignment vertical="center"/>
    </xf>
    <xf numFmtId="4" fontId="7" fillId="0" borderId="2" xfId="74" applyNumberFormat="1" applyFont="1" applyFill="1" applyBorder="1" applyAlignment="1" applyProtection="1">
      <alignment vertical="center"/>
    </xf>
    <xf numFmtId="4" fontId="7" fillId="0" borderId="2" xfId="74" applyNumberFormat="1" applyFont="1" applyFill="1" applyBorder="1" applyAlignment="1" applyProtection="1">
      <alignment horizontal="center" vertical="center"/>
    </xf>
    <xf numFmtId="4" fontId="7" fillId="0" borderId="2" xfId="74" applyNumberFormat="1" applyFont="1" applyFill="1" applyBorder="1" applyAlignment="1">
      <alignment horizontal="center" vertical="center"/>
    </xf>
    <xf numFmtId="167" fontId="7" fillId="0" borderId="2" xfId="74" applyNumberFormat="1" applyFont="1" applyFill="1" applyBorder="1" applyAlignment="1" applyProtection="1">
      <alignment vertical="center"/>
    </xf>
    <xf numFmtId="165" fontId="7" fillId="0" borderId="2" xfId="74" applyNumberFormat="1" applyFont="1" applyFill="1" applyBorder="1" applyAlignment="1" applyProtection="1">
      <alignment horizontal="center" vertical="center" wrapText="1"/>
    </xf>
    <xf numFmtId="2" fontId="7" fillId="0" borderId="2" xfId="74" applyNumberFormat="1" applyFont="1" applyFill="1" applyBorder="1" applyAlignment="1" applyProtection="1">
      <alignment horizontal="center" vertical="center" wrapText="1"/>
    </xf>
    <xf numFmtId="4" fontId="7" fillId="0" borderId="2" xfId="74" applyNumberFormat="1" applyFont="1" applyFill="1" applyBorder="1" applyAlignment="1" applyProtection="1">
      <alignment horizontal="center" vertical="center" wrapText="1"/>
    </xf>
    <xf numFmtId="172" fontId="7" fillId="0" borderId="2" xfId="74" applyNumberFormat="1" applyFont="1" applyFill="1" applyBorder="1" applyAlignment="1" applyProtection="1">
      <alignment horizontal="center" vertical="center" wrapText="1"/>
    </xf>
    <xf numFmtId="173" fontId="7" fillId="0" borderId="2" xfId="74" applyNumberFormat="1" applyFont="1" applyFill="1" applyBorder="1" applyAlignment="1" applyProtection="1">
      <alignment horizontal="center" vertical="center" wrapText="1"/>
    </xf>
    <xf numFmtId="3" fontId="7" fillId="0" borderId="2" xfId="74" applyNumberFormat="1" applyFont="1" applyFill="1" applyBorder="1" applyAlignment="1" applyProtection="1">
      <alignment horizontal="center" vertical="center"/>
    </xf>
    <xf numFmtId="2" fontId="7" fillId="0" borderId="2" xfId="74" applyNumberFormat="1" applyFont="1" applyFill="1" applyBorder="1" applyAlignment="1" applyProtection="1">
      <alignment horizontal="center" vertical="center"/>
    </xf>
    <xf numFmtId="0" fontId="7" fillId="0" borderId="2" xfId="74" applyNumberFormat="1" applyFont="1" applyFill="1" applyBorder="1" applyAlignment="1" applyProtection="1">
      <alignment vertical="center"/>
    </xf>
    <xf numFmtId="0" fontId="7" fillId="0" borderId="2" xfId="74" applyNumberFormat="1" applyFont="1" applyFill="1" applyBorder="1" applyAlignment="1" applyProtection="1">
      <alignment horizontal="center" vertical="center"/>
    </xf>
    <xf numFmtId="164" fontId="7" fillId="0" borderId="2" xfId="74" applyNumberFormat="1" applyFont="1" applyFill="1" applyBorder="1" applyAlignment="1" applyProtection="1">
      <alignment vertical="center"/>
    </xf>
    <xf numFmtId="165" fontId="16" fillId="0" borderId="2" xfId="74" applyNumberFormat="1" applyFont="1" applyFill="1" applyBorder="1" applyAlignment="1" applyProtection="1">
      <alignment horizontal="left" vertical="center" wrapText="1"/>
    </xf>
    <xf numFmtId="165" fontId="7" fillId="0" borderId="2" xfId="74" applyNumberFormat="1" applyFont="1" applyFill="1" applyBorder="1" applyAlignment="1" applyProtection="1">
      <alignment horizontal="left" vertical="center" wrapText="1"/>
    </xf>
    <xf numFmtId="165" fontId="7" fillId="0" borderId="2" xfId="74" applyNumberFormat="1" applyFont="1" applyFill="1" applyBorder="1" applyAlignment="1" applyProtection="1">
      <alignment horizontal="right" vertical="center" wrapText="1"/>
    </xf>
    <xf numFmtId="165" fontId="40" fillId="0" borderId="2" xfId="74" applyNumberFormat="1" applyFont="1" applyFill="1" applyBorder="1" applyAlignment="1" applyProtection="1">
      <alignment horizontal="center" vertical="center" wrapText="1"/>
    </xf>
    <xf numFmtId="165" fontId="25" fillId="0" borderId="2" xfId="74" applyNumberFormat="1" applyFont="1" applyFill="1" applyBorder="1" applyAlignment="1" applyProtection="1">
      <alignment horizontal="left" vertical="center"/>
    </xf>
    <xf numFmtId="0" fontId="2" fillId="0" borderId="14" xfId="74" applyFont="1" applyFill="1" applyBorder="1" applyAlignment="1">
      <alignment vertical="center"/>
    </xf>
    <xf numFmtId="0" fontId="2" fillId="0" borderId="2" xfId="74" applyFont="1" applyFill="1" applyBorder="1" applyAlignment="1">
      <alignment vertical="center"/>
    </xf>
    <xf numFmtId="165" fontId="7" fillId="0" borderId="0" xfId="74" applyNumberFormat="1" applyFont="1" applyFill="1" applyBorder="1" applyAlignment="1" applyProtection="1">
      <alignment horizontal="center" vertical="center" wrapText="1"/>
    </xf>
    <xf numFmtId="165" fontId="7" fillId="0" borderId="0" xfId="74" applyNumberFormat="1" applyFont="1" applyFill="1" applyBorder="1" applyAlignment="1" applyProtection="1">
      <alignment horizontal="left" vertical="center" wrapText="1"/>
    </xf>
    <xf numFmtId="165" fontId="7" fillId="0" borderId="3" xfId="74" applyNumberFormat="1" applyFont="1" applyFill="1" applyBorder="1" applyAlignment="1" applyProtection="1">
      <alignment horizontal="center" vertical="center"/>
    </xf>
    <xf numFmtId="165" fontId="7" fillId="0" borderId="3" xfId="74" applyNumberFormat="1" applyFont="1" applyFill="1" applyBorder="1" applyAlignment="1" applyProtection="1">
      <alignment horizontal="left" vertical="center"/>
    </xf>
    <xf numFmtId="4" fontId="7" fillId="0" borderId="3" xfId="74" applyNumberFormat="1" applyFont="1" applyFill="1" applyBorder="1" applyAlignment="1" applyProtection="1">
      <alignment vertical="center"/>
    </xf>
    <xf numFmtId="2" fontId="7" fillId="0" borderId="3" xfId="74" applyNumberFormat="1" applyFont="1" applyFill="1" applyBorder="1" applyAlignment="1" applyProtection="1">
      <alignment vertical="center"/>
    </xf>
    <xf numFmtId="164" fontId="7" fillId="0" borderId="3" xfId="74" applyNumberFormat="1" applyFont="1" applyFill="1" applyBorder="1" applyAlignment="1" applyProtection="1">
      <alignment vertical="center"/>
    </xf>
    <xf numFmtId="0" fontId="17" fillId="0" borderId="0" xfId="74" applyFont="1" applyFill="1" applyAlignment="1">
      <alignment horizontal="left" vertical="center"/>
    </xf>
    <xf numFmtId="165" fontId="18" fillId="0" borderId="0" xfId="74" applyNumberFormat="1" applyFont="1" applyFill="1" applyAlignment="1" applyProtection="1">
      <alignment horizontal="left" vertical="center"/>
    </xf>
    <xf numFmtId="4" fontId="18" fillId="0" borderId="0" xfId="74" applyNumberFormat="1" applyFont="1" applyFill="1" applyAlignment="1" applyProtection="1">
      <alignment vertical="center"/>
    </xf>
    <xf numFmtId="0" fontId="15" fillId="0" borderId="0" xfId="74" applyFont="1" applyFill="1" applyAlignment="1">
      <alignment horizontal="left" vertical="center"/>
    </xf>
    <xf numFmtId="4" fontId="18" fillId="0" borderId="14" xfId="32" applyNumberFormat="1" applyFont="1" applyFill="1" applyBorder="1"/>
    <xf numFmtId="165" fontId="7" fillId="0" borderId="2" xfId="71" applyNumberFormat="1" applyFont="1" applyFill="1" applyBorder="1" applyAlignment="1" applyProtection="1">
      <alignment horizontal="left" vertical="center" wrapText="1"/>
    </xf>
    <xf numFmtId="4" fontId="4" fillId="0" borderId="0" xfId="0" applyNumberFormat="1" applyFont="1" applyFill="1" applyAlignment="1">
      <alignment horizontal="left"/>
    </xf>
    <xf numFmtId="4" fontId="6" fillId="0" borderId="1" xfId="38" applyNumberFormat="1" applyFont="1" applyFill="1" applyBorder="1" applyAlignment="1">
      <alignment horizontal="center" vertical="center" wrapText="1"/>
    </xf>
    <xf numFmtId="4" fontId="6" fillId="0" borderId="2" xfId="38" quotePrefix="1" applyNumberFormat="1" applyFont="1" applyFill="1" applyBorder="1" applyAlignment="1" applyProtection="1">
      <alignment horizontal="center" vertical="center" wrapText="1"/>
    </xf>
    <xf numFmtId="4" fontId="6" fillId="0" borderId="1" xfId="38" applyNumberFormat="1" applyFont="1" applyFill="1" applyBorder="1" applyAlignment="1" applyProtection="1">
      <alignment horizontal="center" vertical="center"/>
    </xf>
    <xf numFmtId="4" fontId="4" fillId="0" borderId="0" xfId="71" applyNumberFormat="1" applyFont="1" applyFill="1" applyProtection="1"/>
    <xf numFmtId="4" fontId="4" fillId="0" borderId="0" xfId="71" applyNumberFormat="1" applyFont="1" applyFill="1"/>
    <xf numFmtId="4" fontId="3" fillId="0" borderId="0" xfId="0" applyNumberFormat="1" applyFont="1" applyFill="1" applyAlignment="1">
      <alignment vertical="center"/>
    </xf>
    <xf numFmtId="4" fontId="4" fillId="0" borderId="0" xfId="17" applyNumberFormat="1" applyFont="1" applyFill="1"/>
    <xf numFmtId="4" fontId="3" fillId="0" borderId="0" xfId="17" applyNumberFormat="1" applyFont="1" applyFill="1"/>
    <xf numFmtId="0" fontId="3" fillId="0" borderId="0" xfId="17" applyFont="1" applyFill="1"/>
    <xf numFmtId="4" fontId="4" fillId="0" borderId="0" xfId="17" quotePrefix="1" applyNumberFormat="1" applyFont="1" applyFill="1"/>
    <xf numFmtId="0" fontId="4" fillId="0" borderId="0" xfId="17" applyFont="1" applyFill="1"/>
    <xf numFmtId="4" fontId="4" fillId="0" borderId="0" xfId="17" applyNumberFormat="1" applyFont="1" applyFill="1" applyProtection="1"/>
    <xf numFmtId="0" fontId="2" fillId="0" borderId="0" xfId="17" applyFill="1"/>
    <xf numFmtId="4" fontId="4" fillId="0" borderId="0" xfId="17" applyNumberFormat="1" applyFont="1" applyFill="1" applyBorder="1" applyAlignment="1" applyProtection="1">
      <alignment horizontal="left"/>
    </xf>
    <xf numFmtId="4" fontId="5" fillId="0" borderId="0" xfId="17" applyNumberFormat="1" applyFont="1" applyFill="1" applyBorder="1" applyAlignment="1" applyProtection="1">
      <alignment horizontal="left"/>
    </xf>
    <xf numFmtId="0" fontId="5" fillId="0" borderId="0" xfId="17" applyFont="1" applyFill="1" applyBorder="1" applyAlignment="1">
      <alignment horizontal="left"/>
    </xf>
    <xf numFmtId="0" fontId="5" fillId="0" borderId="0" xfId="17" applyFont="1" applyFill="1"/>
    <xf numFmtId="4" fontId="4" fillId="0" borderId="0" xfId="0" applyNumberFormat="1" applyFont="1" applyFill="1" applyProtection="1"/>
    <xf numFmtId="4" fontId="6" fillId="0" borderId="1" xfId="17" applyNumberFormat="1" applyFont="1" applyFill="1" applyBorder="1" applyAlignment="1">
      <alignment horizontal="center" vertical="center" wrapText="1"/>
    </xf>
    <xf numFmtId="4" fontId="6" fillId="0" borderId="4" xfId="17" applyNumberFormat="1" applyFont="1" applyFill="1" applyBorder="1" applyAlignment="1">
      <alignment horizontal="centerContinuous"/>
    </xf>
    <xf numFmtId="4" fontId="6" fillId="0" borderId="5" xfId="17" applyNumberFormat="1" applyFont="1" applyFill="1" applyBorder="1" applyAlignment="1">
      <alignment horizontal="centerContinuous"/>
    </xf>
    <xf numFmtId="4" fontId="6" fillId="0" borderId="6" xfId="17" applyNumberFormat="1" applyFont="1" applyFill="1" applyBorder="1" applyAlignment="1">
      <alignment horizontal="centerContinuous"/>
    </xf>
    <xf numFmtId="4" fontId="6" fillId="0" borderId="4" xfId="17" applyNumberFormat="1" applyFont="1" applyFill="1" applyBorder="1" applyAlignment="1" applyProtection="1">
      <alignment horizontal="centerContinuous"/>
    </xf>
    <xf numFmtId="4" fontId="6" fillId="0" borderId="6" xfId="17" applyNumberFormat="1" applyFont="1" applyFill="1" applyBorder="1" applyAlignment="1" applyProtection="1">
      <alignment horizontal="centerContinuous"/>
    </xf>
    <xf numFmtId="4" fontId="6" fillId="0" borderId="1" xfId="17" applyNumberFormat="1" applyFont="1" applyFill="1" applyBorder="1" applyAlignment="1" applyProtection="1">
      <alignment horizontal="center"/>
    </xf>
    <xf numFmtId="4" fontId="6" fillId="0" borderId="1" xfId="17" applyNumberFormat="1" applyFont="1" applyFill="1" applyBorder="1"/>
    <xf numFmtId="0" fontId="6" fillId="0" borderId="1" xfId="17" applyFont="1" applyFill="1" applyBorder="1"/>
    <xf numFmtId="4" fontId="6" fillId="0" borderId="2" xfId="17" applyNumberFormat="1" applyFont="1" applyFill="1" applyBorder="1"/>
    <xf numFmtId="4" fontId="6" fillId="0" borderId="7" xfId="17" applyNumberFormat="1" applyFont="1" applyFill="1" applyBorder="1" applyAlignment="1">
      <alignment horizontal="center"/>
    </xf>
    <xf numFmtId="4" fontId="6" fillId="0" borderId="8" xfId="17" applyNumberFormat="1" applyFont="1" applyFill="1" applyBorder="1" applyAlignment="1">
      <alignment horizontal="center"/>
    </xf>
    <xf numFmtId="4" fontId="6" fillId="0" borderId="9" xfId="17" applyNumberFormat="1" applyFont="1" applyFill="1" applyBorder="1" applyAlignment="1" applyProtection="1">
      <alignment horizontal="center"/>
    </xf>
    <xf numFmtId="4" fontId="6" fillId="0" borderId="0" xfId="17" applyNumberFormat="1" applyFont="1" applyFill="1" applyBorder="1" applyAlignment="1" applyProtection="1">
      <alignment horizontal="centerContinuous"/>
    </xf>
    <xf numFmtId="4" fontId="6" fillId="0" borderId="10" xfId="17" applyNumberFormat="1" applyFont="1" applyFill="1" applyBorder="1" applyAlignment="1" applyProtection="1">
      <alignment horizontal="centerContinuous"/>
    </xf>
    <xf numFmtId="4" fontId="6" fillId="0" borderId="2" xfId="17" applyNumberFormat="1" applyFont="1" applyFill="1" applyBorder="1" applyAlignment="1" applyProtection="1">
      <alignment horizontal="center"/>
    </xf>
    <xf numFmtId="4" fontId="6" fillId="0" borderId="0" xfId="17" applyNumberFormat="1" applyFont="1" applyFill="1" applyBorder="1" applyAlignment="1">
      <alignment horizontal="center"/>
    </xf>
    <xf numFmtId="4" fontId="6" fillId="0" borderId="2" xfId="17" applyNumberFormat="1" applyFont="1" applyFill="1" applyBorder="1" applyAlignment="1">
      <alignment horizontal="center"/>
    </xf>
    <xf numFmtId="0" fontId="6" fillId="0" borderId="2" xfId="17" quotePrefix="1" applyFont="1" applyFill="1" applyBorder="1" applyAlignment="1">
      <alignment horizontal="center"/>
    </xf>
    <xf numFmtId="4" fontId="6" fillId="0" borderId="1" xfId="17" applyNumberFormat="1" applyFont="1" applyFill="1" applyBorder="1" applyAlignment="1">
      <alignment horizontal="center"/>
    </xf>
    <xf numFmtId="4" fontId="6" fillId="0" borderId="2" xfId="17" quotePrefix="1" applyNumberFormat="1" applyFont="1" applyFill="1" applyBorder="1" applyAlignment="1" applyProtection="1">
      <alignment horizontal="center"/>
    </xf>
    <xf numFmtId="4" fontId="6" fillId="0" borderId="1" xfId="0" applyNumberFormat="1" applyFont="1" applyFill="1" applyBorder="1" applyAlignment="1">
      <alignment horizontal="center"/>
    </xf>
    <xf numFmtId="4" fontId="6" fillId="0" borderId="1" xfId="0" applyNumberFormat="1" applyFont="1" applyFill="1" applyBorder="1" applyAlignment="1" applyProtection="1">
      <alignment horizontal="center"/>
    </xf>
    <xf numFmtId="4" fontId="6" fillId="0" borderId="2" xfId="0" applyNumberFormat="1" applyFont="1" applyFill="1" applyBorder="1" applyAlignment="1">
      <alignment horizontal="center"/>
    </xf>
    <xf numFmtId="4" fontId="6" fillId="0" borderId="2" xfId="0" applyNumberFormat="1" applyFont="1" applyFill="1" applyBorder="1" applyAlignment="1" applyProtection="1">
      <alignment horizontal="center"/>
    </xf>
    <xf numFmtId="4" fontId="6" fillId="0" borderId="2" xfId="17" applyNumberFormat="1" applyFont="1" applyFill="1" applyBorder="1" applyProtection="1"/>
    <xf numFmtId="4" fontId="6" fillId="0" borderId="13" xfId="17" applyNumberFormat="1" applyFont="1" applyFill="1" applyBorder="1"/>
    <xf numFmtId="0" fontId="6" fillId="0" borderId="13" xfId="17" applyFont="1" applyFill="1" applyBorder="1" applyAlignment="1">
      <alignment horizontal="center"/>
    </xf>
    <xf numFmtId="4" fontId="6" fillId="0" borderId="2" xfId="0" applyNumberFormat="1" applyFont="1" applyFill="1" applyBorder="1"/>
    <xf numFmtId="4" fontId="6" fillId="0" borderId="2" xfId="0" applyNumberFormat="1" applyFont="1" applyFill="1" applyBorder="1" applyProtection="1"/>
    <xf numFmtId="4" fontId="6" fillId="0" borderId="3" xfId="17" applyNumberFormat="1" applyFont="1" applyFill="1" applyBorder="1" applyAlignment="1">
      <alignment horizontal="center"/>
    </xf>
    <xf numFmtId="4" fontId="6" fillId="0" borderId="3" xfId="17" applyNumberFormat="1" applyFont="1" applyFill="1" applyBorder="1" applyAlignment="1" applyProtection="1">
      <alignment horizontal="center"/>
    </xf>
    <xf numFmtId="4" fontId="6" fillId="0" borderId="3" xfId="17" quotePrefix="1" applyNumberFormat="1" applyFont="1" applyFill="1" applyBorder="1" applyAlignment="1">
      <alignment horizontal="center"/>
    </xf>
    <xf numFmtId="0" fontId="6" fillId="0" borderId="3" xfId="17" quotePrefix="1" applyFont="1" applyFill="1" applyBorder="1" applyAlignment="1">
      <alignment horizontal="center"/>
    </xf>
    <xf numFmtId="0" fontId="3" fillId="0" borderId="3" xfId="0" quotePrefix="1" applyFont="1" applyFill="1" applyBorder="1" applyAlignment="1">
      <alignment horizontal="center"/>
    </xf>
    <xf numFmtId="4" fontId="5" fillId="0" borderId="2" xfId="17" applyNumberFormat="1" applyFont="1" applyFill="1" applyBorder="1" applyAlignment="1">
      <alignment horizontal="center"/>
    </xf>
    <xf numFmtId="4" fontId="5" fillId="0" borderId="2" xfId="17" applyNumberFormat="1" applyFont="1" applyFill="1" applyBorder="1" applyAlignment="1" applyProtection="1">
      <alignment horizontal="center"/>
    </xf>
    <xf numFmtId="4" fontId="5" fillId="0" borderId="2" xfId="17" quotePrefix="1" applyNumberFormat="1" applyFont="1" applyFill="1" applyBorder="1" applyAlignment="1">
      <alignment horizontal="center"/>
    </xf>
    <xf numFmtId="0" fontId="5" fillId="0" borderId="2" xfId="0" quotePrefix="1" applyFont="1" applyFill="1" applyBorder="1" applyAlignment="1">
      <alignment horizontal="center"/>
    </xf>
    <xf numFmtId="4" fontId="7" fillId="0" borderId="2" xfId="17" applyNumberFormat="1" applyFont="1" applyFill="1" applyBorder="1" applyProtection="1"/>
    <xf numFmtId="4" fontId="7" fillId="0" borderId="2" xfId="17" applyNumberFormat="1" applyFont="1" applyFill="1" applyBorder="1" applyAlignment="1" applyProtection="1">
      <alignment horizontal="center"/>
    </xf>
    <xf numFmtId="4" fontId="7" fillId="0" borderId="2" xfId="17" applyNumberFormat="1" applyFont="1" applyFill="1" applyBorder="1" applyAlignment="1">
      <alignment horizontal="center"/>
    </xf>
    <xf numFmtId="167" fontId="5" fillId="0" borderId="2" xfId="0" applyNumberFormat="1" applyFont="1" applyFill="1" applyBorder="1" applyProtection="1"/>
    <xf numFmtId="4" fontId="7" fillId="0" borderId="2" xfId="17" applyNumberFormat="1" applyFont="1" applyFill="1" applyBorder="1" applyAlignment="1" applyProtection="1"/>
    <xf numFmtId="4" fontId="7" fillId="0" borderId="2" xfId="17" quotePrefix="1" applyNumberFormat="1" applyFont="1" applyFill="1" applyBorder="1" applyAlignment="1">
      <alignment horizontal="center"/>
    </xf>
    <xf numFmtId="164" fontId="7" fillId="0" borderId="2" xfId="0" applyNumberFormat="1" applyFont="1" applyFill="1" applyBorder="1" applyProtection="1"/>
    <xf numFmtId="4" fontId="7" fillId="0" borderId="2" xfId="0" applyNumberFormat="1" applyFont="1" applyFill="1" applyBorder="1" applyAlignment="1" applyProtection="1">
      <alignment horizontal="right" vertical="center" wrapText="1"/>
    </xf>
    <xf numFmtId="4" fontId="7" fillId="0" borderId="2" xfId="17" applyNumberFormat="1" applyFont="1" applyFill="1" applyBorder="1" applyAlignment="1" applyProtection="1">
      <alignment horizontal="right" vertical="center" wrapText="1"/>
    </xf>
    <xf numFmtId="4" fontId="7" fillId="0" borderId="0" xfId="17" applyNumberFormat="1" applyFont="1" applyFill="1" applyAlignment="1">
      <alignment horizontal="right" vertical="center"/>
    </xf>
    <xf numFmtId="4" fontId="7" fillId="0" borderId="2" xfId="17" quotePrefix="1" applyNumberFormat="1" applyFont="1" applyFill="1" applyBorder="1" applyAlignment="1">
      <alignment horizontal="right" vertical="center"/>
    </xf>
    <xf numFmtId="4" fontId="7" fillId="0" borderId="2" xfId="17" applyNumberFormat="1" applyFont="1" applyFill="1" applyBorder="1" applyAlignment="1" applyProtection="1">
      <alignment horizontal="right" vertical="center"/>
    </xf>
    <xf numFmtId="4" fontId="7" fillId="0" borderId="2" xfId="17" applyNumberFormat="1" applyFont="1" applyFill="1" applyBorder="1" applyAlignment="1">
      <alignment horizontal="right" vertical="center"/>
    </xf>
    <xf numFmtId="4" fontId="7" fillId="0" borderId="3" xfId="17" applyNumberFormat="1" applyFont="1" applyFill="1" applyBorder="1" applyAlignment="1" applyProtection="1">
      <alignment horizontal="right" vertical="center"/>
    </xf>
    <xf numFmtId="39" fontId="7" fillId="0" borderId="3" xfId="17" applyNumberFormat="1" applyFont="1" applyFill="1" applyBorder="1" applyAlignment="1" applyProtection="1">
      <alignment horizontal="right" vertical="center"/>
    </xf>
    <xf numFmtId="4" fontId="7" fillId="0" borderId="3" xfId="0" applyNumberFormat="1" applyFont="1" applyFill="1" applyBorder="1" applyProtection="1"/>
    <xf numFmtId="4" fontId="3" fillId="0" borderId="0" xfId="17" applyNumberFormat="1" applyFont="1" applyFill="1" applyProtection="1"/>
    <xf numFmtId="4" fontId="3" fillId="0" borderId="0" xfId="17" applyNumberFormat="1" applyFont="1" applyFill="1" applyAlignment="1">
      <alignment horizontal="center"/>
    </xf>
    <xf numFmtId="0" fontId="23" fillId="0" borderId="0" xfId="38" applyFont="1" applyFill="1"/>
    <xf numFmtId="4" fontId="5" fillId="0" borderId="0" xfId="38" applyNumberFormat="1" applyFont="1" applyFill="1" applyBorder="1" applyAlignment="1" applyProtection="1">
      <alignment horizontal="left"/>
    </xf>
    <xf numFmtId="0" fontId="5" fillId="0" borderId="0" xfId="38" applyFont="1" applyFill="1" applyBorder="1" applyAlignment="1">
      <alignment horizontal="left"/>
    </xf>
    <xf numFmtId="0" fontId="5" fillId="0" borderId="0" xfId="38" applyFont="1" applyFill="1"/>
    <xf numFmtId="4" fontId="6" fillId="0" borderId="4" xfId="38" applyNumberFormat="1" applyFont="1" applyFill="1" applyBorder="1" applyAlignment="1" applyProtection="1">
      <alignment horizontal="centerContinuous"/>
    </xf>
    <xf numFmtId="4" fontId="6" fillId="0" borderId="6" xfId="38" applyNumberFormat="1" applyFont="1" applyFill="1" applyBorder="1" applyAlignment="1" applyProtection="1">
      <alignment horizontal="centerContinuous"/>
    </xf>
    <xf numFmtId="4" fontId="6" fillId="0" borderId="1" xfId="38" applyNumberFormat="1" applyFont="1" applyFill="1" applyBorder="1" applyAlignment="1" applyProtection="1">
      <alignment horizontal="center"/>
    </xf>
    <xf numFmtId="4" fontId="6" fillId="0" borderId="1" xfId="38" applyNumberFormat="1" applyFont="1" applyFill="1" applyBorder="1"/>
    <xf numFmtId="0" fontId="6" fillId="0" borderId="1" xfId="38" applyFont="1" applyFill="1" applyBorder="1"/>
    <xf numFmtId="4" fontId="6" fillId="0" borderId="2" xfId="38" applyNumberFormat="1" applyFont="1" applyFill="1" applyBorder="1"/>
    <xf numFmtId="4" fontId="6" fillId="0" borderId="7" xfId="38" applyNumberFormat="1" applyFont="1" applyFill="1" applyBorder="1" applyAlignment="1">
      <alignment horizontal="center"/>
    </xf>
    <xf numFmtId="4" fontId="6" fillId="0" borderId="8" xfId="38" applyNumberFormat="1" applyFont="1" applyFill="1" applyBorder="1" applyAlignment="1">
      <alignment horizontal="center"/>
    </xf>
    <xf numFmtId="4" fontId="6" fillId="0" borderId="9" xfId="38" applyNumberFormat="1" applyFont="1" applyFill="1" applyBorder="1" applyAlignment="1" applyProtection="1">
      <alignment horizontal="center"/>
    </xf>
    <xf numFmtId="4" fontId="6" fillId="0" borderId="0" xfId="38" applyNumberFormat="1" applyFont="1" applyFill="1" applyBorder="1" applyAlignment="1" applyProtection="1">
      <alignment horizontal="centerContinuous"/>
    </xf>
    <xf numFmtId="4" fontId="6" fillId="0" borderId="10" xfId="38" applyNumberFormat="1" applyFont="1" applyFill="1" applyBorder="1" applyAlignment="1" applyProtection="1">
      <alignment horizontal="centerContinuous"/>
    </xf>
    <xf numFmtId="4" fontId="6" fillId="0" borderId="2" xfId="38" applyNumberFormat="1" applyFont="1" applyFill="1" applyBorder="1" applyAlignment="1" applyProtection="1">
      <alignment horizontal="center"/>
    </xf>
    <xf numFmtId="4" fontId="6" fillId="0" borderId="0" xfId="38" applyNumberFormat="1" applyFont="1" applyFill="1" applyBorder="1" applyAlignment="1">
      <alignment horizontal="center"/>
    </xf>
    <xf numFmtId="4" fontId="6" fillId="0" borderId="2" xfId="38" applyNumberFormat="1" applyFont="1" applyFill="1" applyBorder="1" applyAlignment="1">
      <alignment horizontal="center"/>
    </xf>
    <xf numFmtId="0" fontId="6" fillId="0" borderId="2" xfId="38" quotePrefix="1" applyFont="1" applyFill="1" applyBorder="1" applyAlignment="1">
      <alignment horizontal="center"/>
    </xf>
    <xf numFmtId="4" fontId="6" fillId="0" borderId="1" xfId="38" applyNumberFormat="1" applyFont="1" applyFill="1" applyBorder="1" applyAlignment="1">
      <alignment horizontal="center"/>
    </xf>
    <xf numFmtId="4" fontId="6" fillId="0" borderId="2" xfId="38" quotePrefix="1" applyNumberFormat="1" applyFont="1" applyFill="1" applyBorder="1" applyAlignment="1" applyProtection="1">
      <alignment horizontal="center"/>
    </xf>
    <xf numFmtId="4" fontId="6" fillId="0" borderId="2" xfId="38" applyNumberFormat="1" applyFont="1" applyFill="1" applyBorder="1" applyProtection="1"/>
    <xf numFmtId="4" fontId="6" fillId="0" borderId="13" xfId="38" applyNumberFormat="1" applyFont="1" applyFill="1" applyBorder="1"/>
    <xf numFmtId="0" fontId="6" fillId="0" borderId="13" xfId="38" applyFont="1" applyFill="1" applyBorder="1" applyAlignment="1">
      <alignment horizontal="center"/>
    </xf>
    <xf numFmtId="4" fontId="6" fillId="0" borderId="3" xfId="38" applyNumberFormat="1" applyFont="1" applyFill="1" applyBorder="1" applyAlignment="1">
      <alignment horizontal="center"/>
    </xf>
    <xf numFmtId="4" fontId="6" fillId="0" borderId="3" xfId="38" applyNumberFormat="1" applyFont="1" applyFill="1" applyBorder="1" applyAlignment="1" applyProtection="1">
      <alignment horizontal="center"/>
    </xf>
    <xf numFmtId="4" fontId="6" fillId="0" borderId="3" xfId="38" quotePrefix="1" applyNumberFormat="1" applyFont="1" applyFill="1" applyBorder="1" applyAlignment="1">
      <alignment horizontal="center"/>
    </xf>
    <xf numFmtId="0" fontId="6" fillId="0" borderId="3" xfId="38" quotePrefix="1" applyFont="1" applyFill="1" applyBorder="1" applyAlignment="1">
      <alignment horizontal="center"/>
    </xf>
    <xf numFmtId="0" fontId="6" fillId="0" borderId="3" xfId="0" quotePrefix="1" applyFont="1" applyFill="1" applyBorder="1" applyAlignment="1">
      <alignment horizontal="center"/>
    </xf>
    <xf numFmtId="4" fontId="7" fillId="0" borderId="2" xfId="38" applyNumberFormat="1" applyFont="1" applyFill="1" applyBorder="1" applyAlignment="1">
      <alignment horizontal="center"/>
    </xf>
    <xf numFmtId="0" fontId="7" fillId="0" borderId="2" xfId="38" applyNumberFormat="1" applyFont="1" applyFill="1" applyBorder="1" applyAlignment="1" applyProtection="1">
      <alignment horizontal="center"/>
    </xf>
    <xf numFmtId="4" fontId="7" fillId="0" borderId="2" xfId="38" applyNumberFormat="1" applyFont="1" applyFill="1" applyBorder="1" applyAlignment="1">
      <alignment horizontal="right" vertical="center"/>
    </xf>
    <xf numFmtId="0" fontId="7" fillId="0" borderId="2" xfId="38" applyNumberFormat="1" applyFont="1" applyFill="1" applyBorder="1" applyAlignment="1" applyProtection="1">
      <alignment horizontal="right" vertical="center"/>
    </xf>
    <xf numFmtId="4" fontId="7" fillId="0" borderId="2" xfId="38" applyNumberFormat="1" applyFont="1" applyFill="1" applyBorder="1" applyAlignment="1" applyProtection="1">
      <alignment horizontal="right" vertical="center"/>
    </xf>
    <xf numFmtId="0" fontId="3" fillId="0" borderId="0" xfId="38" applyFont="1" applyFill="1" applyAlignment="1">
      <alignment horizontal="right" vertical="center"/>
    </xf>
    <xf numFmtId="164" fontId="5" fillId="0" borderId="2" xfId="0" applyNumberFormat="1" applyFont="1" applyFill="1" applyBorder="1" applyAlignment="1" applyProtection="1">
      <alignment horizontal="right" vertical="center"/>
    </xf>
    <xf numFmtId="4" fontId="7" fillId="0" borderId="0" xfId="38" applyNumberFormat="1" applyFont="1" applyFill="1" applyAlignment="1">
      <alignment horizontal="right" vertical="center"/>
    </xf>
    <xf numFmtId="164" fontId="5" fillId="0" borderId="2" xfId="0" applyNumberFormat="1" applyFont="1" applyFill="1" applyBorder="1" applyProtection="1"/>
    <xf numFmtId="4" fontId="7" fillId="0" borderId="2" xfId="38" applyNumberFormat="1" applyFont="1" applyFill="1" applyBorder="1" applyAlignment="1" applyProtection="1">
      <alignment horizontal="right" vertical="top" wrapText="1"/>
    </xf>
    <xf numFmtId="0" fontId="7" fillId="0" borderId="2" xfId="38" applyNumberFormat="1" applyFont="1" applyFill="1" applyBorder="1" applyProtection="1"/>
    <xf numFmtId="0" fontId="7" fillId="0" borderId="2" xfId="38" applyNumberFormat="1" applyFont="1" applyFill="1" applyBorder="1" applyAlignment="1" applyProtection="1">
      <alignment horizontal="right"/>
    </xf>
    <xf numFmtId="4" fontId="7" fillId="0" borderId="2" xfId="38" applyNumberFormat="1" applyFont="1" applyFill="1" applyBorder="1" applyAlignment="1" applyProtection="1"/>
    <xf numFmtId="4" fontId="7" fillId="0" borderId="2" xfId="38" applyNumberFormat="1" applyFont="1" applyFill="1" applyBorder="1" applyProtection="1"/>
    <xf numFmtId="4" fontId="5" fillId="0" borderId="3" xfId="0" applyNumberFormat="1" applyFont="1" applyFill="1" applyBorder="1" applyProtection="1"/>
    <xf numFmtId="4" fontId="7" fillId="0" borderId="0" xfId="38" applyNumberFormat="1" applyFont="1" applyFill="1"/>
    <xf numFmtId="4" fontId="7" fillId="0" borderId="0" xfId="38" applyNumberFormat="1" applyFont="1" applyFill="1" applyProtection="1"/>
    <xf numFmtId="0" fontId="7" fillId="0" borderId="0" xfId="38" applyFont="1" applyFill="1"/>
    <xf numFmtId="4" fontId="3" fillId="0" borderId="0" xfId="38" applyNumberFormat="1" applyFont="1" applyFill="1" applyProtection="1"/>
    <xf numFmtId="4" fontId="7" fillId="0" borderId="1" xfId="38" applyNumberFormat="1" applyFont="1" applyFill="1" applyBorder="1" applyAlignment="1">
      <alignment horizontal="center"/>
    </xf>
    <xf numFmtId="4" fontId="7" fillId="0" borderId="1" xfId="38" applyNumberFormat="1" applyFont="1" applyFill="1" applyBorder="1" applyAlignment="1" applyProtection="1">
      <alignment horizontal="center"/>
    </xf>
    <xf numFmtId="3" fontId="7" fillId="0" borderId="2" xfId="38" applyNumberFormat="1" applyFont="1" applyFill="1" applyBorder="1" applyAlignment="1" applyProtection="1">
      <alignment horizontal="center"/>
    </xf>
    <xf numFmtId="4" fontId="7" fillId="0" borderId="0" xfId="38" applyNumberFormat="1" applyFont="1" applyFill="1" applyBorder="1"/>
    <xf numFmtId="4" fontId="7" fillId="0" borderId="13" xfId="38" applyNumberFormat="1" applyFont="1" applyFill="1" applyBorder="1" applyAlignment="1" applyProtection="1">
      <alignment horizontal="center" vertical="top" wrapText="1"/>
    </xf>
    <xf numFmtId="4" fontId="7" fillId="0" borderId="13" xfId="38" applyNumberFormat="1" applyFont="1" applyFill="1" applyBorder="1" applyAlignment="1" applyProtection="1"/>
    <xf numFmtId="4" fontId="7" fillId="0" borderId="13" xfId="38" applyNumberFormat="1" applyFont="1" applyFill="1" applyBorder="1" applyAlignment="1" applyProtection="1">
      <alignment horizontal="right" vertical="top" wrapText="1"/>
    </xf>
    <xf numFmtId="4" fontId="7" fillId="0" borderId="13" xfId="38" applyNumberFormat="1" applyFont="1" applyFill="1" applyBorder="1" applyProtection="1"/>
    <xf numFmtId="4" fontId="7" fillId="0" borderId="13" xfId="38" applyNumberFormat="1" applyFont="1" applyFill="1" applyBorder="1" applyAlignment="1" applyProtection="1">
      <alignment horizontal="center"/>
    </xf>
    <xf numFmtId="0" fontId="55" fillId="0" borderId="0" xfId="38" applyFont="1" applyFill="1"/>
    <xf numFmtId="0" fontId="7" fillId="0" borderId="2" xfId="0" quotePrefix="1" applyFont="1" applyFill="1" applyBorder="1" applyAlignment="1">
      <alignment horizontal="center"/>
    </xf>
    <xf numFmtId="167" fontId="7" fillId="0" borderId="2" xfId="0" applyNumberFormat="1" applyFont="1" applyFill="1" applyBorder="1" applyProtection="1"/>
    <xf numFmtId="2" fontId="7" fillId="0" borderId="2" xfId="38" applyNumberFormat="1" applyFont="1" applyFill="1" applyBorder="1" applyAlignment="1" applyProtection="1">
      <alignment horizontal="center" vertical="center"/>
    </xf>
    <xf numFmtId="164" fontId="7" fillId="0" borderId="2" xfId="0" applyNumberFormat="1" applyFont="1" applyFill="1" applyBorder="1" applyAlignment="1" applyProtection="1">
      <alignment vertical="center"/>
    </xf>
    <xf numFmtId="0" fontId="3" fillId="0" borderId="0" xfId="38" applyFont="1" applyFill="1" applyAlignment="1">
      <alignment vertical="center"/>
    </xf>
    <xf numFmtId="4" fontId="7" fillId="0" borderId="3" xfId="38" applyNumberFormat="1" applyFont="1" applyFill="1" applyBorder="1" applyAlignment="1" applyProtection="1">
      <alignment horizontal="center" vertical="center" wrapText="1"/>
    </xf>
    <xf numFmtId="164" fontId="7" fillId="0" borderId="3" xfId="38" applyNumberFormat="1" applyFont="1" applyFill="1" applyBorder="1" applyAlignment="1" applyProtection="1">
      <alignment horizontal="center" vertical="center"/>
    </xf>
    <xf numFmtId="4" fontId="7" fillId="0" borderId="0" xfId="38" applyNumberFormat="1" applyFont="1" applyFill="1" applyAlignment="1">
      <alignment horizontal="center" vertical="center"/>
    </xf>
    <xf numFmtId="4" fontId="7" fillId="0" borderId="0" xfId="38" applyNumberFormat="1" applyFont="1" applyFill="1" applyAlignment="1" applyProtection="1">
      <alignment horizontal="center" vertical="center"/>
    </xf>
    <xf numFmtId="4" fontId="7" fillId="0" borderId="5" xfId="38" applyNumberFormat="1" applyFont="1" applyFill="1" applyBorder="1" applyAlignment="1" applyProtection="1">
      <alignment horizontal="center" vertical="center" wrapText="1"/>
    </xf>
    <xf numFmtId="0" fontId="7" fillId="0" borderId="5" xfId="38" applyFont="1" applyFill="1" applyBorder="1" applyAlignment="1">
      <alignment horizontal="center" vertical="center"/>
    </xf>
    <xf numFmtId="0" fontId="7" fillId="0" borderId="0" xfId="38" applyFont="1" applyFill="1" applyAlignment="1">
      <alignment horizontal="center" vertical="center"/>
    </xf>
    <xf numFmtId="4" fontId="7" fillId="0" borderId="0" xfId="38" applyNumberFormat="1" applyFont="1" applyFill="1" applyBorder="1" applyAlignment="1" applyProtection="1">
      <alignment horizontal="center" vertical="center" wrapText="1"/>
    </xf>
    <xf numFmtId="0" fontId="7" fillId="0" borderId="0" xfId="38" applyFont="1" applyFill="1" applyBorder="1" applyAlignment="1">
      <alignment horizontal="center" vertical="center"/>
    </xf>
    <xf numFmtId="0" fontId="9" fillId="0" borderId="0" xfId="38" applyFill="1" applyAlignment="1">
      <alignment vertical="center"/>
    </xf>
    <xf numFmtId="0" fontId="16" fillId="0" borderId="0" xfId="38" applyFont="1" applyFill="1" applyAlignment="1">
      <alignment horizontal="center" vertical="center"/>
    </xf>
    <xf numFmtId="4" fontId="4" fillId="0" borderId="0" xfId="27" applyNumberFormat="1" applyFont="1" applyFill="1"/>
    <xf numFmtId="4" fontId="18" fillId="0" borderId="0" xfId="27" applyNumberFormat="1" applyFont="1" applyFill="1"/>
    <xf numFmtId="4" fontId="17" fillId="0" borderId="0" xfId="27" applyNumberFormat="1" applyFont="1" applyFill="1"/>
    <xf numFmtId="0" fontId="17" fillId="0" borderId="0" xfId="27" applyFont="1" applyFill="1"/>
    <xf numFmtId="4" fontId="17" fillId="0" borderId="0" xfId="27" applyNumberFormat="1" applyFont="1" applyFill="1" applyProtection="1"/>
    <xf numFmtId="4" fontId="4" fillId="0" borderId="0" xfId="27" applyNumberFormat="1" applyFont="1" applyFill="1" applyProtection="1"/>
    <xf numFmtId="4" fontId="4" fillId="0" borderId="0" xfId="27" applyNumberFormat="1" applyFont="1" applyFill="1" applyBorder="1" applyAlignment="1" applyProtection="1">
      <alignment horizontal="left"/>
    </xf>
    <xf numFmtId="4" fontId="15" fillId="0" borderId="0" xfId="27" applyNumberFormat="1" applyFont="1" applyFill="1" applyBorder="1" applyAlignment="1" applyProtection="1">
      <alignment horizontal="left"/>
    </xf>
    <xf numFmtId="0" fontId="15" fillId="0" borderId="0" xfId="27" applyFont="1" applyFill="1" applyBorder="1" applyAlignment="1">
      <alignment horizontal="left"/>
    </xf>
    <xf numFmtId="0" fontId="15" fillId="0" borderId="0" xfId="27" applyFont="1" applyFill="1"/>
    <xf numFmtId="4" fontId="17" fillId="0" borderId="0" xfId="27" applyNumberFormat="1" applyFont="1" applyFill="1" applyBorder="1" applyAlignment="1" applyProtection="1">
      <alignment horizontal="left"/>
    </xf>
    <xf numFmtId="4" fontId="6" fillId="0" borderId="1" xfId="27" applyNumberFormat="1" applyFont="1" applyFill="1" applyBorder="1" applyAlignment="1">
      <alignment horizontal="center" vertical="center" wrapText="1"/>
    </xf>
    <xf numFmtId="4" fontId="6" fillId="0" borderId="4" xfId="27" applyNumberFormat="1" applyFont="1" applyFill="1" applyBorder="1" applyAlignment="1">
      <alignment horizontal="centerContinuous"/>
    </xf>
    <xf numFmtId="4" fontId="6" fillId="0" borderId="5" xfId="27" applyNumberFormat="1" applyFont="1" applyFill="1" applyBorder="1" applyAlignment="1">
      <alignment horizontal="centerContinuous"/>
    </xf>
    <xf numFmtId="4" fontId="6" fillId="0" borderId="6" xfId="27" applyNumberFormat="1" applyFont="1" applyFill="1" applyBorder="1" applyAlignment="1">
      <alignment horizontal="centerContinuous"/>
    </xf>
    <xf numFmtId="4" fontId="6" fillId="0" borderId="4" xfId="27" applyNumberFormat="1" applyFont="1" applyFill="1" applyBorder="1" applyAlignment="1" applyProtection="1">
      <alignment horizontal="centerContinuous"/>
    </xf>
    <xf numFmtId="4" fontId="6" fillId="0" borderId="6" xfId="27" applyNumberFormat="1" applyFont="1" applyFill="1" applyBorder="1" applyAlignment="1" applyProtection="1">
      <alignment horizontal="centerContinuous"/>
    </xf>
    <xf numFmtId="4" fontId="6" fillId="0" borderId="1" xfId="27" applyNumberFormat="1" applyFont="1" applyFill="1" applyBorder="1" applyAlignment="1" applyProtection="1">
      <alignment horizontal="center"/>
    </xf>
    <xf numFmtId="4" fontId="6" fillId="0" borderId="1" xfId="27" applyNumberFormat="1" applyFont="1" applyFill="1" applyBorder="1"/>
    <xf numFmtId="0" fontId="6" fillId="0" borderId="1" xfId="27" applyFont="1" applyFill="1" applyBorder="1"/>
    <xf numFmtId="0" fontId="20" fillId="0" borderId="0" xfId="27" applyFont="1" applyFill="1"/>
    <xf numFmtId="0" fontId="21" fillId="0" borderId="0" xfId="27" applyFont="1" applyFill="1"/>
    <xf numFmtId="4" fontId="6" fillId="0" borderId="2" xfId="27" applyNumberFormat="1" applyFont="1" applyFill="1" applyBorder="1"/>
    <xf numFmtId="4" fontId="6" fillId="0" borderId="7" xfId="27" applyNumberFormat="1" applyFont="1" applyFill="1" applyBorder="1" applyAlignment="1">
      <alignment horizontal="center"/>
    </xf>
    <xf numFmtId="4" fontId="6" fillId="0" borderId="8" xfId="27" applyNumberFormat="1" applyFont="1" applyFill="1" applyBorder="1" applyAlignment="1">
      <alignment horizontal="center"/>
    </xf>
    <xf numFmtId="4" fontId="6" fillId="0" borderId="9" xfId="27" applyNumberFormat="1" applyFont="1" applyFill="1" applyBorder="1" applyAlignment="1" applyProtection="1">
      <alignment horizontal="center"/>
    </xf>
    <xf numFmtId="4" fontId="6" fillId="0" borderId="0" xfId="27" applyNumberFormat="1" applyFont="1" applyFill="1" applyBorder="1" applyAlignment="1" applyProtection="1">
      <alignment horizontal="centerContinuous"/>
    </xf>
    <xf numFmtId="4" fontId="6" fillId="0" borderId="10" xfId="27" applyNumberFormat="1" applyFont="1" applyFill="1" applyBorder="1" applyAlignment="1" applyProtection="1">
      <alignment horizontal="centerContinuous"/>
    </xf>
    <xf numFmtId="4" fontId="6" fillId="0" borderId="2" xfId="27" applyNumberFormat="1" applyFont="1" applyFill="1" applyBorder="1" applyAlignment="1" applyProtection="1">
      <alignment horizontal="center"/>
    </xf>
    <xf numFmtId="4" fontId="6" fillId="0" borderId="0" xfId="27" applyNumberFormat="1" applyFont="1" applyFill="1" applyBorder="1" applyAlignment="1">
      <alignment horizontal="center"/>
    </xf>
    <xf numFmtId="4" fontId="6" fillId="0" borderId="2" xfId="27" applyNumberFormat="1" applyFont="1" applyFill="1" applyBorder="1" applyAlignment="1">
      <alignment horizontal="center"/>
    </xf>
    <xf numFmtId="0" fontId="6" fillId="0" borderId="2" xfId="27" quotePrefix="1" applyFont="1" applyFill="1" applyBorder="1" applyAlignment="1">
      <alignment horizontal="center"/>
    </xf>
    <xf numFmtId="4" fontId="6" fillId="0" borderId="1" xfId="27" applyNumberFormat="1" applyFont="1" applyFill="1" applyBorder="1" applyAlignment="1">
      <alignment horizontal="center"/>
    </xf>
    <xf numFmtId="4" fontId="6" fillId="0" borderId="2" xfId="27" quotePrefix="1" applyNumberFormat="1" applyFont="1" applyFill="1" applyBorder="1" applyAlignment="1" applyProtection="1">
      <alignment horizontal="center"/>
    </xf>
    <xf numFmtId="4" fontId="6" fillId="0" borderId="2" xfId="27" applyNumberFormat="1" applyFont="1" applyFill="1" applyBorder="1" applyProtection="1"/>
    <xf numFmtId="4" fontId="6" fillId="0" borderId="13" xfId="27" applyNumberFormat="1" applyFont="1" applyFill="1" applyBorder="1"/>
    <xf numFmtId="0" fontId="6" fillId="0" borderId="13" xfId="27" applyFont="1" applyFill="1" applyBorder="1" applyAlignment="1">
      <alignment horizontal="center"/>
    </xf>
    <xf numFmtId="4" fontId="6" fillId="0" borderId="3" xfId="27" applyNumberFormat="1" applyFont="1" applyFill="1" applyBorder="1" applyAlignment="1">
      <alignment horizontal="center"/>
    </xf>
    <xf numFmtId="4" fontId="6" fillId="0" borderId="3" xfId="27" applyNumberFormat="1" applyFont="1" applyFill="1" applyBorder="1" applyAlignment="1" applyProtection="1">
      <alignment horizontal="center"/>
    </xf>
    <xf numFmtId="4" fontId="6" fillId="0" borderId="3" xfId="27" quotePrefix="1" applyNumberFormat="1" applyFont="1" applyFill="1" applyBorder="1" applyAlignment="1">
      <alignment horizontal="center"/>
    </xf>
    <xf numFmtId="0" fontId="6" fillId="0" borderId="3" xfId="27" quotePrefix="1" applyFont="1" applyFill="1" applyBorder="1" applyAlignment="1">
      <alignment horizontal="center"/>
    </xf>
    <xf numFmtId="0" fontId="3" fillId="0" borderId="3" xfId="27" quotePrefix="1" applyFont="1" applyFill="1" applyBorder="1" applyAlignment="1">
      <alignment horizontal="center"/>
    </xf>
    <xf numFmtId="4" fontId="7" fillId="0" borderId="2" xfId="27" applyNumberFormat="1" applyFont="1" applyFill="1" applyBorder="1" applyAlignment="1" applyProtection="1">
      <alignment horizontal="center"/>
    </xf>
    <xf numFmtId="4" fontId="7" fillId="0" borderId="2" xfId="27" applyNumberFormat="1" applyFont="1" applyFill="1" applyBorder="1" applyProtection="1"/>
    <xf numFmtId="4" fontId="7" fillId="0" borderId="2" xfId="27" applyNumberFormat="1" applyFont="1" applyFill="1" applyBorder="1" applyAlignment="1">
      <alignment horizontal="center"/>
    </xf>
    <xf numFmtId="167" fontId="7" fillId="0" borderId="2" xfId="27" applyNumberFormat="1" applyFont="1" applyFill="1" applyBorder="1" applyProtection="1"/>
    <xf numFmtId="3" fontId="7" fillId="0" borderId="2" xfId="27" applyNumberFormat="1" applyFont="1" applyFill="1" applyBorder="1" applyAlignment="1" applyProtection="1">
      <alignment horizontal="center"/>
    </xf>
    <xf numFmtId="164" fontId="7" fillId="0" borderId="2" xfId="27" applyNumberFormat="1" applyFont="1" applyFill="1" applyBorder="1" applyProtection="1"/>
    <xf numFmtId="4" fontId="7" fillId="0" borderId="2" xfId="27" applyNumberFormat="1" applyFont="1" applyFill="1" applyBorder="1" applyAlignment="1" applyProtection="1">
      <alignment horizontal="center" vertical="top" wrapText="1"/>
    </xf>
    <xf numFmtId="175" fontId="7" fillId="0" borderId="2" xfId="27" applyNumberFormat="1" applyFont="1" applyFill="1" applyBorder="1" applyAlignment="1" applyProtection="1">
      <alignment horizontal="center" vertical="center"/>
    </xf>
    <xf numFmtId="4" fontId="7" fillId="0" borderId="2" xfId="27" applyNumberFormat="1" applyFont="1" applyFill="1" applyBorder="1" applyAlignment="1" applyProtection="1"/>
    <xf numFmtId="0" fontId="7" fillId="0" borderId="2" xfId="27" applyNumberFormat="1" applyFont="1" applyFill="1" applyBorder="1" applyProtection="1"/>
    <xf numFmtId="0" fontId="7" fillId="0" borderId="2" xfId="27" applyNumberFormat="1" applyFont="1" applyFill="1" applyBorder="1" applyAlignment="1" applyProtection="1">
      <alignment horizontal="center"/>
    </xf>
    <xf numFmtId="3" fontId="7" fillId="0" borderId="2" xfId="27" applyNumberFormat="1" applyFont="1" applyFill="1" applyBorder="1" applyAlignment="1" applyProtection="1">
      <alignment horizontal="center" vertical="top" wrapText="1"/>
    </xf>
    <xf numFmtId="4" fontId="7" fillId="0" borderId="2" xfId="27" applyNumberFormat="1" applyFont="1" applyFill="1" applyBorder="1" applyAlignment="1" applyProtection="1">
      <alignment vertical="top" wrapText="1"/>
    </xf>
    <xf numFmtId="4" fontId="7" fillId="0" borderId="3" xfId="27" applyNumberFormat="1" applyFont="1" applyFill="1" applyBorder="1" applyProtection="1"/>
    <xf numFmtId="164" fontId="7" fillId="0" borderId="3" xfId="27" applyNumberFormat="1" applyFont="1" applyFill="1" applyBorder="1" applyProtection="1"/>
    <xf numFmtId="4" fontId="18" fillId="0" borderId="0" xfId="27" applyNumberFormat="1" applyFont="1" applyFill="1" applyProtection="1"/>
    <xf numFmtId="4" fontId="4" fillId="0" borderId="0" xfId="44" applyNumberFormat="1" applyFont="1" applyFill="1" applyAlignment="1" applyProtection="1"/>
    <xf numFmtId="4" fontId="4" fillId="0" borderId="0" xfId="44" applyNumberFormat="1" applyFont="1" applyFill="1" applyAlignment="1" applyProtection="1">
      <alignment wrapText="1"/>
    </xf>
    <xf numFmtId="4" fontId="4" fillId="0" borderId="0" xfId="44" applyNumberFormat="1" applyFont="1" applyFill="1"/>
    <xf numFmtId="4" fontId="3" fillId="0" borderId="0" xfId="44" applyNumberFormat="1" applyFont="1" applyFill="1"/>
    <xf numFmtId="0" fontId="3" fillId="0" borderId="0" xfId="44" applyFont="1" applyFill="1"/>
    <xf numFmtId="0" fontId="9" fillId="0" borderId="0" xfId="44" applyFill="1"/>
    <xf numFmtId="4" fontId="4" fillId="0" borderId="0" xfId="44" applyNumberFormat="1" applyFont="1" applyFill="1" applyProtection="1"/>
    <xf numFmtId="4" fontId="4" fillId="0" borderId="0" xfId="44" applyNumberFormat="1" applyFont="1" applyFill="1" applyBorder="1" applyAlignment="1" applyProtection="1">
      <alignment horizontal="left"/>
    </xf>
    <xf numFmtId="0" fontId="4" fillId="0" borderId="0" xfId="44" applyFont="1" applyFill="1" applyBorder="1" applyAlignment="1">
      <alignment horizontal="left"/>
    </xf>
    <xf numFmtId="4" fontId="5" fillId="0" borderId="0" xfId="44" applyNumberFormat="1" applyFont="1" applyFill="1" applyBorder="1" applyAlignment="1" applyProtection="1">
      <alignment horizontal="left"/>
    </xf>
    <xf numFmtId="0" fontId="5" fillId="0" borderId="0" xfId="44" applyFont="1" applyFill="1" applyBorder="1" applyAlignment="1">
      <alignment horizontal="left"/>
    </xf>
    <xf numFmtId="0" fontId="5" fillId="0" borderId="0" xfId="44" applyFont="1" applyFill="1"/>
    <xf numFmtId="4" fontId="6" fillId="0" borderId="1" xfId="44" applyNumberFormat="1" applyFont="1" applyFill="1" applyBorder="1" applyAlignment="1">
      <alignment horizontal="center" vertical="center" wrapText="1"/>
    </xf>
    <xf numFmtId="4" fontId="6" fillId="0" borderId="4" xfId="44" applyNumberFormat="1" applyFont="1" applyFill="1" applyBorder="1" applyAlignment="1">
      <alignment horizontal="centerContinuous"/>
    </xf>
    <xf numFmtId="4" fontId="6" fillId="0" borderId="5" xfId="44" applyNumberFormat="1" applyFont="1" applyFill="1" applyBorder="1" applyAlignment="1">
      <alignment horizontal="centerContinuous"/>
    </xf>
    <xf numFmtId="4" fontId="6" fillId="0" borderId="6" xfId="44" applyNumberFormat="1" applyFont="1" applyFill="1" applyBorder="1" applyAlignment="1">
      <alignment horizontal="centerContinuous"/>
    </xf>
    <xf numFmtId="4" fontId="6" fillId="0" borderId="4" xfId="44" applyNumberFormat="1" applyFont="1" applyFill="1" applyBorder="1" applyAlignment="1" applyProtection="1">
      <alignment horizontal="centerContinuous"/>
    </xf>
    <xf numFmtId="4" fontId="6" fillId="0" borderId="6" xfId="44" applyNumberFormat="1" applyFont="1" applyFill="1" applyBorder="1" applyAlignment="1" applyProtection="1">
      <alignment horizontal="centerContinuous"/>
    </xf>
    <xf numFmtId="4" fontId="6" fillId="0" borderId="1" xfId="44" applyNumberFormat="1" applyFont="1" applyFill="1" applyBorder="1" applyAlignment="1" applyProtection="1">
      <alignment horizontal="center"/>
    </xf>
    <xf numFmtId="4" fontId="6" fillId="0" borderId="1" xfId="44" applyNumberFormat="1" applyFont="1" applyFill="1" applyBorder="1"/>
    <xf numFmtId="0" fontId="6" fillId="0" borderId="1" xfId="44" applyFont="1" applyFill="1" applyBorder="1"/>
    <xf numFmtId="4" fontId="6" fillId="0" borderId="2" xfId="44" applyNumberFormat="1" applyFont="1" applyFill="1" applyBorder="1"/>
    <xf numFmtId="4" fontId="6" fillId="0" borderId="7" xfId="44" applyNumberFormat="1" applyFont="1" applyFill="1" applyBorder="1" applyAlignment="1">
      <alignment horizontal="center"/>
    </xf>
    <xf numFmtId="4" fontId="6" fillId="0" borderId="8" xfId="44" applyNumberFormat="1" applyFont="1" applyFill="1" applyBorder="1" applyAlignment="1">
      <alignment horizontal="center"/>
    </xf>
    <xf numFmtId="4" fontId="6" fillId="0" borderId="9" xfId="44" applyNumberFormat="1" applyFont="1" applyFill="1" applyBorder="1" applyAlignment="1" applyProtection="1">
      <alignment horizontal="center"/>
    </xf>
    <xf numFmtId="4" fontId="6" fillId="0" borderId="0" xfId="44" applyNumberFormat="1" applyFont="1" applyFill="1" applyBorder="1" applyAlignment="1" applyProtection="1">
      <alignment horizontal="centerContinuous"/>
    </xf>
    <xf numFmtId="4" fontId="6" fillId="0" borderId="10" xfId="44" applyNumberFormat="1" applyFont="1" applyFill="1" applyBorder="1" applyAlignment="1" applyProtection="1">
      <alignment horizontal="centerContinuous"/>
    </xf>
    <xf numFmtId="4" fontId="6" fillId="0" borderId="2" xfId="44" applyNumberFormat="1" applyFont="1" applyFill="1" applyBorder="1" applyAlignment="1" applyProtection="1">
      <alignment horizontal="center"/>
    </xf>
    <xf numFmtId="4" fontId="6" fillId="0" borderId="0" xfId="44" applyNumberFormat="1" applyFont="1" applyFill="1" applyBorder="1" applyAlignment="1">
      <alignment horizontal="center"/>
    </xf>
    <xf numFmtId="4" fontId="6" fillId="0" borderId="2" xfId="44" applyNumberFormat="1" applyFont="1" applyFill="1" applyBorder="1" applyAlignment="1">
      <alignment horizontal="center"/>
    </xf>
    <xf numFmtId="0" fontId="6" fillId="0" borderId="2" xfId="44" quotePrefix="1" applyFont="1" applyFill="1" applyBorder="1" applyAlignment="1">
      <alignment horizontal="center"/>
    </xf>
    <xf numFmtId="4" fontId="6" fillId="0" borderId="1" xfId="44" applyNumberFormat="1" applyFont="1" applyFill="1" applyBorder="1" applyAlignment="1">
      <alignment horizontal="center"/>
    </xf>
    <xf numFmtId="4" fontId="6" fillId="0" borderId="2" xfId="44" quotePrefix="1" applyNumberFormat="1" applyFont="1" applyFill="1" applyBorder="1" applyAlignment="1" applyProtection="1">
      <alignment horizontal="center"/>
    </xf>
    <xf numFmtId="4" fontId="6" fillId="0" borderId="2" xfId="44" applyNumberFormat="1" applyFont="1" applyFill="1" applyBorder="1" applyProtection="1"/>
    <xf numFmtId="4" fontId="6" fillId="0" borderId="13" xfId="44" applyNumberFormat="1" applyFont="1" applyFill="1" applyBorder="1"/>
    <xf numFmtId="0" fontId="6" fillId="0" borderId="13" xfId="44" applyFont="1" applyFill="1" applyBorder="1" applyAlignment="1">
      <alignment horizontal="center"/>
    </xf>
    <xf numFmtId="4" fontId="6" fillId="0" borderId="3" xfId="44" applyNumberFormat="1" applyFont="1" applyFill="1" applyBorder="1" applyAlignment="1">
      <alignment horizontal="center"/>
    </xf>
    <xf numFmtId="4" fontId="6" fillId="0" borderId="3" xfId="44" applyNumberFormat="1" applyFont="1" applyFill="1" applyBorder="1" applyAlignment="1" applyProtection="1">
      <alignment horizontal="center"/>
    </xf>
    <xf numFmtId="4" fontId="6" fillId="0" borderId="3" xfId="44" quotePrefix="1" applyNumberFormat="1" applyFont="1" applyFill="1" applyBorder="1" applyAlignment="1">
      <alignment horizontal="center"/>
    </xf>
    <xf numFmtId="0" fontId="6" fillId="0" borderId="3" xfId="44" quotePrefix="1" applyFont="1" applyFill="1" applyBorder="1" applyAlignment="1">
      <alignment horizontal="center"/>
    </xf>
    <xf numFmtId="4" fontId="7" fillId="0" borderId="2" xfId="44" applyNumberFormat="1" applyFont="1" applyFill="1" applyBorder="1" applyAlignment="1">
      <alignment horizontal="center"/>
    </xf>
    <xf numFmtId="4" fontId="7" fillId="0" borderId="2" xfId="44" applyNumberFormat="1" applyFont="1" applyFill="1" applyBorder="1" applyAlignment="1" applyProtection="1">
      <alignment horizontal="center"/>
    </xf>
    <xf numFmtId="165" fontId="7" fillId="0" borderId="2" xfId="44" applyNumberFormat="1" applyFont="1" applyFill="1" applyBorder="1" applyAlignment="1" applyProtection="1">
      <alignment horizontal="center" vertical="center" wrapText="1"/>
    </xf>
    <xf numFmtId="164" fontId="7" fillId="0" borderId="2" xfId="44" applyNumberFormat="1" applyFont="1" applyFill="1" applyBorder="1" applyAlignment="1" applyProtection="1">
      <alignment horizontal="center" vertical="center"/>
    </xf>
    <xf numFmtId="4" fontId="7" fillId="0" borderId="2" xfId="44" applyNumberFormat="1" applyFont="1" applyFill="1" applyBorder="1" applyAlignment="1" applyProtection="1">
      <alignment horizontal="right"/>
    </xf>
    <xf numFmtId="4" fontId="7" fillId="0" borderId="2" xfId="39" applyNumberFormat="1" applyFont="1" applyFill="1" applyBorder="1" applyAlignment="1" applyProtection="1">
      <alignment horizontal="center" vertical="center" wrapText="1"/>
    </xf>
    <xf numFmtId="4" fontId="7" fillId="0" borderId="2" xfId="39" applyNumberFormat="1" applyFont="1" applyFill="1" applyBorder="1" applyAlignment="1">
      <alignment horizontal="center" vertical="center"/>
    </xf>
    <xf numFmtId="0" fontId="7" fillId="0" borderId="2" xfId="39" applyNumberFormat="1" applyFont="1" applyFill="1" applyBorder="1" applyAlignment="1" applyProtection="1">
      <alignment horizontal="center" vertical="center"/>
    </xf>
    <xf numFmtId="4" fontId="7" fillId="0" borderId="2" xfId="39" applyNumberFormat="1" applyFont="1" applyFill="1" applyBorder="1" applyAlignment="1" applyProtection="1">
      <alignment horizontal="center" vertical="center"/>
    </xf>
    <xf numFmtId="0" fontId="16" fillId="0" borderId="0" xfId="39" applyFont="1" applyFill="1" applyAlignment="1">
      <alignment horizontal="center" vertical="center"/>
    </xf>
    <xf numFmtId="0" fontId="4" fillId="0" borderId="0" xfId="39" applyFont="1" applyFill="1"/>
    <xf numFmtId="4" fontId="22" fillId="0" borderId="2" xfId="39" applyNumberFormat="1" applyFont="1" applyFill="1" applyBorder="1" applyAlignment="1" applyProtection="1">
      <alignment horizontal="center" vertical="center"/>
    </xf>
    <xf numFmtId="4" fontId="22" fillId="0" borderId="2" xfId="44" applyNumberFormat="1" applyFont="1" applyFill="1" applyBorder="1" applyAlignment="1" applyProtection="1">
      <alignment horizontal="center" vertical="center" wrapText="1"/>
    </xf>
    <xf numFmtId="4" fontId="7" fillId="0" borderId="2" xfId="44" applyNumberFormat="1" applyFont="1" applyFill="1" applyBorder="1" applyAlignment="1" applyProtection="1">
      <alignment horizontal="center" vertical="top" wrapText="1"/>
    </xf>
    <xf numFmtId="0" fontId="67" fillId="0" borderId="0" xfId="44" applyFont="1" applyFill="1"/>
    <xf numFmtId="4" fontId="7" fillId="0" borderId="0" xfId="44" applyNumberFormat="1" applyFont="1" applyFill="1"/>
    <xf numFmtId="4" fontId="7" fillId="0" borderId="0" xfId="44" applyNumberFormat="1" applyFont="1" applyFill="1" applyProtection="1"/>
    <xf numFmtId="0" fontId="7" fillId="0" borderId="0" xfId="44" applyFont="1" applyFill="1"/>
    <xf numFmtId="4" fontId="7" fillId="0" borderId="3" xfId="38" applyNumberFormat="1" applyFont="1" applyFill="1" applyBorder="1" applyProtection="1"/>
    <xf numFmtId="0" fontId="16" fillId="0" borderId="0" xfId="0" applyFont="1" applyFill="1"/>
    <xf numFmtId="4" fontId="0" fillId="0" borderId="0" xfId="0" applyNumberFormat="1" applyFill="1"/>
    <xf numFmtId="4" fontId="7" fillId="0" borderId="2" xfId="17" applyNumberFormat="1" applyFont="1" applyFill="1" applyBorder="1" applyAlignment="1" applyProtection="1">
      <alignment horizontal="center" vertical="center"/>
    </xf>
    <xf numFmtId="4" fontId="7" fillId="0" borderId="2" xfId="17" applyNumberFormat="1" applyFont="1" applyFill="1" applyBorder="1" applyAlignment="1">
      <alignment horizontal="center" vertical="center"/>
    </xf>
    <xf numFmtId="4" fontId="7" fillId="0" borderId="2" xfId="17" quotePrefix="1" applyNumberFormat="1" applyFont="1" applyFill="1" applyBorder="1" applyAlignment="1">
      <alignment horizontal="center" vertical="center"/>
    </xf>
    <xf numFmtId="164" fontId="7" fillId="0" borderId="2" xfId="0" applyNumberFormat="1" applyFont="1" applyFill="1" applyBorder="1" applyAlignment="1" applyProtection="1">
      <alignment horizontal="center" vertical="center"/>
    </xf>
    <xf numFmtId="4" fontId="7" fillId="0" borderId="2" xfId="0" applyNumberFormat="1" applyFont="1" applyFill="1" applyBorder="1" applyAlignment="1" applyProtection="1">
      <alignment horizontal="center" vertical="center" wrapText="1"/>
    </xf>
    <xf numFmtId="4" fontId="7" fillId="0" borderId="0" xfId="17" applyNumberFormat="1" applyFont="1" applyFill="1" applyAlignment="1">
      <alignment horizontal="center" vertical="center"/>
    </xf>
    <xf numFmtId="4" fontId="7" fillId="0" borderId="2" xfId="14" applyNumberFormat="1" applyFont="1" applyFill="1" applyBorder="1" applyAlignment="1" applyProtection="1">
      <alignment horizontal="center" vertical="center" wrapText="1"/>
    </xf>
    <xf numFmtId="0" fontId="16" fillId="0" borderId="0" xfId="17" applyFont="1" applyFill="1" applyAlignment="1">
      <alignment horizontal="center" vertical="center"/>
    </xf>
    <xf numFmtId="4" fontId="7" fillId="0" borderId="3" xfId="17" applyNumberFormat="1" applyFont="1" applyFill="1" applyBorder="1" applyAlignment="1" applyProtection="1">
      <alignment horizontal="center" vertical="center"/>
    </xf>
    <xf numFmtId="4" fontId="7" fillId="0" borderId="0" xfId="17" applyNumberFormat="1" applyFont="1" applyFill="1" applyBorder="1" applyAlignment="1" applyProtection="1"/>
    <xf numFmtId="4" fontId="7" fillId="0" borderId="0" xfId="17" applyNumberFormat="1" applyFont="1" applyFill="1" applyBorder="1" applyAlignment="1" applyProtection="1">
      <alignment horizontal="center" vertical="top" wrapText="1"/>
    </xf>
    <xf numFmtId="4" fontId="7" fillId="0" borderId="0" xfId="17" applyNumberFormat="1" applyFont="1" applyFill="1" applyBorder="1" applyAlignment="1">
      <alignment horizontal="center"/>
    </xf>
    <xf numFmtId="0" fontId="3" fillId="0" borderId="0" xfId="17" applyFont="1" applyFill="1" applyBorder="1"/>
    <xf numFmtId="4" fontId="7" fillId="0" borderId="0" xfId="17" applyNumberFormat="1" applyFont="1" applyFill="1" applyBorder="1" applyAlignment="1" applyProtection="1">
      <alignment horizontal="center"/>
    </xf>
    <xf numFmtId="4" fontId="7" fillId="0" borderId="14" xfId="38" applyNumberFormat="1" applyFont="1" applyFill="1" applyBorder="1" applyAlignment="1" applyProtection="1"/>
    <xf numFmtId="4" fontId="7" fillId="0" borderId="5" xfId="38" applyNumberFormat="1" applyFont="1" applyFill="1" applyBorder="1" applyAlignment="1" applyProtection="1">
      <alignment horizontal="center"/>
    </xf>
    <xf numFmtId="4" fontId="7" fillId="0" borderId="5" xfId="38" applyNumberFormat="1" applyFont="1" applyFill="1" applyBorder="1" applyAlignment="1" applyProtection="1"/>
    <xf numFmtId="4" fontId="7" fillId="0" borderId="5" xfId="38" applyNumberFormat="1" applyFont="1" applyFill="1" applyBorder="1" applyAlignment="1">
      <alignment horizontal="center"/>
    </xf>
    <xf numFmtId="0" fontId="7" fillId="0" borderId="5" xfId="38" applyFont="1" applyFill="1" applyBorder="1"/>
    <xf numFmtId="4" fontId="6" fillId="0" borderId="4" xfId="0" applyNumberFormat="1" applyFont="1" applyFill="1" applyBorder="1" applyAlignment="1">
      <alignment vertical="center"/>
    </xf>
    <xf numFmtId="4" fontId="6" fillId="0" borderId="6" xfId="0" applyNumberFormat="1" applyFont="1" applyFill="1" applyBorder="1" applyAlignment="1">
      <alignment horizontal="center"/>
    </xf>
    <xf numFmtId="4" fontId="6" fillId="0" borderId="7" xfId="0" applyNumberFormat="1" applyFont="1" applyFill="1" applyBorder="1" applyAlignment="1">
      <alignment horizontal="center"/>
    </xf>
    <xf numFmtId="4" fontId="6" fillId="0" borderId="8" xfId="0" applyNumberFormat="1" applyFont="1" applyFill="1" applyBorder="1" applyAlignment="1">
      <alignment horizontal="center"/>
    </xf>
    <xf numFmtId="4" fontId="6" fillId="0" borderId="9" xfId="0" applyNumberFormat="1" applyFont="1" applyFill="1" applyBorder="1" applyAlignment="1" applyProtection="1">
      <alignment horizontal="center"/>
    </xf>
    <xf numFmtId="167" fontId="7" fillId="0" borderId="2" xfId="38" applyNumberFormat="1" applyFont="1" applyFill="1" applyBorder="1" applyAlignment="1" applyProtection="1">
      <alignment horizontal="center" vertical="center"/>
    </xf>
    <xf numFmtId="164" fontId="7" fillId="0" borderId="2" xfId="38" applyNumberFormat="1" applyFont="1" applyFill="1" applyBorder="1" applyAlignment="1" applyProtection="1">
      <alignment horizontal="center" vertical="center"/>
    </xf>
    <xf numFmtId="4" fontId="7" fillId="0" borderId="2" xfId="25" applyNumberFormat="1" applyFont="1" applyFill="1" applyBorder="1" applyAlignment="1" applyProtection="1">
      <alignment horizontal="center" vertical="center"/>
    </xf>
    <xf numFmtId="4" fontId="22" fillId="0" borderId="2" xfId="25" applyNumberFormat="1" applyFont="1" applyFill="1" applyBorder="1" applyAlignment="1" applyProtection="1">
      <alignment horizontal="center" vertical="center"/>
    </xf>
    <xf numFmtId="4" fontId="22" fillId="0" borderId="2" xfId="25" applyNumberFormat="1" applyFont="1" applyFill="1" applyBorder="1" applyAlignment="1" applyProtection="1">
      <alignment horizontal="center" vertical="center" wrapText="1"/>
    </xf>
    <xf numFmtId="169" fontId="7" fillId="0" borderId="2" xfId="25" applyNumberFormat="1" applyFont="1" applyFill="1" applyBorder="1" applyAlignment="1" applyProtection="1">
      <alignment horizontal="center" vertical="center" wrapText="1"/>
    </xf>
    <xf numFmtId="168" fontId="3" fillId="0" borderId="0" xfId="38" applyNumberFormat="1" applyFont="1" applyFill="1"/>
    <xf numFmtId="4" fontId="4" fillId="0" borderId="0" xfId="38" applyNumberFormat="1" applyFont="1" applyFill="1" applyAlignment="1" applyProtection="1"/>
    <xf numFmtId="4" fontId="4" fillId="0" borderId="0" xfId="47" applyNumberFormat="1" applyFont="1" applyFill="1" applyAlignment="1">
      <alignment horizontal="left"/>
    </xf>
    <xf numFmtId="4" fontId="5" fillId="0" borderId="2" xfId="38" applyNumberFormat="1" applyFont="1" applyFill="1" applyBorder="1" applyAlignment="1">
      <alignment horizontal="center"/>
    </xf>
    <xf numFmtId="0" fontId="5" fillId="0" borderId="2" xfId="38" applyNumberFormat="1" applyFont="1" applyFill="1" applyBorder="1" applyAlignment="1" applyProtection="1">
      <alignment horizontal="center"/>
    </xf>
    <xf numFmtId="4" fontId="5" fillId="0" borderId="2" xfId="38" applyNumberFormat="1" applyFont="1" applyFill="1" applyBorder="1" applyAlignment="1" applyProtection="1">
      <alignment horizontal="center"/>
    </xf>
    <xf numFmtId="4" fontId="72" fillId="0" borderId="2" xfId="38" applyNumberFormat="1" applyFont="1" applyFill="1" applyBorder="1" applyAlignment="1">
      <alignment horizontal="center"/>
    </xf>
    <xf numFmtId="0" fontId="72" fillId="0" borderId="2" xfId="38" applyNumberFormat="1" applyFont="1" applyFill="1" applyBorder="1" applyAlignment="1" applyProtection="1">
      <alignment horizontal="center"/>
    </xf>
    <xf numFmtId="4" fontId="72" fillId="0" borderId="2" xfId="38" applyNumberFormat="1" applyFont="1" applyFill="1" applyBorder="1" applyAlignment="1">
      <alignment horizontal="center" vertical="center"/>
    </xf>
    <xf numFmtId="0" fontId="72" fillId="0" borderId="2" xfId="38" applyNumberFormat="1" applyFont="1" applyFill="1" applyBorder="1" applyAlignment="1" applyProtection="1">
      <alignment horizontal="center" vertical="center"/>
    </xf>
    <xf numFmtId="4" fontId="72" fillId="0" borderId="2" xfId="38" applyNumberFormat="1" applyFont="1" applyFill="1" applyBorder="1" applyAlignment="1" applyProtection="1">
      <alignment horizontal="center" vertical="center" wrapText="1"/>
    </xf>
    <xf numFmtId="4" fontId="72" fillId="0" borderId="0" xfId="38" applyNumberFormat="1" applyFont="1" applyFill="1" applyBorder="1" applyAlignment="1">
      <alignment horizontal="center" vertical="center"/>
    </xf>
    <xf numFmtId="4" fontId="72" fillId="0" borderId="0" xfId="38" applyNumberFormat="1" applyFont="1" applyFill="1" applyAlignment="1">
      <alignment horizontal="center" vertical="center"/>
    </xf>
    <xf numFmtId="4" fontId="72" fillId="0" borderId="0" xfId="38" applyNumberFormat="1" applyFont="1" applyFill="1" applyAlignment="1" applyProtection="1">
      <alignment horizontal="center" vertical="center"/>
    </xf>
    <xf numFmtId="4" fontId="72" fillId="0" borderId="5" xfId="38" applyNumberFormat="1" applyFont="1" applyFill="1" applyBorder="1" applyAlignment="1" applyProtection="1">
      <alignment horizontal="center" vertical="center"/>
    </xf>
    <xf numFmtId="4" fontId="72" fillId="0" borderId="5" xfId="38" applyNumberFormat="1" applyFont="1" applyFill="1" applyBorder="1" applyAlignment="1" applyProtection="1">
      <alignment horizontal="center" vertical="center" wrapText="1"/>
    </xf>
    <xf numFmtId="0" fontId="72" fillId="0" borderId="5" xfId="38" applyFont="1" applyFill="1" applyBorder="1" applyAlignment="1">
      <alignment horizontal="center" vertical="center"/>
    </xf>
    <xf numFmtId="4" fontId="72" fillId="0" borderId="0" xfId="38" applyNumberFormat="1" applyFont="1" applyFill="1" applyBorder="1" applyAlignment="1" applyProtection="1">
      <alignment horizontal="center" vertical="center"/>
    </xf>
    <xf numFmtId="4" fontId="72" fillId="0" borderId="0" xfId="38" applyNumberFormat="1" applyFont="1" applyFill="1" applyBorder="1" applyAlignment="1" applyProtection="1">
      <alignment horizontal="center" vertical="center" wrapText="1"/>
    </xf>
    <xf numFmtId="0" fontId="72" fillId="0" borderId="0" xfId="38" applyFont="1" applyFill="1" applyBorder="1" applyAlignment="1">
      <alignment horizontal="center" vertical="center"/>
    </xf>
    <xf numFmtId="2" fontId="72" fillId="0" borderId="0" xfId="38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4" fontId="3" fillId="0" borderId="5" xfId="38" applyNumberFormat="1" applyFont="1" applyFill="1" applyBorder="1" applyProtection="1"/>
    <xf numFmtId="4" fontId="7" fillId="0" borderId="5" xfId="38" applyNumberFormat="1" applyFont="1" applyFill="1" applyBorder="1" applyAlignment="1" applyProtection="1">
      <alignment horizontal="center" vertical="top" wrapText="1"/>
    </xf>
    <xf numFmtId="0" fontId="3" fillId="0" borderId="5" xfId="38" applyFont="1" applyFill="1" applyBorder="1"/>
    <xf numFmtId="4" fontId="3" fillId="0" borderId="0" xfId="38" applyNumberFormat="1" applyFont="1" applyFill="1" applyBorder="1" applyProtection="1"/>
    <xf numFmtId="4" fontId="7" fillId="0" borderId="0" xfId="38" applyNumberFormat="1" applyFont="1" applyFill="1" applyBorder="1" applyAlignment="1" applyProtection="1">
      <alignment horizontal="center" vertical="top" wrapText="1"/>
    </xf>
    <xf numFmtId="0" fontId="3" fillId="0" borderId="0" xfId="38" applyFont="1" applyFill="1" applyBorder="1"/>
    <xf numFmtId="4" fontId="3" fillId="0" borderId="0" xfId="38" applyNumberFormat="1" applyFont="1" applyFill="1" applyBorder="1"/>
    <xf numFmtId="4" fontId="7" fillId="0" borderId="0" xfId="38" applyNumberFormat="1" applyFont="1" applyFill="1" applyBorder="1" applyAlignment="1" applyProtection="1">
      <alignment horizontal="center"/>
    </xf>
    <xf numFmtId="4" fontId="7" fillId="0" borderId="0" xfId="38" applyNumberFormat="1" applyFont="1" applyFill="1" applyBorder="1" applyAlignment="1" applyProtection="1"/>
    <xf numFmtId="4" fontId="7" fillId="0" borderId="0" xfId="38" applyNumberFormat="1" applyFont="1" applyFill="1" applyBorder="1" applyAlignment="1">
      <alignment horizontal="center"/>
    </xf>
    <xf numFmtId="2" fontId="3" fillId="0" borderId="0" xfId="38" applyNumberFormat="1" applyFont="1" applyFill="1"/>
    <xf numFmtId="0" fontId="9" fillId="0" borderId="0" xfId="26" applyFill="1"/>
    <xf numFmtId="4" fontId="4" fillId="0" borderId="0" xfId="19" applyNumberFormat="1" applyFont="1" applyFill="1"/>
    <xf numFmtId="4" fontId="34" fillId="0" borderId="0" xfId="19" applyNumberFormat="1" applyFont="1" applyFill="1"/>
    <xf numFmtId="0" fontId="34" fillId="0" borderId="0" xfId="19" applyFont="1" applyFill="1"/>
    <xf numFmtId="0" fontId="3" fillId="0" borderId="0" xfId="19" applyFont="1" applyFill="1"/>
    <xf numFmtId="4" fontId="4" fillId="0" borderId="0" xfId="19" quotePrefix="1" applyNumberFormat="1" applyFont="1" applyFill="1"/>
    <xf numFmtId="0" fontId="4" fillId="0" borderId="0" xfId="19" applyFont="1" applyFill="1"/>
    <xf numFmtId="4" fontId="4" fillId="0" borderId="0" xfId="19" applyNumberFormat="1" applyFont="1" applyFill="1" applyProtection="1"/>
    <xf numFmtId="4" fontId="3" fillId="0" borderId="0" xfId="19" applyNumberFormat="1" applyFont="1" applyFill="1"/>
    <xf numFmtId="0" fontId="33" fillId="0" borderId="0" xfId="19" applyFill="1"/>
    <xf numFmtId="4" fontId="4" fillId="0" borderId="0" xfId="19" applyNumberFormat="1" applyFont="1" applyFill="1" applyBorder="1" applyAlignment="1" applyProtection="1">
      <alignment horizontal="left"/>
    </xf>
    <xf numFmtId="4" fontId="5" fillId="0" borderId="0" xfId="19" applyNumberFormat="1" applyFont="1" applyFill="1" applyBorder="1" applyAlignment="1" applyProtection="1">
      <alignment horizontal="left"/>
    </xf>
    <xf numFmtId="0" fontId="5" fillId="0" borderId="0" xfId="19" applyFont="1" applyFill="1" applyBorder="1" applyAlignment="1">
      <alignment horizontal="left"/>
    </xf>
    <xf numFmtId="0" fontId="5" fillId="0" borderId="0" xfId="19" applyFont="1" applyFill="1"/>
    <xf numFmtId="4" fontId="6" fillId="0" borderId="1" xfId="19" applyNumberFormat="1" applyFont="1" applyFill="1" applyBorder="1" applyAlignment="1">
      <alignment horizontal="center" vertical="center" wrapText="1"/>
    </xf>
    <xf numFmtId="4" fontId="6" fillId="0" borderId="4" xfId="19" applyNumberFormat="1" applyFont="1" applyFill="1" applyBorder="1" applyAlignment="1">
      <alignment horizontal="centerContinuous"/>
    </xf>
    <xf numFmtId="4" fontId="6" fillId="0" borderId="5" xfId="19" applyNumberFormat="1" applyFont="1" applyFill="1" applyBorder="1" applyAlignment="1">
      <alignment horizontal="centerContinuous"/>
    </xf>
    <xf numFmtId="4" fontId="6" fillId="0" borderId="6" xfId="19" applyNumberFormat="1" applyFont="1" applyFill="1" applyBorder="1" applyAlignment="1">
      <alignment horizontal="centerContinuous"/>
    </xf>
    <xf numFmtId="4" fontId="6" fillId="0" borderId="4" xfId="19" applyNumberFormat="1" applyFont="1" applyFill="1" applyBorder="1" applyAlignment="1" applyProtection="1">
      <alignment horizontal="centerContinuous"/>
    </xf>
    <xf numFmtId="4" fontId="6" fillId="0" borderId="6" xfId="19" applyNumberFormat="1" applyFont="1" applyFill="1" applyBorder="1" applyAlignment="1" applyProtection="1">
      <alignment horizontal="centerContinuous"/>
    </xf>
    <xf numFmtId="4" fontId="6" fillId="0" borderId="1" xfId="19" applyNumberFormat="1" applyFont="1" applyFill="1" applyBorder="1" applyAlignment="1" applyProtection="1">
      <alignment horizontal="center"/>
    </xf>
    <xf numFmtId="4" fontId="6" fillId="0" borderId="1" xfId="19" applyNumberFormat="1" applyFont="1" applyFill="1" applyBorder="1"/>
    <xf numFmtId="0" fontId="6" fillId="0" borderId="1" xfId="19" applyFont="1" applyFill="1" applyBorder="1"/>
    <xf numFmtId="4" fontId="6" fillId="0" borderId="2" xfId="19" applyNumberFormat="1" applyFont="1" applyFill="1" applyBorder="1"/>
    <xf numFmtId="4" fontId="6" fillId="0" borderId="7" xfId="19" applyNumberFormat="1" applyFont="1" applyFill="1" applyBorder="1" applyAlignment="1">
      <alignment horizontal="center"/>
    </xf>
    <xf numFmtId="4" fontId="6" fillId="0" borderId="8" xfId="19" applyNumberFormat="1" applyFont="1" applyFill="1" applyBorder="1" applyAlignment="1">
      <alignment horizontal="center"/>
    </xf>
    <xf numFmtId="4" fontId="6" fillId="0" borderId="9" xfId="19" applyNumberFormat="1" applyFont="1" applyFill="1" applyBorder="1" applyAlignment="1" applyProtection="1">
      <alignment horizontal="center"/>
    </xf>
    <xf numFmtId="4" fontId="6" fillId="0" borderId="0" xfId="19" applyNumberFormat="1" applyFont="1" applyFill="1" applyBorder="1" applyAlignment="1" applyProtection="1">
      <alignment horizontal="centerContinuous"/>
    </xf>
    <xf numFmtId="4" fontId="6" fillId="0" borderId="10" xfId="19" applyNumberFormat="1" applyFont="1" applyFill="1" applyBorder="1" applyAlignment="1" applyProtection="1">
      <alignment horizontal="centerContinuous"/>
    </xf>
    <xf numFmtId="4" fontId="6" fillId="0" borderId="2" xfId="19" applyNumberFormat="1" applyFont="1" applyFill="1" applyBorder="1" applyAlignment="1" applyProtection="1">
      <alignment horizontal="center"/>
    </xf>
    <xf numFmtId="4" fontId="6" fillId="0" borderId="0" xfId="19" applyNumberFormat="1" applyFont="1" applyFill="1" applyBorder="1" applyAlignment="1">
      <alignment horizontal="center"/>
    </xf>
    <xf numFmtId="4" fontId="6" fillId="0" borderId="2" xfId="19" applyNumberFormat="1" applyFont="1" applyFill="1" applyBorder="1" applyAlignment="1">
      <alignment horizontal="center"/>
    </xf>
    <xf numFmtId="0" fontId="6" fillId="0" borderId="2" xfId="19" quotePrefix="1" applyFont="1" applyFill="1" applyBorder="1" applyAlignment="1">
      <alignment horizontal="center"/>
    </xf>
    <xf numFmtId="4" fontId="6" fillId="0" borderId="1" xfId="19" applyNumberFormat="1" applyFont="1" applyFill="1" applyBorder="1" applyAlignment="1">
      <alignment horizontal="center"/>
    </xf>
    <xf numFmtId="4" fontId="6" fillId="0" borderId="2" xfId="19" quotePrefix="1" applyNumberFormat="1" applyFont="1" applyFill="1" applyBorder="1" applyAlignment="1" applyProtection="1">
      <alignment horizontal="center"/>
    </xf>
    <xf numFmtId="4" fontId="6" fillId="0" borderId="2" xfId="19" applyNumberFormat="1" applyFont="1" applyFill="1" applyBorder="1" applyProtection="1"/>
    <xf numFmtId="4" fontId="6" fillId="0" borderId="13" xfId="19" applyNumberFormat="1" applyFont="1" applyFill="1" applyBorder="1"/>
    <xf numFmtId="0" fontId="6" fillId="0" borderId="13" xfId="19" applyFont="1" applyFill="1" applyBorder="1" applyAlignment="1">
      <alignment horizontal="center"/>
    </xf>
    <xf numFmtId="4" fontId="6" fillId="0" borderId="3" xfId="19" applyNumberFormat="1" applyFont="1" applyFill="1" applyBorder="1" applyAlignment="1">
      <alignment horizontal="center"/>
    </xf>
    <xf numFmtId="4" fontId="6" fillId="0" borderId="3" xfId="19" applyNumberFormat="1" applyFont="1" applyFill="1" applyBorder="1" applyAlignment="1" applyProtection="1">
      <alignment horizontal="center"/>
    </xf>
    <xf numFmtId="4" fontId="6" fillId="0" borderId="3" xfId="19" quotePrefix="1" applyNumberFormat="1" applyFont="1" applyFill="1" applyBorder="1" applyAlignment="1">
      <alignment horizontal="center"/>
    </xf>
    <xf numFmtId="0" fontId="6" fillId="0" borderId="3" xfId="19" quotePrefix="1" applyFont="1" applyFill="1" applyBorder="1" applyAlignment="1">
      <alignment horizontal="center"/>
    </xf>
    <xf numFmtId="4" fontId="5" fillId="0" borderId="10" xfId="19" applyNumberFormat="1" applyFont="1" applyFill="1" applyBorder="1" applyAlignment="1">
      <alignment horizontal="center"/>
    </xf>
    <xf numFmtId="4" fontId="5" fillId="0" borderId="14" xfId="19" applyNumberFormat="1" applyFont="1" applyFill="1" applyBorder="1" applyAlignment="1">
      <alignment horizontal="center"/>
    </xf>
    <xf numFmtId="4" fontId="5" fillId="0" borderId="1" xfId="19" applyNumberFormat="1" applyFont="1" applyFill="1" applyBorder="1" applyAlignment="1">
      <alignment horizontal="center"/>
    </xf>
    <xf numFmtId="4" fontId="5" fillId="0" borderId="10" xfId="19" applyNumberFormat="1" applyFont="1" applyFill="1" applyBorder="1" applyAlignment="1" applyProtection="1">
      <alignment horizontal="center"/>
    </xf>
    <xf numFmtId="4" fontId="5" fillId="0" borderId="2" xfId="19" applyNumberFormat="1" applyFont="1" applyFill="1" applyBorder="1" applyAlignment="1" applyProtection="1">
      <alignment horizontal="center"/>
    </xf>
    <xf numFmtId="4" fontId="5" fillId="0" borderId="2" xfId="19" applyNumberFormat="1" applyFont="1" applyFill="1" applyBorder="1" applyAlignment="1">
      <alignment horizontal="center"/>
    </xf>
    <xf numFmtId="4" fontId="5" fillId="0" borderId="2" xfId="19" quotePrefix="1" applyNumberFormat="1" applyFont="1" applyFill="1" applyBorder="1" applyAlignment="1">
      <alignment horizontal="center"/>
    </xf>
    <xf numFmtId="4" fontId="7" fillId="0" borderId="2" xfId="19" applyNumberFormat="1" applyFont="1" applyFill="1" applyBorder="1" applyProtection="1"/>
    <xf numFmtId="4" fontId="7" fillId="0" borderId="2" xfId="19" applyNumberFormat="1" applyFont="1" applyFill="1" applyBorder="1" applyAlignment="1" applyProtection="1">
      <alignment horizontal="center" vertical="top" wrapText="1"/>
    </xf>
    <xf numFmtId="4" fontId="7" fillId="0" borderId="2" xfId="19" applyNumberFormat="1" applyFont="1" applyFill="1" applyBorder="1" applyAlignment="1" applyProtection="1">
      <alignment horizontal="center"/>
    </xf>
    <xf numFmtId="4" fontId="38" fillId="0" borderId="2" xfId="27" applyNumberFormat="1" applyFont="1" applyFill="1" applyBorder="1" applyAlignment="1" applyProtection="1">
      <alignment horizontal="center" vertical="top" wrapText="1"/>
    </xf>
    <xf numFmtId="4" fontId="7" fillId="0" borderId="2" xfId="19" applyNumberFormat="1" applyFont="1" applyFill="1" applyBorder="1" applyAlignment="1">
      <alignment horizontal="center"/>
    </xf>
    <xf numFmtId="4" fontId="7" fillId="0" borderId="2" xfId="19" quotePrefix="1" applyNumberFormat="1" applyFont="1" applyFill="1" applyBorder="1" applyAlignment="1">
      <alignment horizontal="center"/>
    </xf>
    <xf numFmtId="4" fontId="7" fillId="0" borderId="2" xfId="19" applyNumberFormat="1" applyFont="1" applyFill="1" applyBorder="1" applyAlignment="1" applyProtection="1">
      <alignment horizontal="center" vertical="center"/>
    </xf>
    <xf numFmtId="4" fontId="7" fillId="0" borderId="2" xfId="19" applyNumberFormat="1" applyFont="1" applyFill="1" applyBorder="1" applyAlignment="1" applyProtection="1">
      <alignment horizontal="center" vertical="center" wrapText="1"/>
    </xf>
    <xf numFmtId="4" fontId="7" fillId="0" borderId="2" xfId="19" applyNumberFormat="1" applyFont="1" applyFill="1" applyBorder="1" applyAlignment="1">
      <alignment horizontal="center" vertical="center"/>
    </xf>
    <xf numFmtId="4" fontId="7" fillId="0" borderId="2" xfId="19" quotePrefix="1" applyNumberFormat="1" applyFont="1" applyFill="1" applyBorder="1" applyAlignment="1">
      <alignment horizontal="center" vertical="center"/>
    </xf>
    <xf numFmtId="4" fontId="7" fillId="0" borderId="0" xfId="19" applyNumberFormat="1" applyFont="1" applyFill="1" applyBorder="1" applyAlignment="1" applyProtection="1">
      <alignment horizontal="center" vertical="top" wrapText="1"/>
    </xf>
    <xf numFmtId="4" fontId="34" fillId="0" borderId="0" xfId="19" applyNumberFormat="1" applyFont="1" applyFill="1" applyProtection="1"/>
    <xf numFmtId="4" fontId="3" fillId="0" borderId="0" xfId="19" applyNumberFormat="1" applyFont="1" applyFill="1" applyProtection="1"/>
    <xf numFmtId="4" fontId="3" fillId="0" borderId="0" xfId="19" applyNumberFormat="1" applyFont="1" applyFill="1" applyAlignment="1">
      <alignment horizontal="center"/>
    </xf>
    <xf numFmtId="4" fontId="3" fillId="0" borderId="0" xfId="27" applyNumberFormat="1" applyFont="1" applyFill="1"/>
    <xf numFmtId="4" fontId="15" fillId="0" borderId="2" xfId="27" applyNumberFormat="1" applyFont="1" applyFill="1" applyBorder="1" applyAlignment="1">
      <alignment horizontal="center"/>
    </xf>
    <xf numFmtId="4" fontId="15" fillId="0" borderId="2" xfId="27" applyNumberFormat="1" applyFont="1" applyFill="1" applyBorder="1" applyAlignment="1" applyProtection="1">
      <alignment horizontal="center"/>
    </xf>
    <xf numFmtId="0" fontId="15" fillId="0" borderId="2" xfId="27" quotePrefix="1" applyFont="1" applyFill="1" applyBorder="1" applyAlignment="1">
      <alignment horizontal="center"/>
    </xf>
    <xf numFmtId="167" fontId="7" fillId="0" borderId="2" xfId="27" applyNumberFormat="1" applyFont="1" applyFill="1" applyBorder="1" applyAlignment="1" applyProtection="1">
      <alignment horizontal="center" vertical="center"/>
    </xf>
    <xf numFmtId="4" fontId="22" fillId="0" borderId="2" xfId="27" applyNumberFormat="1" applyFont="1" applyFill="1" applyBorder="1" applyAlignment="1" applyProtection="1">
      <alignment horizontal="center" vertical="center" wrapText="1"/>
    </xf>
    <xf numFmtId="3" fontId="7" fillId="0" borderId="2" xfId="27" applyNumberFormat="1" applyFont="1" applyFill="1" applyBorder="1" applyAlignment="1" applyProtection="1">
      <alignment horizontal="center" vertical="center" wrapText="1"/>
    </xf>
    <xf numFmtId="4" fontId="4" fillId="0" borderId="0" xfId="38" applyNumberFormat="1" applyFont="1" applyFill="1" applyAlignment="1" applyProtection="1">
      <alignment wrapText="1"/>
    </xf>
    <xf numFmtId="170" fontId="5" fillId="0" borderId="0" xfId="38" applyNumberFormat="1" applyFont="1" applyFill="1" applyBorder="1" applyAlignment="1">
      <alignment horizontal="left"/>
    </xf>
    <xf numFmtId="4" fontId="5" fillId="0" borderId="0" xfId="38" applyNumberFormat="1" applyFont="1" applyFill="1"/>
    <xf numFmtId="4" fontId="6" fillId="0" borderId="5" xfId="0" applyNumberFormat="1" applyFont="1" applyFill="1" applyBorder="1" applyAlignment="1">
      <alignment vertical="center"/>
    </xf>
    <xf numFmtId="4" fontId="13" fillId="0" borderId="0" xfId="27" applyNumberFormat="1" applyFont="1" applyFill="1"/>
    <xf numFmtId="4" fontId="4" fillId="0" borderId="0" xfId="27" applyNumberFormat="1" applyFont="1" applyFill="1" applyAlignment="1">
      <alignment horizontal="center"/>
    </xf>
    <xf numFmtId="4" fontId="4" fillId="0" borderId="0" xfId="27" applyNumberFormat="1" applyFont="1" applyFill="1" applyAlignment="1" applyProtection="1">
      <alignment horizontal="center"/>
    </xf>
    <xf numFmtId="0" fontId="55" fillId="0" borderId="0" xfId="27" applyFont="1" applyFill="1"/>
    <xf numFmtId="4" fontId="45" fillId="0" borderId="0" xfId="27" applyNumberFormat="1" applyFont="1" applyFill="1"/>
    <xf numFmtId="4" fontId="45" fillId="0" borderId="0" xfId="27" applyNumberFormat="1" applyFont="1" applyFill="1" applyAlignment="1">
      <alignment horizontal="center"/>
    </xf>
    <xf numFmtId="4" fontId="45" fillId="0" borderId="0" xfId="27" applyNumberFormat="1" applyFont="1" applyFill="1" applyAlignment="1" applyProtection="1">
      <alignment horizontal="center"/>
    </xf>
    <xf numFmtId="4" fontId="5" fillId="0" borderId="0" xfId="27" applyNumberFormat="1" applyFont="1" applyFill="1" applyBorder="1" applyAlignment="1" applyProtection="1">
      <alignment horizontal="left"/>
    </xf>
    <xf numFmtId="0" fontId="5" fillId="0" borderId="0" xfId="27" applyFont="1" applyFill="1" applyBorder="1" applyAlignment="1">
      <alignment horizontal="left"/>
    </xf>
    <xf numFmtId="0" fontId="5" fillId="0" borderId="0" xfId="27" applyFont="1" applyFill="1"/>
    <xf numFmtId="4" fontId="17" fillId="0" borderId="0" xfId="27" applyNumberFormat="1" applyFont="1" applyFill="1" applyAlignment="1">
      <alignment horizontal="center"/>
    </xf>
    <xf numFmtId="4" fontId="17" fillId="0" borderId="0" xfId="27" applyNumberFormat="1" applyFont="1" applyFill="1" applyAlignment="1" applyProtection="1">
      <alignment horizontal="center"/>
    </xf>
    <xf numFmtId="0" fontId="21" fillId="0" borderId="1" xfId="27" applyFont="1" applyFill="1" applyBorder="1"/>
    <xf numFmtId="0" fontId="3" fillId="0" borderId="2" xfId="20" applyFont="1" applyFill="1" applyBorder="1" applyAlignment="1">
      <alignment horizontal="center" vertical="center" wrapText="1"/>
    </xf>
    <xf numFmtId="0" fontId="21" fillId="0" borderId="14" xfId="27" applyFont="1" applyFill="1" applyBorder="1"/>
    <xf numFmtId="0" fontId="21" fillId="0" borderId="0" xfId="27" applyFont="1" applyFill="1" applyBorder="1"/>
    <xf numFmtId="0" fontId="20" fillId="0" borderId="3" xfId="27" quotePrefix="1" applyFont="1" applyFill="1" applyBorder="1" applyAlignment="1">
      <alignment horizontal="center"/>
    </xf>
    <xf numFmtId="4" fontId="7" fillId="0" borderId="2" xfId="27" applyNumberFormat="1" applyFont="1" applyFill="1" applyBorder="1" applyAlignment="1" applyProtection="1">
      <alignment horizontal="center" vertical="top"/>
    </xf>
    <xf numFmtId="4" fontId="15" fillId="0" borderId="2" xfId="27" applyNumberFormat="1" applyFont="1" applyFill="1" applyBorder="1" applyAlignment="1" applyProtection="1">
      <alignment horizontal="center" vertical="top"/>
    </xf>
    <xf numFmtId="3" fontId="7" fillId="0" borderId="2" xfId="27" applyNumberFormat="1" applyFont="1" applyFill="1" applyBorder="1" applyAlignment="1" applyProtection="1">
      <alignment horizontal="center" vertical="top"/>
    </xf>
    <xf numFmtId="4" fontId="7" fillId="0" borderId="2" xfId="10" applyNumberFormat="1" applyFont="1" applyFill="1" applyBorder="1" applyAlignment="1" applyProtection="1"/>
    <xf numFmtId="0" fontId="7" fillId="0" borderId="2" xfId="10" applyNumberFormat="1" applyFont="1" applyFill="1" applyBorder="1" applyProtection="1"/>
    <xf numFmtId="4" fontId="7" fillId="0" borderId="2" xfId="10" applyNumberFormat="1" applyFont="1" applyFill="1" applyBorder="1" applyProtection="1"/>
    <xf numFmtId="0" fontId="18" fillId="0" borderId="2" xfId="27" applyFont="1" applyFill="1" applyBorder="1"/>
    <xf numFmtId="4" fontId="7" fillId="0" borderId="2" xfId="28" applyNumberFormat="1" applyFont="1" applyFill="1" applyBorder="1" applyAlignment="1" applyProtection="1">
      <alignment horizontal="center" vertical="center" wrapText="1"/>
    </xf>
    <xf numFmtId="0" fontId="7" fillId="0" borderId="2" xfId="27" applyNumberFormat="1" applyFont="1" applyFill="1" applyBorder="1" applyAlignment="1" applyProtection="1">
      <alignment horizontal="center" vertical="center" wrapText="1"/>
    </xf>
    <xf numFmtId="4" fontId="18" fillId="0" borderId="0" xfId="27" applyNumberFormat="1" applyFont="1" applyFill="1" applyAlignment="1">
      <alignment horizontal="center"/>
    </xf>
    <xf numFmtId="4" fontId="53" fillId="0" borderId="0" xfId="27" applyNumberFormat="1" applyFont="1" applyFill="1" applyAlignment="1" applyProtection="1">
      <alignment horizontal="center"/>
    </xf>
    <xf numFmtId="4" fontId="18" fillId="0" borderId="0" xfId="27" applyNumberFormat="1" applyFont="1" applyFill="1" applyAlignment="1" applyProtection="1">
      <alignment horizontal="center"/>
    </xf>
    <xf numFmtId="4" fontId="3" fillId="0" borderId="0" xfId="42" applyNumberFormat="1" applyFont="1" applyFill="1"/>
    <xf numFmtId="4" fontId="34" fillId="0" borderId="0" xfId="42" applyNumberFormat="1" applyFont="1" applyFill="1"/>
    <xf numFmtId="0" fontId="34" fillId="0" borderId="0" xfId="42" applyFont="1" applyFill="1"/>
    <xf numFmtId="0" fontId="3" fillId="0" borderId="0" xfId="42" applyFont="1" applyFill="1"/>
    <xf numFmtId="4" fontId="4" fillId="0" borderId="0" xfId="42" applyNumberFormat="1" applyFont="1" applyFill="1" applyProtection="1"/>
    <xf numFmtId="4" fontId="4" fillId="0" borderId="0" xfId="48" applyNumberFormat="1" applyFont="1" applyFill="1" applyAlignment="1">
      <alignment horizontal="left"/>
    </xf>
    <xf numFmtId="4" fontId="4" fillId="0" borderId="0" xfId="42" applyNumberFormat="1" applyFont="1" applyFill="1"/>
    <xf numFmtId="0" fontId="4" fillId="0" borderId="0" xfId="42" applyFont="1" applyFill="1"/>
    <xf numFmtId="4" fontId="4" fillId="0" borderId="0" xfId="42" applyNumberFormat="1" applyFont="1" applyFill="1" applyBorder="1" applyAlignment="1" applyProtection="1">
      <alignment horizontal="left"/>
    </xf>
    <xf numFmtId="4" fontId="5" fillId="0" borderId="0" xfId="42" applyNumberFormat="1" applyFont="1" applyFill="1" applyBorder="1" applyAlignment="1" applyProtection="1">
      <alignment horizontal="left"/>
    </xf>
    <xf numFmtId="0" fontId="5" fillId="0" borderId="0" xfId="42" applyFont="1" applyFill="1" applyBorder="1" applyAlignment="1">
      <alignment horizontal="left"/>
    </xf>
    <xf numFmtId="0" fontId="5" fillId="0" borderId="0" xfId="42" applyFont="1" applyFill="1"/>
    <xf numFmtId="170" fontId="5" fillId="0" borderId="0" xfId="42" applyNumberFormat="1" applyFont="1" applyFill="1" applyBorder="1" applyAlignment="1">
      <alignment horizontal="left"/>
    </xf>
    <xf numFmtId="4" fontId="5" fillId="0" borderId="0" xfId="42" applyNumberFormat="1" applyFont="1" applyFill="1"/>
    <xf numFmtId="4" fontId="6" fillId="0" borderId="1" xfId="42" applyNumberFormat="1" applyFont="1" applyFill="1" applyBorder="1" applyAlignment="1">
      <alignment horizontal="center" vertical="center" wrapText="1"/>
    </xf>
    <xf numFmtId="4" fontId="6" fillId="0" borderId="4" xfId="42" applyNumberFormat="1" applyFont="1" applyFill="1" applyBorder="1" applyAlignment="1">
      <alignment horizontal="centerContinuous"/>
    </xf>
    <xf numFmtId="4" fontId="6" fillId="0" borderId="5" xfId="42" applyNumberFormat="1" applyFont="1" applyFill="1" applyBorder="1" applyAlignment="1">
      <alignment horizontal="centerContinuous"/>
    </xf>
    <xf numFmtId="4" fontId="6" fillId="0" borderId="6" xfId="42" applyNumberFormat="1" applyFont="1" applyFill="1" applyBorder="1" applyAlignment="1">
      <alignment horizontal="centerContinuous"/>
    </xf>
    <xf numFmtId="4" fontId="6" fillId="0" borderId="4" xfId="42" applyNumberFormat="1" applyFont="1" applyFill="1" applyBorder="1" applyAlignment="1" applyProtection="1">
      <alignment horizontal="centerContinuous"/>
    </xf>
    <xf numFmtId="4" fontId="6" fillId="0" borderId="6" xfId="42" applyNumberFormat="1" applyFont="1" applyFill="1" applyBorder="1" applyAlignment="1" applyProtection="1">
      <alignment horizontal="centerContinuous"/>
    </xf>
    <xf numFmtId="4" fontId="6" fillId="0" borderId="1" xfId="42" applyNumberFormat="1" applyFont="1" applyFill="1" applyBorder="1" applyAlignment="1" applyProtection="1">
      <alignment horizontal="center"/>
    </xf>
    <xf numFmtId="4" fontId="6" fillId="0" borderId="1" xfId="42" applyNumberFormat="1" applyFont="1" applyFill="1" applyBorder="1"/>
    <xf numFmtId="0" fontId="6" fillId="0" borderId="1" xfId="42" applyFont="1" applyFill="1" applyBorder="1"/>
    <xf numFmtId="4" fontId="6" fillId="0" borderId="2" xfId="42" applyNumberFormat="1" applyFont="1" applyFill="1" applyBorder="1"/>
    <xf numFmtId="4" fontId="6" fillId="0" borderId="7" xfId="42" applyNumberFormat="1" applyFont="1" applyFill="1" applyBorder="1" applyAlignment="1">
      <alignment horizontal="center"/>
    </xf>
    <xf numFmtId="4" fontId="6" fillId="0" borderId="8" xfId="42" applyNumberFormat="1" applyFont="1" applyFill="1" applyBorder="1" applyAlignment="1">
      <alignment horizontal="center"/>
    </xf>
    <xf numFmtId="4" fontId="6" fillId="0" borderId="9" xfId="42" applyNumberFormat="1" applyFont="1" applyFill="1" applyBorder="1" applyAlignment="1" applyProtection="1">
      <alignment horizontal="center"/>
    </xf>
    <xf numFmtId="4" fontId="6" fillId="0" borderId="0" xfId="42" applyNumberFormat="1" applyFont="1" applyFill="1" applyBorder="1" applyAlignment="1" applyProtection="1">
      <alignment horizontal="centerContinuous"/>
    </xf>
    <xf numFmtId="4" fontId="6" fillId="0" borderId="10" xfId="42" applyNumberFormat="1" applyFont="1" applyFill="1" applyBorder="1" applyAlignment="1" applyProtection="1">
      <alignment horizontal="centerContinuous"/>
    </xf>
    <xf numFmtId="4" fontId="6" fillId="0" borderId="2" xfId="42" applyNumberFormat="1" applyFont="1" applyFill="1" applyBorder="1" applyAlignment="1" applyProtection="1">
      <alignment horizontal="center"/>
    </xf>
    <xf numFmtId="4" fontId="6" fillId="0" borderId="0" xfId="42" applyNumberFormat="1" applyFont="1" applyFill="1" applyBorder="1" applyAlignment="1">
      <alignment horizontal="center"/>
    </xf>
    <xf numFmtId="4" fontId="6" fillId="0" borderId="2" xfId="42" applyNumberFormat="1" applyFont="1" applyFill="1" applyBorder="1" applyAlignment="1">
      <alignment horizontal="center"/>
    </xf>
    <xf numFmtId="0" fontId="6" fillId="0" borderId="2" xfId="42" quotePrefix="1" applyFont="1" applyFill="1" applyBorder="1" applyAlignment="1">
      <alignment horizontal="center"/>
    </xf>
    <xf numFmtId="4" fontId="6" fillId="0" borderId="1" xfId="42" applyNumberFormat="1" applyFont="1" applyFill="1" applyBorder="1" applyAlignment="1">
      <alignment horizontal="center"/>
    </xf>
    <xf numFmtId="4" fontId="6" fillId="0" borderId="2" xfId="42" quotePrefix="1" applyNumberFormat="1" applyFont="1" applyFill="1" applyBorder="1" applyAlignment="1" applyProtection="1">
      <alignment horizontal="center"/>
    </xf>
    <xf numFmtId="4" fontId="6" fillId="0" borderId="2" xfId="42" applyNumberFormat="1" applyFont="1" applyFill="1" applyBorder="1" applyProtection="1"/>
    <xf numFmtId="4" fontId="6" fillId="0" borderId="13" xfId="42" applyNumberFormat="1" applyFont="1" applyFill="1" applyBorder="1"/>
    <xf numFmtId="0" fontId="6" fillId="0" borderId="13" xfId="42" applyFont="1" applyFill="1" applyBorder="1" applyAlignment="1">
      <alignment horizontal="center"/>
    </xf>
    <xf numFmtId="4" fontId="6" fillId="0" borderId="3" xfId="42" applyNumberFormat="1" applyFont="1" applyFill="1" applyBorder="1" applyAlignment="1">
      <alignment horizontal="center"/>
    </xf>
    <xf numFmtId="4" fontId="6" fillId="0" borderId="3" xfId="42" applyNumberFormat="1" applyFont="1" applyFill="1" applyBorder="1" applyAlignment="1" applyProtection="1">
      <alignment horizontal="center"/>
    </xf>
    <xf numFmtId="4" fontId="6" fillId="0" borderId="3" xfId="42" quotePrefix="1" applyNumberFormat="1" applyFont="1" applyFill="1" applyBorder="1" applyAlignment="1">
      <alignment horizontal="center"/>
    </xf>
    <xf numFmtId="0" fontId="6" fillId="0" borderId="3" xfId="42" quotePrefix="1" applyFont="1" applyFill="1" applyBorder="1" applyAlignment="1">
      <alignment horizontal="center"/>
    </xf>
    <xf numFmtId="4" fontId="7" fillId="0" borderId="2" xfId="42" applyNumberFormat="1" applyFont="1" applyFill="1" applyBorder="1" applyAlignment="1">
      <alignment horizontal="center"/>
    </xf>
    <xf numFmtId="4" fontId="7" fillId="0" borderId="2" xfId="42" applyNumberFormat="1" applyFont="1" applyFill="1" applyBorder="1" applyAlignment="1" applyProtection="1">
      <alignment horizontal="center"/>
    </xf>
    <xf numFmtId="4" fontId="7" fillId="0" borderId="2" xfId="42" applyNumberFormat="1" applyFont="1" applyFill="1" applyBorder="1" applyAlignment="1">
      <alignment horizontal="center" vertical="center"/>
    </xf>
    <xf numFmtId="4" fontId="7" fillId="0" borderId="2" xfId="42" applyNumberFormat="1" applyFont="1" applyFill="1" applyBorder="1" applyAlignment="1" applyProtection="1">
      <alignment horizontal="center" vertical="center"/>
    </xf>
    <xf numFmtId="0" fontId="7" fillId="0" borderId="2" xfId="42" applyNumberFormat="1" applyFont="1" applyFill="1" applyBorder="1" applyAlignment="1" applyProtection="1">
      <alignment horizontal="center" vertical="center"/>
    </xf>
    <xf numFmtId="4" fontId="7" fillId="0" borderId="0" xfId="42" applyNumberFormat="1" applyFont="1" applyFill="1" applyAlignment="1">
      <alignment horizontal="center" vertical="center"/>
    </xf>
    <xf numFmtId="4" fontId="7" fillId="0" borderId="0" xfId="42" applyNumberFormat="1" applyFont="1" applyFill="1" applyBorder="1" applyAlignment="1">
      <alignment horizontal="center" vertical="center"/>
    </xf>
    <xf numFmtId="4" fontId="7" fillId="0" borderId="2" xfId="42" applyNumberFormat="1" applyFont="1" applyFill="1" applyBorder="1" applyAlignment="1" applyProtection="1">
      <alignment horizontal="center" vertical="center" wrapText="1"/>
    </xf>
    <xf numFmtId="4" fontId="7" fillId="0" borderId="0" xfId="42" applyNumberFormat="1" applyFont="1" applyFill="1"/>
    <xf numFmtId="4" fontId="7" fillId="0" borderId="0" xfId="42" applyNumberFormat="1" applyFont="1" applyFill="1" applyProtection="1"/>
    <xf numFmtId="0" fontId="7" fillId="0" borderId="0" xfId="42" applyFont="1" applyFill="1"/>
    <xf numFmtId="4" fontId="3" fillId="0" borderId="0" xfId="42" applyNumberFormat="1" applyFont="1" applyFill="1" applyProtection="1"/>
    <xf numFmtId="4" fontId="3" fillId="0" borderId="0" xfId="25" applyNumberFormat="1" applyFont="1" applyFill="1"/>
    <xf numFmtId="4" fontId="4" fillId="0" borderId="0" xfId="25" applyNumberFormat="1" applyFont="1" applyFill="1"/>
    <xf numFmtId="0" fontId="9" fillId="0" borderId="0" xfId="25" applyFill="1"/>
    <xf numFmtId="4" fontId="5" fillId="0" borderId="2" xfId="38" applyNumberFormat="1" applyFont="1" applyFill="1" applyBorder="1" applyAlignment="1" applyProtection="1">
      <alignment horizontal="center" vertical="center"/>
    </xf>
    <xf numFmtId="4" fontId="5" fillId="0" borderId="10" xfId="38" applyNumberFormat="1" applyFont="1" applyFill="1" applyBorder="1" applyAlignment="1" applyProtection="1">
      <alignment horizontal="center" vertical="center"/>
    </xf>
    <xf numFmtId="4" fontId="4" fillId="0" borderId="0" xfId="66" applyNumberFormat="1" applyFont="1" applyFill="1"/>
    <xf numFmtId="4" fontId="4" fillId="0" borderId="0" xfId="66" applyNumberFormat="1" applyFont="1" applyFill="1" applyProtection="1"/>
    <xf numFmtId="167" fontId="7" fillId="0" borderId="14" xfId="65" applyNumberFormat="1" applyFont="1" applyFill="1" applyBorder="1" applyAlignment="1" applyProtection="1">
      <alignment horizontal="center" vertical="center"/>
    </xf>
    <xf numFmtId="167" fontId="7" fillId="0" borderId="10" xfId="65" applyNumberFormat="1" applyFont="1" applyFill="1" applyBorder="1" applyAlignment="1" applyProtection="1">
      <alignment horizontal="center" vertical="center"/>
    </xf>
    <xf numFmtId="4" fontId="4" fillId="0" borderId="0" xfId="41" applyNumberFormat="1" applyFont="1" applyFill="1" applyAlignment="1">
      <alignment vertical="center"/>
    </xf>
    <xf numFmtId="4" fontId="4" fillId="0" borderId="0" xfId="41" applyNumberFormat="1" applyFont="1" applyFill="1" applyAlignment="1" applyProtection="1">
      <alignment vertical="center"/>
    </xf>
    <xf numFmtId="4" fontId="4" fillId="0" borderId="0" xfId="66" applyNumberFormat="1" applyFont="1" applyFill="1" applyAlignment="1">
      <alignment vertical="center"/>
    </xf>
    <xf numFmtId="4" fontId="4" fillId="0" borderId="0" xfId="66" applyNumberFormat="1" applyFont="1" applyFill="1" applyAlignment="1" applyProtection="1">
      <alignment vertical="center"/>
    </xf>
    <xf numFmtId="4" fontId="4" fillId="0" borderId="0" xfId="38" applyNumberFormat="1" applyFont="1" applyFill="1" applyAlignment="1">
      <alignment vertical="top"/>
    </xf>
    <xf numFmtId="2" fontId="4" fillId="0" borderId="0" xfId="0" applyNumberFormat="1" applyFont="1" applyFill="1" applyAlignment="1">
      <alignment vertical="center"/>
    </xf>
    <xf numFmtId="2" fontId="4" fillId="0" borderId="0" xfId="38" applyNumberFormat="1" applyFont="1" applyFill="1" applyAlignment="1">
      <alignment vertical="center"/>
    </xf>
    <xf numFmtId="4" fontId="30" fillId="0" borderId="0" xfId="0" applyNumberFormat="1" applyFont="1" applyFill="1" applyBorder="1" applyAlignment="1">
      <alignment horizontal="center"/>
    </xf>
    <xf numFmtId="0" fontId="46" fillId="0" borderId="2" xfId="0" applyFont="1" applyFill="1" applyBorder="1" applyAlignment="1">
      <alignment horizontal="center" vertical="top" wrapText="1"/>
    </xf>
    <xf numFmtId="0" fontId="45" fillId="0" borderId="2" xfId="0" applyFont="1" applyFill="1" applyBorder="1" applyAlignment="1">
      <alignment horizontal="center" vertical="top" wrapText="1"/>
    </xf>
    <xf numFmtId="0" fontId="47" fillId="0" borderId="10" xfId="0" applyFont="1" applyFill="1" applyBorder="1" applyAlignment="1">
      <alignment horizontal="justify" vertical="top" wrapText="1"/>
    </xf>
    <xf numFmtId="4" fontId="30" fillId="0" borderId="0" xfId="0" applyNumberFormat="1" applyFont="1" applyFill="1" applyBorder="1"/>
    <xf numFmtId="0" fontId="48" fillId="0" borderId="10" xfId="0" applyFont="1" applyFill="1" applyBorder="1" applyAlignment="1">
      <alignment horizontal="justify" vertical="top" wrapText="1"/>
    </xf>
    <xf numFmtId="0" fontId="45" fillId="0" borderId="13" xfId="0" applyFont="1" applyFill="1" applyBorder="1" applyAlignment="1">
      <alignment horizontal="center" vertical="top" wrapText="1"/>
    </xf>
    <xf numFmtId="0" fontId="45" fillId="0" borderId="9" xfId="0" applyFont="1" applyFill="1" applyBorder="1" applyAlignment="1">
      <alignment horizontal="center" vertical="top" wrapText="1"/>
    </xf>
    <xf numFmtId="0" fontId="45" fillId="0" borderId="15" xfId="0" applyFont="1" applyFill="1" applyBorder="1" applyAlignment="1">
      <alignment horizontal="center" vertical="top" wrapText="1"/>
    </xf>
    <xf numFmtId="0" fontId="48" fillId="0" borderId="2" xfId="0" applyFont="1" applyFill="1" applyBorder="1" applyAlignment="1">
      <alignment horizontal="center" vertical="top" wrapText="1"/>
    </xf>
    <xf numFmtId="0" fontId="49" fillId="0" borderId="10" xfId="0" applyFont="1" applyFill="1" applyBorder="1" applyAlignment="1">
      <alignment horizontal="justify" vertical="top" wrapText="1"/>
    </xf>
    <xf numFmtId="0" fontId="50" fillId="0" borderId="2" xfId="0" applyFont="1" applyFill="1" applyBorder="1" applyAlignment="1">
      <alignment horizontal="center" vertical="top" wrapText="1"/>
    </xf>
    <xf numFmtId="0" fontId="47" fillId="0" borderId="10" xfId="0" applyFont="1" applyFill="1" applyBorder="1" applyAlignment="1">
      <alignment horizontal="left" vertical="top" wrapText="1"/>
    </xf>
    <xf numFmtId="0" fontId="48" fillId="0" borderId="13" xfId="0" applyFont="1" applyFill="1" applyBorder="1" applyAlignment="1">
      <alignment horizontal="center" vertical="top" wrapText="1"/>
    </xf>
    <xf numFmtId="0" fontId="48" fillId="0" borderId="9" xfId="0" applyFont="1" applyFill="1" applyBorder="1" applyAlignment="1">
      <alignment horizontal="justify" vertical="top" wrapText="1"/>
    </xf>
    <xf numFmtId="0" fontId="51" fillId="0" borderId="2" xfId="0" applyFont="1" applyFill="1" applyBorder="1"/>
    <xf numFmtId="0" fontId="48" fillId="0" borderId="9" xfId="0" applyFont="1" applyFill="1" applyBorder="1" applyAlignment="1">
      <alignment horizontal="left" vertical="top" wrapText="1"/>
    </xf>
    <xf numFmtId="0" fontId="51" fillId="0" borderId="13" xfId="0" applyFont="1" applyFill="1" applyBorder="1"/>
    <xf numFmtId="0" fontId="51" fillId="0" borderId="13" xfId="0" applyFont="1" applyFill="1" applyBorder="1" applyAlignment="1">
      <alignment vertical="top" wrapText="1"/>
    </xf>
    <xf numFmtId="0" fontId="51" fillId="0" borderId="2" xfId="0" applyFont="1" applyFill="1" applyBorder="1" applyAlignment="1">
      <alignment vertical="top" wrapText="1"/>
    </xf>
    <xf numFmtId="0" fontId="48" fillId="0" borderId="10" xfId="0" applyFont="1" applyFill="1" applyBorder="1" applyAlignment="1">
      <alignment horizontal="left" vertical="top" wrapText="1"/>
    </xf>
    <xf numFmtId="0" fontId="46" fillId="0" borderId="13" xfId="0" applyFont="1" applyFill="1" applyBorder="1" applyAlignment="1">
      <alignment horizontal="center" vertical="top" wrapText="1"/>
    </xf>
    <xf numFmtId="0" fontId="46" fillId="0" borderId="9" xfId="0" applyFont="1" applyFill="1" applyBorder="1" applyAlignment="1">
      <alignment horizontal="center" vertical="top" wrapText="1"/>
    </xf>
    <xf numFmtId="0" fontId="47" fillId="0" borderId="9" xfId="0" applyFont="1" applyFill="1" applyBorder="1" applyAlignment="1">
      <alignment horizontal="justify" vertical="top" wrapText="1"/>
    </xf>
    <xf numFmtId="4" fontId="4" fillId="0" borderId="0" xfId="61" applyNumberFormat="1" applyFont="1" applyFill="1" applyAlignment="1" applyProtection="1">
      <alignment horizontal="left" vertical="center" wrapText="1"/>
    </xf>
    <xf numFmtId="4" fontId="3" fillId="0" borderId="0" xfId="61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  <xf numFmtId="4" fontId="4" fillId="0" borderId="0" xfId="62" applyNumberFormat="1" applyFont="1" applyFill="1" applyAlignment="1">
      <alignment horizontal="left" vertical="center"/>
    </xf>
    <xf numFmtId="4" fontId="4" fillId="0" borderId="0" xfId="61" applyNumberFormat="1" applyFont="1" applyFill="1" applyAlignment="1">
      <alignment vertical="center"/>
    </xf>
    <xf numFmtId="4" fontId="4" fillId="0" borderId="0" xfId="61" applyNumberFormat="1" applyFont="1" applyFill="1" applyAlignment="1" applyProtection="1">
      <alignment vertical="center"/>
    </xf>
    <xf numFmtId="0" fontId="4" fillId="0" borderId="0" xfId="61" applyFont="1" applyFill="1" applyAlignment="1">
      <alignment vertical="center"/>
    </xf>
    <xf numFmtId="4" fontId="4" fillId="0" borderId="0" xfId="61" applyNumberFormat="1" applyFont="1" applyFill="1" applyBorder="1" applyAlignment="1" applyProtection="1">
      <alignment horizontal="left" vertical="center"/>
    </xf>
    <xf numFmtId="4" fontId="5" fillId="0" borderId="0" xfId="61" applyNumberFormat="1" applyFont="1" applyFill="1" applyBorder="1" applyAlignment="1" applyProtection="1">
      <alignment horizontal="left" vertical="center"/>
    </xf>
    <xf numFmtId="0" fontId="5" fillId="0" borderId="0" xfId="61" applyFont="1" applyFill="1" applyBorder="1" applyAlignment="1">
      <alignment horizontal="left" vertical="center"/>
    </xf>
    <xf numFmtId="0" fontId="5" fillId="0" borderId="0" xfId="61" applyFont="1" applyFill="1" applyAlignment="1">
      <alignment vertical="center"/>
    </xf>
    <xf numFmtId="170" fontId="5" fillId="0" borderId="0" xfId="61" applyNumberFormat="1" applyFont="1" applyFill="1" applyBorder="1" applyAlignment="1">
      <alignment horizontal="left" vertical="center"/>
    </xf>
    <xf numFmtId="4" fontId="5" fillId="0" borderId="0" xfId="61" applyNumberFormat="1" applyFont="1" applyFill="1" applyAlignment="1">
      <alignment vertical="center"/>
    </xf>
    <xf numFmtId="4" fontId="6" fillId="0" borderId="1" xfId="61" applyNumberFormat="1" applyFont="1" applyFill="1" applyBorder="1" applyAlignment="1">
      <alignment horizontal="center" vertical="center" wrapText="1"/>
    </xf>
    <xf numFmtId="4" fontId="6" fillId="0" borderId="4" xfId="61" applyNumberFormat="1" applyFont="1" applyFill="1" applyBorder="1" applyAlignment="1">
      <alignment horizontal="centerContinuous" vertical="center"/>
    </xf>
    <xf numFmtId="4" fontId="6" fillId="0" borderId="5" xfId="61" applyNumberFormat="1" applyFont="1" applyFill="1" applyBorder="1" applyAlignment="1">
      <alignment horizontal="centerContinuous" vertical="center"/>
    </xf>
    <xf numFmtId="4" fontId="6" fillId="0" borderId="6" xfId="61" applyNumberFormat="1" applyFont="1" applyFill="1" applyBorder="1" applyAlignment="1">
      <alignment horizontal="centerContinuous" vertical="center"/>
    </xf>
    <xf numFmtId="4" fontId="6" fillId="0" borderId="4" xfId="61" applyNumberFormat="1" applyFont="1" applyFill="1" applyBorder="1" applyAlignment="1" applyProtection="1">
      <alignment horizontal="centerContinuous" vertical="center"/>
    </xf>
    <xf numFmtId="4" fontId="6" fillId="0" borderId="6" xfId="61" applyNumberFormat="1" applyFont="1" applyFill="1" applyBorder="1" applyAlignment="1" applyProtection="1">
      <alignment horizontal="centerContinuous" vertical="center"/>
    </xf>
    <xf numFmtId="4" fontId="6" fillId="0" borderId="1" xfId="61" applyNumberFormat="1" applyFont="1" applyFill="1" applyBorder="1" applyAlignment="1" applyProtection="1">
      <alignment horizontal="center" vertical="center"/>
    </xf>
    <xf numFmtId="4" fontId="6" fillId="0" borderId="1" xfId="61" applyNumberFormat="1" applyFont="1" applyFill="1" applyBorder="1" applyAlignment="1">
      <alignment vertical="center"/>
    </xf>
    <xf numFmtId="0" fontId="6" fillId="0" borderId="1" xfId="61" applyFont="1" applyFill="1" applyBorder="1" applyAlignment="1">
      <alignment vertical="center"/>
    </xf>
    <xf numFmtId="4" fontId="6" fillId="0" borderId="6" xfId="0" applyNumberFormat="1" applyFont="1" applyFill="1" applyBorder="1" applyAlignment="1">
      <alignment horizontal="center" vertical="center"/>
    </xf>
    <xf numFmtId="4" fontId="6" fillId="0" borderId="2" xfId="61" applyNumberFormat="1" applyFont="1" applyFill="1" applyBorder="1" applyAlignment="1">
      <alignment vertical="center"/>
    </xf>
    <xf numFmtId="4" fontId="6" fillId="0" borderId="7" xfId="61" applyNumberFormat="1" applyFont="1" applyFill="1" applyBorder="1" applyAlignment="1">
      <alignment horizontal="center" vertical="center"/>
    </xf>
    <xf numFmtId="4" fontId="6" fillId="0" borderId="8" xfId="61" applyNumberFormat="1" applyFont="1" applyFill="1" applyBorder="1" applyAlignment="1">
      <alignment horizontal="center" vertical="center"/>
    </xf>
    <xf numFmtId="4" fontId="6" fillId="0" borderId="9" xfId="61" applyNumberFormat="1" applyFont="1" applyFill="1" applyBorder="1" applyAlignment="1" applyProtection="1">
      <alignment horizontal="center" vertical="center"/>
    </xf>
    <xf numFmtId="4" fontId="6" fillId="0" borderId="0" xfId="61" applyNumberFormat="1" applyFont="1" applyFill="1" applyBorder="1" applyAlignment="1" applyProtection="1">
      <alignment horizontal="centerContinuous" vertical="center"/>
    </xf>
    <xf numFmtId="4" fontId="6" fillId="0" borderId="10" xfId="61" applyNumberFormat="1" applyFont="1" applyFill="1" applyBorder="1" applyAlignment="1" applyProtection="1">
      <alignment horizontal="centerContinuous" vertical="center"/>
    </xf>
    <xf numFmtId="4" fontId="6" fillId="0" borderId="2" xfId="61" applyNumberFormat="1" applyFont="1" applyFill="1" applyBorder="1" applyAlignment="1" applyProtection="1">
      <alignment horizontal="center" vertical="center"/>
    </xf>
    <xf numFmtId="4" fontId="6" fillId="0" borderId="0" xfId="61" applyNumberFormat="1" applyFont="1" applyFill="1" applyBorder="1" applyAlignment="1">
      <alignment horizontal="center" vertical="center"/>
    </xf>
    <xf numFmtId="4" fontId="6" fillId="0" borderId="2" xfId="61" applyNumberFormat="1" applyFont="1" applyFill="1" applyBorder="1" applyAlignment="1">
      <alignment horizontal="center" vertical="center"/>
    </xf>
    <xf numFmtId="0" fontId="6" fillId="0" borderId="2" xfId="61" quotePrefix="1" applyFont="1" applyFill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4" fontId="6" fillId="0" borderId="8" xfId="0" applyNumberFormat="1" applyFont="1" applyFill="1" applyBorder="1" applyAlignment="1">
      <alignment horizontal="center" vertical="center"/>
    </xf>
    <xf numFmtId="4" fontId="6" fillId="0" borderId="9" xfId="0" applyNumberFormat="1" applyFont="1" applyFill="1" applyBorder="1" applyAlignment="1" applyProtection="1">
      <alignment horizontal="center" vertical="center"/>
    </xf>
    <xf numFmtId="4" fontId="6" fillId="0" borderId="1" xfId="61" applyNumberFormat="1" applyFont="1" applyFill="1" applyBorder="1" applyAlignment="1">
      <alignment horizontal="center" vertical="center"/>
    </xf>
    <xf numFmtId="4" fontId="6" fillId="0" borderId="2" xfId="61" quotePrefix="1" applyNumberFormat="1" applyFont="1" applyFill="1" applyBorder="1" applyAlignment="1" applyProtection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 applyProtection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 applyProtection="1">
      <alignment horizontal="center" vertical="center"/>
    </xf>
    <xf numFmtId="4" fontId="6" fillId="0" borderId="2" xfId="61" applyNumberFormat="1" applyFont="1" applyFill="1" applyBorder="1" applyAlignment="1" applyProtection="1">
      <alignment vertical="center"/>
    </xf>
    <xf numFmtId="4" fontId="6" fillId="0" borderId="13" xfId="61" applyNumberFormat="1" applyFont="1" applyFill="1" applyBorder="1" applyAlignment="1">
      <alignment vertical="center"/>
    </xf>
    <xf numFmtId="0" fontId="6" fillId="0" borderId="13" xfId="61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vertical="center"/>
    </xf>
    <xf numFmtId="4" fontId="6" fillId="0" borderId="2" xfId="0" applyNumberFormat="1" applyFont="1" applyFill="1" applyBorder="1" applyAlignment="1" applyProtection="1">
      <alignment vertical="center"/>
    </xf>
    <xf numFmtId="4" fontId="6" fillId="0" borderId="3" xfId="61" applyNumberFormat="1" applyFont="1" applyFill="1" applyBorder="1" applyAlignment="1">
      <alignment horizontal="center" vertical="center"/>
    </xf>
    <xf numFmtId="4" fontId="6" fillId="0" borderId="3" xfId="61" applyNumberFormat="1" applyFont="1" applyFill="1" applyBorder="1" applyAlignment="1" applyProtection="1">
      <alignment horizontal="center" vertical="center"/>
    </xf>
    <xf numFmtId="4" fontId="6" fillId="0" borderId="3" xfId="61" quotePrefix="1" applyNumberFormat="1" applyFont="1" applyFill="1" applyBorder="1" applyAlignment="1">
      <alignment horizontal="center" vertical="center"/>
    </xf>
    <xf numFmtId="0" fontId="6" fillId="0" borderId="3" xfId="61" quotePrefix="1" applyFont="1" applyFill="1" applyBorder="1" applyAlignment="1">
      <alignment horizontal="center" vertical="center"/>
    </xf>
    <xf numFmtId="4" fontId="7" fillId="0" borderId="0" xfId="61" applyNumberFormat="1" applyFont="1" applyFill="1" applyBorder="1" applyAlignment="1">
      <alignment horizontal="center" vertical="center"/>
    </xf>
    <xf numFmtId="4" fontId="7" fillId="0" borderId="3" xfId="61" applyNumberFormat="1" applyFont="1" applyFill="1" applyBorder="1" applyAlignment="1" applyProtection="1">
      <alignment horizontal="center" vertical="center"/>
    </xf>
    <xf numFmtId="164" fontId="7" fillId="0" borderId="3" xfId="61" applyNumberFormat="1" applyFont="1" applyFill="1" applyBorder="1" applyAlignment="1" applyProtection="1">
      <alignment horizontal="center" vertical="center"/>
    </xf>
    <xf numFmtId="4" fontId="3" fillId="0" borderId="0" xfId="61" applyNumberFormat="1" applyFont="1" applyFill="1" applyAlignment="1" applyProtection="1">
      <alignment vertical="center"/>
    </xf>
    <xf numFmtId="0" fontId="55" fillId="0" borderId="0" xfId="0" applyFont="1" applyFill="1"/>
    <xf numFmtId="4" fontId="4" fillId="0" borderId="0" xfId="0" applyNumberFormat="1" applyFont="1" applyFill="1" applyBorder="1" applyAlignment="1" applyProtection="1">
      <alignment horizontal="left"/>
    </xf>
    <xf numFmtId="4" fontId="5" fillId="0" borderId="0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/>
    <xf numFmtId="4" fontId="6" fillId="0" borderId="1" xfId="0" applyNumberFormat="1" applyFont="1" applyFill="1" applyBorder="1" applyAlignment="1">
      <alignment horizontal="center" vertical="center" wrapText="1"/>
    </xf>
    <xf numFmtId="4" fontId="6" fillId="0" borderId="4" xfId="0" applyNumberFormat="1" applyFont="1" applyFill="1" applyBorder="1" applyAlignment="1">
      <alignment horizontal="centerContinuous"/>
    </xf>
    <xf numFmtId="4" fontId="6" fillId="0" borderId="5" xfId="0" applyNumberFormat="1" applyFont="1" applyFill="1" applyBorder="1" applyAlignment="1">
      <alignment horizontal="centerContinuous"/>
    </xf>
    <xf numFmtId="4" fontId="6" fillId="0" borderId="6" xfId="0" applyNumberFormat="1" applyFont="1" applyFill="1" applyBorder="1" applyAlignment="1">
      <alignment horizontal="centerContinuous"/>
    </xf>
    <xf numFmtId="4" fontId="6" fillId="0" borderId="4" xfId="0" applyNumberFormat="1" applyFont="1" applyFill="1" applyBorder="1" applyAlignment="1" applyProtection="1">
      <alignment horizontal="centerContinuous"/>
    </xf>
    <xf numFmtId="4" fontId="6" fillId="0" borderId="6" xfId="0" applyNumberFormat="1" applyFont="1" applyFill="1" applyBorder="1" applyAlignment="1" applyProtection="1">
      <alignment horizontal="centerContinuous"/>
    </xf>
    <xf numFmtId="4" fontId="6" fillId="0" borderId="1" xfId="0" applyNumberFormat="1" applyFont="1" applyFill="1" applyBorder="1"/>
    <xf numFmtId="0" fontId="6" fillId="0" borderId="1" xfId="0" applyFont="1" applyFill="1" applyBorder="1"/>
    <xf numFmtId="4" fontId="6" fillId="0" borderId="0" xfId="0" applyNumberFormat="1" applyFont="1" applyFill="1" applyBorder="1" applyAlignment="1" applyProtection="1">
      <alignment horizontal="centerContinuous"/>
    </xf>
    <xf numFmtId="4" fontId="6" fillId="0" borderId="10" xfId="0" applyNumberFormat="1" applyFont="1" applyFill="1" applyBorder="1" applyAlignment="1" applyProtection="1">
      <alignment horizontal="centerContinuous"/>
    </xf>
    <xf numFmtId="4" fontId="6" fillId="0" borderId="0" xfId="0" applyNumberFormat="1" applyFont="1" applyFill="1" applyBorder="1" applyAlignment="1">
      <alignment horizontal="center"/>
    </xf>
    <xf numFmtId="0" fontId="6" fillId="0" borderId="2" xfId="0" quotePrefix="1" applyFont="1" applyFill="1" applyBorder="1" applyAlignment="1">
      <alignment horizontal="center"/>
    </xf>
    <xf numFmtId="4" fontId="6" fillId="0" borderId="2" xfId="0" quotePrefix="1" applyNumberFormat="1" applyFont="1" applyFill="1" applyBorder="1" applyAlignment="1" applyProtection="1">
      <alignment horizontal="center"/>
    </xf>
    <xf numFmtId="4" fontId="6" fillId="0" borderId="13" xfId="0" applyNumberFormat="1" applyFont="1" applyFill="1" applyBorder="1"/>
    <xf numFmtId="0" fontId="6" fillId="0" borderId="13" xfId="0" applyFont="1" applyFill="1" applyBorder="1" applyAlignment="1">
      <alignment horizontal="center"/>
    </xf>
    <xf numFmtId="4" fontId="6" fillId="0" borderId="3" xfId="0" applyNumberFormat="1" applyFont="1" applyFill="1" applyBorder="1" applyAlignment="1">
      <alignment horizontal="center"/>
    </xf>
    <xf numFmtId="4" fontId="6" fillId="0" borderId="3" xfId="0" applyNumberFormat="1" applyFont="1" applyFill="1" applyBorder="1" applyAlignment="1" applyProtection="1">
      <alignment horizontal="center"/>
    </xf>
    <xf numFmtId="4" fontId="6" fillId="0" borderId="3" xfId="0" quotePrefix="1" applyNumberFormat="1" applyFont="1" applyFill="1" applyBorder="1" applyAlignment="1">
      <alignment horizontal="center"/>
    </xf>
    <xf numFmtId="4" fontId="7" fillId="0" borderId="2" xfId="0" applyNumberFormat="1" applyFont="1" applyFill="1" applyBorder="1" applyAlignment="1">
      <alignment horizontal="center"/>
    </xf>
    <xf numFmtId="4" fontId="7" fillId="0" borderId="2" xfId="0" quotePrefix="1" applyNumberFormat="1" applyFont="1" applyFill="1" applyBorder="1" applyAlignment="1">
      <alignment horizontal="center"/>
    </xf>
    <xf numFmtId="4" fontId="7" fillId="0" borderId="2" xfId="0" applyNumberFormat="1" applyFont="1" applyFill="1" applyBorder="1" applyProtection="1"/>
    <xf numFmtId="4" fontId="7" fillId="0" borderId="2" xfId="0" applyNumberFormat="1" applyFont="1" applyFill="1" applyBorder="1" applyAlignment="1" applyProtection="1"/>
    <xf numFmtId="4" fontId="7" fillId="0" borderId="2" xfId="0" quotePrefix="1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4" fontId="3" fillId="0" borderId="0" xfId="0" applyNumberFormat="1" applyFont="1" applyFill="1" applyProtection="1"/>
    <xf numFmtId="0" fontId="77" fillId="0" borderId="0" xfId="0" applyFont="1" applyFill="1" applyAlignment="1">
      <alignment vertical="center"/>
    </xf>
    <xf numFmtId="3" fontId="7" fillId="0" borderId="2" xfId="38" applyNumberFormat="1" applyFont="1" applyFill="1" applyBorder="1" applyAlignment="1" applyProtection="1">
      <alignment horizontal="center" vertical="center"/>
    </xf>
    <xf numFmtId="4" fontId="7" fillId="0" borderId="13" xfId="38" applyNumberFormat="1" applyFont="1" applyFill="1" applyBorder="1" applyAlignment="1" applyProtection="1">
      <alignment horizontal="center" vertical="center" wrapText="1"/>
    </xf>
    <xf numFmtId="4" fontId="7" fillId="0" borderId="13" xfId="38" applyNumberFormat="1" applyFont="1" applyFill="1" applyBorder="1" applyAlignment="1" applyProtection="1">
      <alignment horizontal="center" vertical="center"/>
    </xf>
    <xf numFmtId="0" fontId="16" fillId="0" borderId="14" xfId="38" applyFont="1" applyFill="1" applyBorder="1" applyAlignment="1">
      <alignment horizontal="center" vertical="center"/>
    </xf>
    <xf numFmtId="0" fontId="16" fillId="0" borderId="2" xfId="38" applyFont="1" applyFill="1" applyBorder="1" applyAlignment="1">
      <alignment horizontal="center" vertical="center"/>
    </xf>
    <xf numFmtId="4" fontId="4" fillId="0" borderId="0" xfId="76" applyNumberFormat="1" applyFont="1" applyFill="1" applyAlignment="1">
      <alignment vertical="center"/>
    </xf>
    <xf numFmtId="2" fontId="4" fillId="0" borderId="0" xfId="76" applyNumberFormat="1" applyFont="1" applyFill="1" applyAlignment="1">
      <alignment vertical="center"/>
    </xf>
    <xf numFmtId="4" fontId="4" fillId="0" borderId="0" xfId="76" applyNumberFormat="1" applyFont="1" applyFill="1" applyAlignment="1" applyProtection="1">
      <alignment vertical="center"/>
    </xf>
    <xf numFmtId="0" fontId="0" fillId="0" borderId="10" xfId="0" applyFill="1" applyBorder="1" applyAlignment="1">
      <alignment horizontal="center" vertical="center" wrapText="1"/>
    </xf>
    <xf numFmtId="4" fontId="20" fillId="0" borderId="1" xfId="38" applyNumberFormat="1" applyFont="1" applyFill="1" applyBorder="1" applyAlignment="1">
      <alignment horizontal="center"/>
    </xf>
    <xf numFmtId="4" fontId="20" fillId="0" borderId="1" xfId="38" applyNumberFormat="1" applyFont="1" applyFill="1" applyBorder="1" applyAlignment="1" applyProtection="1">
      <alignment horizontal="center"/>
    </xf>
    <xf numFmtId="4" fontId="15" fillId="0" borderId="2" xfId="38" applyNumberFormat="1" applyFont="1" applyFill="1" applyBorder="1" applyAlignment="1">
      <alignment horizontal="center"/>
    </xf>
    <xf numFmtId="0" fontId="15" fillId="0" borderId="2" xfId="38" applyNumberFormat="1" applyFont="1" applyFill="1" applyBorder="1" applyAlignment="1" applyProtection="1">
      <alignment horizontal="center"/>
    </xf>
    <xf numFmtId="4" fontId="15" fillId="0" borderId="2" xfId="38" applyNumberFormat="1" applyFont="1" applyFill="1" applyBorder="1" applyAlignment="1" applyProtection="1">
      <alignment horizontal="center"/>
    </xf>
    <xf numFmtId="4" fontId="20" fillId="0" borderId="2" xfId="38" applyNumberFormat="1" applyFont="1" applyFill="1" applyBorder="1" applyAlignment="1">
      <alignment horizontal="center"/>
    </xf>
    <xf numFmtId="4" fontId="22" fillId="0" borderId="2" xfId="38" applyNumberFormat="1" applyFont="1" applyFill="1" applyBorder="1" applyAlignment="1" applyProtection="1">
      <alignment horizontal="center" vertical="center"/>
    </xf>
    <xf numFmtId="0" fontId="16" fillId="0" borderId="0" xfId="38" applyFont="1" applyFill="1"/>
    <xf numFmtId="0" fontId="16" fillId="0" borderId="14" xfId="38" applyFont="1" applyFill="1" applyBorder="1"/>
    <xf numFmtId="0" fontId="16" fillId="0" borderId="2" xfId="38" applyFont="1" applyFill="1" applyBorder="1"/>
    <xf numFmtId="4" fontId="15" fillId="0" borderId="2" xfId="38" applyNumberFormat="1" applyFont="1" applyFill="1" applyBorder="1" applyAlignment="1" applyProtection="1">
      <alignment horizontal="center" vertical="top" wrapText="1"/>
    </xf>
    <xf numFmtId="4" fontId="15" fillId="0" borderId="2" xfId="38" applyNumberFormat="1" applyFont="1" applyFill="1" applyBorder="1" applyAlignment="1" applyProtection="1">
      <alignment horizontal="right" vertical="top" wrapText="1"/>
    </xf>
    <xf numFmtId="0" fontId="15" fillId="0" borderId="2" xfId="38" applyNumberFormat="1" applyFont="1" applyFill="1" applyBorder="1" applyProtection="1"/>
    <xf numFmtId="0" fontId="15" fillId="0" borderId="2" xfId="38" applyNumberFormat="1" applyFont="1" applyFill="1" applyBorder="1" applyAlignment="1" applyProtection="1">
      <alignment horizontal="right"/>
    </xf>
    <xf numFmtId="4" fontId="64" fillId="0" borderId="0" xfId="0" applyNumberFormat="1" applyFont="1" applyFill="1"/>
    <xf numFmtId="0" fontId="64" fillId="0" borderId="0" xfId="0" applyFont="1" applyFill="1"/>
    <xf numFmtId="4" fontId="4" fillId="0" borderId="0" xfId="40" applyNumberFormat="1" applyFont="1" applyFill="1" applyProtection="1"/>
    <xf numFmtId="4" fontId="4" fillId="0" borderId="0" xfId="40" applyNumberFormat="1" applyFont="1" applyFill="1"/>
    <xf numFmtId="0" fontId="6" fillId="0" borderId="0" xfId="38" applyFont="1" applyFill="1"/>
    <xf numFmtId="0" fontId="68" fillId="0" borderId="0" xfId="38" applyFont="1" applyFill="1"/>
    <xf numFmtId="4" fontId="7" fillId="0" borderId="2" xfId="38" applyNumberFormat="1" applyFont="1" applyFill="1" applyBorder="1" applyAlignment="1" applyProtection="1">
      <alignment vertical="center"/>
    </xf>
    <xf numFmtId="0" fontId="16" fillId="0" borderId="2" xfId="38" applyFont="1" applyFill="1" applyBorder="1" applyAlignment="1">
      <alignment vertical="center"/>
    </xf>
    <xf numFmtId="0" fontId="16" fillId="0" borderId="0" xfId="38" applyFont="1" applyFill="1" applyAlignment="1">
      <alignment vertical="center"/>
    </xf>
    <xf numFmtId="4" fontId="5" fillId="0" borderId="2" xfId="38" applyNumberFormat="1" applyFont="1" applyFill="1" applyBorder="1" applyAlignment="1" applyProtection="1">
      <alignment horizontal="center" vertical="top" wrapText="1"/>
    </xf>
    <xf numFmtId="4" fontId="5" fillId="0" borderId="2" xfId="38" applyNumberFormat="1" applyFont="1" applyFill="1" applyBorder="1" applyAlignment="1" applyProtection="1">
      <alignment horizontal="center" vertical="center" wrapText="1"/>
    </xf>
    <xf numFmtId="0" fontId="5" fillId="0" borderId="2" xfId="38" applyNumberFormat="1" applyFont="1" applyFill="1" applyBorder="1" applyAlignment="1" applyProtection="1">
      <alignment horizontal="center" vertical="center"/>
    </xf>
    <xf numFmtId="4" fontId="5" fillId="0" borderId="2" xfId="38" applyNumberFormat="1" applyFont="1" applyFill="1" applyBorder="1" applyAlignment="1" applyProtection="1">
      <alignment horizontal="right" vertical="top" wrapText="1"/>
    </xf>
    <xf numFmtId="0" fontId="5" fillId="0" borderId="2" xfId="38" applyNumberFormat="1" applyFont="1" applyFill="1" applyBorder="1" applyAlignment="1" applyProtection="1">
      <alignment vertical="center"/>
    </xf>
    <xf numFmtId="4" fontId="5" fillId="0" borderId="2" xfId="38" applyNumberFormat="1" applyFont="1" applyFill="1" applyBorder="1" applyAlignment="1" applyProtection="1">
      <alignment horizontal="right" vertical="center" wrapText="1"/>
    </xf>
    <xf numFmtId="0" fontId="5" fillId="0" borderId="2" xfId="38" applyNumberFormat="1" applyFont="1" applyFill="1" applyBorder="1" applyAlignment="1" applyProtection="1">
      <alignment horizontal="right" vertical="center"/>
    </xf>
    <xf numFmtId="4" fontId="7" fillId="0" borderId="13" xfId="38" applyNumberFormat="1" applyFont="1" applyFill="1" applyBorder="1" applyAlignment="1" applyProtection="1">
      <alignment vertical="center"/>
    </xf>
    <xf numFmtId="4" fontId="7" fillId="0" borderId="13" xfId="38" applyNumberFormat="1" applyFont="1" applyFill="1" applyBorder="1" applyAlignment="1" applyProtection="1">
      <alignment horizontal="right" vertical="center" wrapText="1"/>
    </xf>
    <xf numFmtId="0" fontId="18" fillId="0" borderId="0" xfId="38" applyFont="1" applyFill="1"/>
    <xf numFmtId="0" fontId="2" fillId="0" borderId="0" xfId="38" applyFont="1" applyFill="1"/>
    <xf numFmtId="4" fontId="7" fillId="10" borderId="2" xfId="32" applyNumberFormat="1" applyFont="1" applyFill="1" applyBorder="1" applyAlignment="1" applyProtection="1">
      <alignment horizontal="center" vertical="center"/>
    </xf>
    <xf numFmtId="4" fontId="7" fillId="10" borderId="2" xfId="65" applyNumberFormat="1" applyFont="1" applyFill="1" applyBorder="1" applyAlignment="1" applyProtection="1">
      <alignment horizontal="center" vertical="center" wrapText="1"/>
    </xf>
    <xf numFmtId="4" fontId="7" fillId="10" borderId="2" xfId="65" applyNumberFormat="1" applyFont="1" applyFill="1" applyBorder="1" applyAlignment="1" applyProtection="1">
      <alignment horizontal="center" vertical="center"/>
    </xf>
    <xf numFmtId="4" fontId="20" fillId="10" borderId="2" xfId="32" applyNumberFormat="1" applyFont="1" applyFill="1" applyBorder="1" applyAlignment="1" applyProtection="1">
      <alignment horizontal="center"/>
    </xf>
    <xf numFmtId="4" fontId="7" fillId="10" borderId="2" xfId="32" applyNumberFormat="1" applyFont="1" applyFill="1" applyBorder="1" applyAlignment="1" applyProtection="1">
      <alignment horizontal="center" vertical="top" wrapText="1"/>
    </xf>
    <xf numFmtId="4" fontId="7" fillId="11" borderId="2" xfId="38" applyNumberFormat="1" applyFont="1" applyFill="1" applyBorder="1" applyAlignment="1" applyProtection="1">
      <alignment horizontal="center" vertical="center"/>
    </xf>
    <xf numFmtId="4" fontId="7" fillId="12" borderId="2" xfId="32" applyNumberFormat="1" applyFont="1" applyFill="1" applyBorder="1" applyAlignment="1" applyProtection="1">
      <alignment horizontal="center" vertical="center" wrapText="1"/>
    </xf>
    <xf numFmtId="4" fontId="4" fillId="0" borderId="0" xfId="0" applyNumberFormat="1" applyFont="1"/>
    <xf numFmtId="4" fontId="4" fillId="0" borderId="0" xfId="71" applyNumberFormat="1" applyFont="1" applyProtection="1"/>
    <xf numFmtId="4" fontId="4" fillId="0" borderId="0" xfId="71" applyNumberFormat="1" applyFont="1"/>
    <xf numFmtId="1" fontId="15" fillId="0" borderId="0" xfId="33" applyNumberFormat="1" applyFont="1" applyFill="1" applyBorder="1" applyAlignment="1" applyProtection="1">
      <alignment horizontal="center"/>
    </xf>
    <xf numFmtId="4" fontId="7" fillId="0" borderId="2" xfId="32" applyNumberFormat="1" applyFont="1" applyFill="1" applyBorder="1" applyAlignment="1" applyProtection="1">
      <alignment horizontal="center" vertical="top"/>
    </xf>
    <xf numFmtId="2" fontId="7" fillId="0" borderId="10" xfId="32" applyNumberFormat="1" applyFont="1" applyFill="1" applyBorder="1" applyAlignment="1" applyProtection="1">
      <alignment horizontal="center" vertical="top"/>
    </xf>
    <xf numFmtId="4" fontId="20" fillId="0" borderId="2" xfId="32" applyNumberFormat="1" applyFont="1" applyFill="1" applyBorder="1" applyAlignment="1" applyProtection="1">
      <alignment horizontal="center" vertical="top"/>
    </xf>
    <xf numFmtId="4" fontId="20" fillId="10" borderId="2" xfId="32" applyNumberFormat="1" applyFont="1" applyFill="1" applyBorder="1" applyAlignment="1" applyProtection="1">
      <alignment horizontal="center" vertical="top"/>
    </xf>
    <xf numFmtId="4" fontId="20" fillId="0" borderId="2" xfId="32" applyNumberFormat="1" applyFont="1" applyFill="1" applyBorder="1" applyAlignment="1">
      <alignment horizontal="center" vertical="top"/>
    </xf>
    <xf numFmtId="4" fontId="20" fillId="0" borderId="2" xfId="32" quotePrefix="1" applyNumberFormat="1" applyFont="1" applyFill="1" applyBorder="1" applyAlignment="1">
      <alignment horizontal="center" vertical="top"/>
    </xf>
    <xf numFmtId="1" fontId="20" fillId="0" borderId="2" xfId="32" applyNumberFormat="1" applyFont="1" applyFill="1" applyBorder="1" applyAlignment="1">
      <alignment horizontal="center" vertical="top"/>
    </xf>
    <xf numFmtId="0" fontId="20" fillId="0" borderId="2" xfId="32" quotePrefix="1" applyFont="1" applyFill="1" applyBorder="1" applyAlignment="1">
      <alignment horizontal="center" vertical="top"/>
    </xf>
    <xf numFmtId="0" fontId="18" fillId="0" borderId="0" xfId="32" applyFont="1" applyFill="1" applyAlignment="1">
      <alignment vertical="top"/>
    </xf>
    <xf numFmtId="0" fontId="2" fillId="0" borderId="0" xfId="32" applyFont="1" applyFill="1" applyAlignment="1">
      <alignment vertical="top"/>
    </xf>
    <xf numFmtId="178" fontId="20" fillId="0" borderId="2" xfId="78" applyNumberFormat="1" applyFont="1" applyFill="1" applyBorder="1" applyAlignment="1" applyProtection="1">
      <alignment horizontal="center"/>
    </xf>
    <xf numFmtId="4" fontId="43" fillId="0" borderId="2" xfId="32" applyNumberFormat="1" applyFont="1" applyFill="1" applyBorder="1" applyAlignment="1" applyProtection="1">
      <alignment horizontal="center"/>
    </xf>
    <xf numFmtId="4" fontId="7" fillId="10" borderId="2" xfId="32" applyNumberFormat="1" applyFont="1" applyFill="1" applyBorder="1" applyAlignment="1" applyProtection="1">
      <alignment horizontal="center" vertical="center" wrapText="1"/>
    </xf>
    <xf numFmtId="4" fontId="7" fillId="10" borderId="2" xfId="37" applyNumberFormat="1" applyFont="1" applyFill="1" applyBorder="1" applyAlignment="1" applyProtection="1">
      <alignment horizontal="center" vertical="center" wrapText="1"/>
    </xf>
    <xf numFmtId="0" fontId="7" fillId="13" borderId="2" xfId="38" applyNumberFormat="1" applyFont="1" applyFill="1" applyBorder="1" applyAlignment="1" applyProtection="1">
      <alignment horizontal="center" vertical="center"/>
    </xf>
    <xf numFmtId="4" fontId="7" fillId="13" borderId="2" xfId="38" applyNumberFormat="1" applyFont="1" applyFill="1" applyBorder="1" applyAlignment="1" applyProtection="1">
      <alignment horizontal="center" vertical="center"/>
    </xf>
    <xf numFmtId="4" fontId="7" fillId="13" borderId="2" xfId="32" applyNumberFormat="1" applyFont="1" applyFill="1" applyBorder="1" applyAlignment="1" applyProtection="1">
      <alignment horizontal="center" vertical="center" wrapText="1"/>
    </xf>
    <xf numFmtId="4" fontId="7" fillId="13" borderId="2" xfId="32" applyNumberFormat="1" applyFont="1" applyFill="1" applyBorder="1" applyAlignment="1" applyProtection="1">
      <alignment horizontal="center" vertical="center"/>
    </xf>
    <xf numFmtId="173" fontId="7" fillId="13" borderId="2" xfId="32" applyNumberFormat="1" applyFont="1" applyFill="1" applyBorder="1" applyAlignment="1" applyProtection="1">
      <alignment horizontal="center" vertical="center" wrapText="1"/>
    </xf>
    <xf numFmtId="3" fontId="7" fillId="13" borderId="2" xfId="32" applyNumberFormat="1" applyFont="1" applyFill="1" applyBorder="1" applyAlignment="1" applyProtection="1">
      <alignment horizontal="center" vertical="center"/>
    </xf>
    <xf numFmtId="0" fontId="0" fillId="13" borderId="10" xfId="0" applyFill="1" applyBorder="1" applyAlignment="1">
      <alignment horizontal="center" vertical="center" wrapText="1"/>
    </xf>
    <xf numFmtId="4" fontId="7" fillId="13" borderId="2" xfId="32" applyNumberFormat="1" applyFont="1" applyFill="1" applyBorder="1" applyAlignment="1" applyProtection="1">
      <alignment vertical="center"/>
    </xf>
    <xf numFmtId="4" fontId="7" fillId="13" borderId="2" xfId="32" applyNumberFormat="1" applyFont="1" applyFill="1" applyBorder="1" applyAlignment="1">
      <alignment horizontal="center" vertical="center"/>
    </xf>
    <xf numFmtId="0" fontId="7" fillId="13" borderId="2" xfId="32" applyNumberFormat="1" applyFont="1" applyFill="1" applyBorder="1" applyAlignment="1" applyProtection="1">
      <alignment vertical="center"/>
    </xf>
    <xf numFmtId="0" fontId="7" fillId="13" borderId="2" xfId="32" applyNumberFormat="1" applyFont="1" applyFill="1" applyBorder="1" applyAlignment="1" applyProtection="1">
      <alignment horizontal="center" vertical="center"/>
    </xf>
    <xf numFmtId="4" fontId="7" fillId="13" borderId="2" xfId="38" applyNumberFormat="1" applyFont="1" applyFill="1" applyBorder="1" applyAlignment="1" applyProtection="1">
      <alignment horizontal="center"/>
    </xf>
    <xf numFmtId="0" fontId="16" fillId="13" borderId="10" xfId="0" applyFont="1" applyFill="1" applyBorder="1" applyAlignment="1">
      <alignment horizontal="center" vertical="center" wrapText="1"/>
    </xf>
    <xf numFmtId="4" fontId="7" fillId="13" borderId="2" xfId="38" applyNumberFormat="1" applyFont="1" applyFill="1" applyBorder="1" applyAlignment="1">
      <alignment horizontal="center" vertical="center"/>
    </xf>
    <xf numFmtId="4" fontId="7" fillId="13" borderId="2" xfId="65" applyNumberFormat="1" applyFont="1" applyFill="1" applyBorder="1" applyAlignment="1" applyProtection="1">
      <alignment horizontal="center" vertical="center"/>
    </xf>
    <xf numFmtId="4" fontId="7" fillId="13" borderId="2" xfId="65" applyNumberFormat="1" applyFont="1" applyFill="1" applyBorder="1" applyAlignment="1">
      <alignment horizontal="center" vertical="center"/>
    </xf>
    <xf numFmtId="4" fontId="7" fillId="13" borderId="2" xfId="65" applyNumberFormat="1" applyFont="1" applyFill="1" applyBorder="1" applyAlignment="1" applyProtection="1">
      <alignment horizontal="center" vertical="center" wrapText="1"/>
    </xf>
    <xf numFmtId="4" fontId="7" fillId="13" borderId="10" xfId="65" applyNumberFormat="1" applyFont="1" applyFill="1" applyBorder="1" applyAlignment="1" applyProtection="1">
      <alignment horizontal="center" vertical="center" wrapText="1"/>
    </xf>
    <xf numFmtId="3" fontId="7" fillId="13" borderId="2" xfId="65" applyNumberFormat="1" applyFont="1" applyFill="1" applyBorder="1" applyAlignment="1" applyProtection="1">
      <alignment horizontal="center" vertical="center"/>
    </xf>
    <xf numFmtId="4" fontId="7" fillId="13" borderId="2" xfId="37" applyNumberFormat="1" applyFont="1" applyFill="1" applyBorder="1" applyAlignment="1" applyProtection="1">
      <alignment horizontal="center" vertical="center"/>
    </xf>
    <xf numFmtId="0" fontId="7" fillId="13" borderId="2" xfId="42" applyNumberFormat="1" applyFont="1" applyFill="1" applyBorder="1" applyAlignment="1" applyProtection="1">
      <alignment horizontal="center" vertical="center"/>
    </xf>
    <xf numFmtId="4" fontId="7" fillId="13" borderId="2" xfId="42" applyNumberFormat="1" applyFont="1" applyFill="1" applyBorder="1" applyAlignment="1" applyProtection="1">
      <alignment horizontal="center" vertical="center"/>
    </xf>
    <xf numFmtId="4" fontId="7" fillId="13" borderId="2" xfId="42" applyNumberFormat="1" applyFont="1" applyFill="1" applyBorder="1" applyAlignment="1">
      <alignment horizontal="center" vertical="center"/>
    </xf>
    <xf numFmtId="4" fontId="7" fillId="13" borderId="2" xfId="38" applyNumberFormat="1" applyFont="1" applyFill="1" applyBorder="1" applyAlignment="1">
      <alignment horizontal="right" vertical="center"/>
    </xf>
    <xf numFmtId="4" fontId="7" fillId="13" borderId="2" xfId="38" applyNumberFormat="1" applyFont="1" applyFill="1" applyBorder="1" applyAlignment="1" applyProtection="1">
      <alignment horizontal="center" vertical="center" wrapText="1"/>
    </xf>
    <xf numFmtId="4" fontId="7" fillId="14" borderId="2" xfId="65" applyNumberFormat="1" applyFont="1" applyFill="1" applyBorder="1" applyAlignment="1" applyProtection="1">
      <alignment horizontal="center" vertical="center" wrapText="1"/>
    </xf>
    <xf numFmtId="167" fontId="7" fillId="14" borderId="2" xfId="37" applyNumberFormat="1" applyFont="1" applyFill="1" applyBorder="1" applyAlignment="1" applyProtection="1">
      <alignment horizontal="center" vertical="center"/>
    </xf>
    <xf numFmtId="164" fontId="7" fillId="14" borderId="2" xfId="37" applyNumberFormat="1" applyFont="1" applyFill="1" applyBorder="1" applyAlignment="1" applyProtection="1">
      <alignment horizontal="center" vertical="center"/>
    </xf>
    <xf numFmtId="4" fontId="7" fillId="14" borderId="2" xfId="37" applyNumberFormat="1" applyFont="1" applyFill="1" applyBorder="1" applyAlignment="1" applyProtection="1">
      <alignment horizontal="center" vertical="center" wrapText="1"/>
    </xf>
    <xf numFmtId="4" fontId="7" fillId="14" borderId="2" xfId="36" applyNumberFormat="1" applyFont="1" applyFill="1" applyBorder="1" applyProtection="1"/>
    <xf numFmtId="4" fontId="7" fillId="11" borderId="2" xfId="65" applyNumberFormat="1" applyFont="1" applyFill="1" applyBorder="1" applyAlignment="1" applyProtection="1">
      <alignment horizontal="center" vertical="center" wrapText="1"/>
    </xf>
    <xf numFmtId="4" fontId="7" fillId="11" borderId="2" xfId="32" applyNumberFormat="1" applyFont="1" applyFill="1" applyBorder="1" applyAlignment="1" applyProtection="1">
      <alignment horizontal="center" vertical="top" wrapText="1"/>
    </xf>
    <xf numFmtId="4" fontId="7" fillId="11" borderId="2" xfId="32" applyNumberFormat="1" applyFont="1" applyFill="1" applyBorder="1" applyProtection="1"/>
    <xf numFmtId="4" fontId="7" fillId="11" borderId="2" xfId="74" applyNumberFormat="1" applyFont="1" applyFill="1" applyBorder="1" applyAlignment="1" applyProtection="1">
      <alignment horizontal="center" vertical="center" wrapText="1"/>
    </xf>
    <xf numFmtId="4" fontId="7" fillId="15" borderId="2" xfId="65" applyNumberFormat="1" applyFont="1" applyFill="1" applyBorder="1" applyAlignment="1" applyProtection="1">
      <alignment horizontal="center" vertical="center"/>
    </xf>
    <xf numFmtId="4" fontId="7" fillId="15" borderId="2" xfId="65" applyNumberFormat="1" applyFont="1" applyFill="1" applyBorder="1" applyAlignment="1">
      <alignment horizontal="center" vertical="center"/>
    </xf>
    <xf numFmtId="3" fontId="7" fillId="15" borderId="2" xfId="65" applyNumberFormat="1" applyFont="1" applyFill="1" applyBorder="1" applyAlignment="1" applyProtection="1">
      <alignment horizontal="center" vertical="center"/>
    </xf>
    <xf numFmtId="4" fontId="7" fillId="15" borderId="2" xfId="65" applyNumberFormat="1" applyFont="1" applyFill="1" applyBorder="1" applyAlignment="1" applyProtection="1">
      <alignment horizontal="center" vertical="center" wrapText="1"/>
    </xf>
    <xf numFmtId="4" fontId="7" fillId="11" borderId="2" xfId="38" applyNumberFormat="1" applyFont="1" applyFill="1" applyBorder="1" applyAlignment="1" applyProtection="1">
      <alignment horizontal="left"/>
    </xf>
    <xf numFmtId="4" fontId="7" fillId="11" borderId="2" xfId="38" applyNumberFormat="1" applyFont="1" applyFill="1" applyBorder="1" applyAlignment="1" applyProtection="1">
      <alignment horizontal="left" vertical="top" wrapText="1"/>
    </xf>
    <xf numFmtId="4" fontId="7" fillId="16" borderId="2" xfId="0" applyNumberFormat="1" applyFont="1" applyFill="1" applyBorder="1" applyAlignment="1" applyProtection="1">
      <alignment horizontal="center" vertical="center" wrapText="1"/>
    </xf>
    <xf numFmtId="4" fontId="7" fillId="16" borderId="2" xfId="65" applyNumberFormat="1" applyFont="1" applyFill="1" applyBorder="1" applyAlignment="1" applyProtection="1">
      <alignment horizontal="center" vertical="center" wrapText="1"/>
    </xf>
    <xf numFmtId="4" fontId="7" fillId="16" borderId="0" xfId="42" applyNumberFormat="1" applyFont="1" applyFill="1" applyAlignment="1">
      <alignment horizontal="center" vertical="center"/>
    </xf>
    <xf numFmtId="4" fontId="7" fillId="16" borderId="2" xfId="32" applyNumberFormat="1" applyFont="1" applyFill="1" applyBorder="1" applyAlignment="1" applyProtection="1">
      <alignment horizontal="center" vertical="center"/>
    </xf>
    <xf numFmtId="4" fontId="7" fillId="16" borderId="2" xfId="44" applyNumberFormat="1" applyFont="1" applyFill="1" applyBorder="1" applyAlignment="1" applyProtection="1">
      <alignment horizontal="center" vertical="center"/>
    </xf>
    <xf numFmtId="4" fontId="7" fillId="16" borderId="2" xfId="32" applyNumberFormat="1" applyFont="1" applyFill="1" applyBorder="1" applyAlignment="1" applyProtection="1">
      <alignment horizontal="center" vertical="center" wrapText="1"/>
    </xf>
    <xf numFmtId="4" fontId="7" fillId="16" borderId="2" xfId="37" applyNumberFormat="1" applyFont="1" applyFill="1" applyBorder="1" applyAlignment="1" applyProtection="1">
      <alignment horizontal="center" vertical="center" wrapText="1"/>
    </xf>
    <xf numFmtId="4" fontId="13" fillId="16" borderId="0" xfId="44" applyNumberFormat="1" applyFont="1" applyFill="1"/>
    <xf numFmtId="4" fontId="7" fillId="17" borderId="2" xfId="32" applyNumberFormat="1" applyFont="1" applyFill="1" applyBorder="1" applyAlignment="1" applyProtection="1">
      <alignment horizontal="center" vertical="center"/>
    </xf>
    <xf numFmtId="4" fontId="7" fillId="17" borderId="2" xfId="65" applyNumberFormat="1" applyFont="1" applyFill="1" applyBorder="1" applyAlignment="1" applyProtection="1">
      <alignment horizontal="center" vertical="center"/>
    </xf>
    <xf numFmtId="4" fontId="79" fillId="0" borderId="0" xfId="38" applyNumberFormat="1" applyFont="1" applyFill="1"/>
    <xf numFmtId="0" fontId="70" fillId="0" borderId="0" xfId="49" applyNumberFormat="1" applyFont="1" applyFill="1" applyBorder="1" applyAlignment="1">
      <alignment horizontal="center" vertical="center" wrapText="1"/>
    </xf>
    <xf numFmtId="0" fontId="70" fillId="0" borderId="0" xfId="49" applyNumberFormat="1" applyFont="1" applyFill="1" applyBorder="1" applyAlignment="1">
      <alignment horizontal="center" vertical="top" wrapText="1"/>
    </xf>
    <xf numFmtId="0" fontId="80" fillId="2" borderId="1" xfId="49" applyNumberFormat="1" applyFont="1" applyFill="1" applyBorder="1" applyAlignment="1" applyProtection="1">
      <alignment horizontal="center" vertical="top" wrapText="1"/>
    </xf>
    <xf numFmtId="0" fontId="0" fillId="0" borderId="0" xfId="0" applyNumberFormat="1" applyFont="1"/>
    <xf numFmtId="0" fontId="70" fillId="0" borderId="0" xfId="49" applyNumberFormat="1" applyFont="1" applyAlignment="1">
      <alignment horizontal="center" vertical="top"/>
    </xf>
    <xf numFmtId="4" fontId="4" fillId="0" borderId="0" xfId="0" applyNumberFormat="1" applyFont="1" applyFill="1" applyAlignment="1">
      <alignment horizontal="left"/>
    </xf>
    <xf numFmtId="4" fontId="7" fillId="10" borderId="2" xfId="38" applyNumberFormat="1" applyFont="1" applyFill="1" applyBorder="1" applyAlignment="1" applyProtection="1">
      <alignment horizontal="center" vertical="center" wrapText="1"/>
    </xf>
    <xf numFmtId="165" fontId="7" fillId="0" borderId="2" xfId="71" applyNumberFormat="1" applyFont="1" applyFill="1" applyBorder="1" applyAlignment="1" applyProtection="1">
      <alignment horizontal="left" vertical="top" wrapText="1"/>
    </xf>
    <xf numFmtId="1" fontId="15" fillId="0" borderId="2" xfId="32" applyNumberFormat="1" applyFont="1" applyFill="1" applyBorder="1" applyAlignment="1" applyProtection="1">
      <alignment horizontal="center" vertical="center"/>
    </xf>
    <xf numFmtId="0" fontId="1" fillId="0" borderId="3" xfId="4" applyNumberFormat="1" applyBorder="1" applyAlignment="1" applyProtection="1">
      <alignment horizontal="center" vertical="top"/>
    </xf>
    <xf numFmtId="165" fontId="7" fillId="0" borderId="0" xfId="32" applyNumberFormat="1" applyFont="1" applyFill="1" applyBorder="1" applyAlignment="1" applyProtection="1">
      <alignment horizontal="left" vertical="top" wrapText="1"/>
    </xf>
    <xf numFmtId="0" fontId="3" fillId="0" borderId="1" xfId="73" applyFont="1" applyFill="1" applyBorder="1" applyAlignment="1">
      <alignment horizontal="center" vertical="center" wrapText="1"/>
    </xf>
    <xf numFmtId="0" fontId="3" fillId="0" borderId="2" xfId="73" applyFont="1" applyFill="1" applyBorder="1" applyAlignment="1">
      <alignment horizontal="center" vertical="center" wrapText="1"/>
    </xf>
    <xf numFmtId="177" fontId="10" fillId="0" borderId="0" xfId="0" applyNumberFormat="1" applyFont="1" applyFill="1" applyAlignment="1">
      <alignment horizontal="left"/>
    </xf>
    <xf numFmtId="4" fontId="29" fillId="0" borderId="0" xfId="32" applyNumberFormat="1" applyFont="1" applyFill="1" applyAlignment="1">
      <alignment horizontal="center"/>
    </xf>
    <xf numFmtId="177" fontId="10" fillId="8" borderId="0" xfId="0" applyNumberFormat="1" applyFont="1" applyFill="1" applyAlignment="1">
      <alignment horizontal="left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4" fontId="59" fillId="0" borderId="0" xfId="0" quotePrefix="1" applyNumberFormat="1" applyFont="1" applyFill="1" applyAlignment="1">
      <alignment horizontal="left" vertical="center"/>
    </xf>
    <xf numFmtId="4" fontId="6" fillId="0" borderId="4" xfId="0" applyNumberFormat="1" applyFont="1" applyFill="1" applyBorder="1" applyAlignment="1">
      <alignment horizontal="center" vertical="center" wrapText="1"/>
    </xf>
    <xf numFmtId="4" fontId="6" fillId="0" borderId="5" xfId="0" applyNumberFormat="1" applyFont="1" applyFill="1" applyBorder="1" applyAlignment="1">
      <alignment horizontal="center" vertical="center" wrapText="1"/>
    </xf>
    <xf numFmtId="4" fontId="6" fillId="0" borderId="6" xfId="0" applyNumberFormat="1" applyFont="1" applyFill="1" applyBorder="1" applyAlignment="1">
      <alignment horizontal="center" vertical="center" wrapText="1"/>
    </xf>
    <xf numFmtId="4" fontId="6" fillId="0" borderId="7" xfId="0" applyNumberFormat="1" applyFont="1" applyFill="1" applyBorder="1" applyAlignment="1">
      <alignment horizontal="center" vertical="center" wrapText="1"/>
    </xf>
    <xf numFmtId="4" fontId="6" fillId="0" borderId="8" xfId="0" applyNumberFormat="1" applyFont="1" applyFill="1" applyBorder="1" applyAlignment="1">
      <alignment horizontal="center" vertical="center" wrapText="1"/>
    </xf>
    <xf numFmtId="4" fontId="6" fillId="0" borderId="9" xfId="0" applyNumberFormat="1" applyFont="1" applyFill="1" applyBorder="1" applyAlignment="1">
      <alignment horizontal="center" vertical="center" wrapText="1"/>
    </xf>
    <xf numFmtId="165" fontId="7" fillId="0" borderId="2" xfId="38" applyNumberFormat="1" applyFont="1" applyBorder="1" applyAlignment="1" applyProtection="1">
      <alignment horizontal="center" vertical="top"/>
    </xf>
    <xf numFmtId="0" fontId="3" fillId="0" borderId="1" xfId="29" applyFont="1" applyFill="1" applyBorder="1" applyAlignment="1">
      <alignment horizontal="center" vertical="center" wrapText="1"/>
    </xf>
    <xf numFmtId="0" fontId="3" fillId="0" borderId="2" xfId="29" applyFont="1" applyFill="1" applyBorder="1" applyAlignment="1">
      <alignment horizontal="center" vertical="center" wrapText="1"/>
    </xf>
    <xf numFmtId="4" fontId="54" fillId="0" borderId="0" xfId="36" applyNumberFormat="1" applyFont="1" applyFill="1" applyAlignment="1">
      <alignment horizontal="center"/>
    </xf>
    <xf numFmtId="0" fontId="3" fillId="0" borderId="1" xfId="30" applyFont="1" applyFill="1" applyBorder="1" applyAlignment="1">
      <alignment horizontal="center" vertical="center" wrapText="1"/>
    </xf>
    <xf numFmtId="0" fontId="3" fillId="0" borderId="2" xfId="30" applyFont="1" applyFill="1" applyBorder="1" applyAlignment="1">
      <alignment horizontal="center" vertical="center" wrapText="1"/>
    </xf>
    <xf numFmtId="0" fontId="3" fillId="0" borderId="1" xfId="77" applyFont="1" applyFill="1" applyBorder="1" applyAlignment="1">
      <alignment horizontal="center" vertical="center" wrapText="1"/>
    </xf>
    <xf numFmtId="0" fontId="3" fillId="0" borderId="2" xfId="77" applyFont="1" applyFill="1" applyBorder="1" applyAlignment="1">
      <alignment horizontal="center" vertical="center" wrapText="1"/>
    </xf>
    <xf numFmtId="0" fontId="5" fillId="0" borderId="1" xfId="0" quotePrefix="1" applyFont="1" applyFill="1" applyBorder="1" applyAlignment="1">
      <alignment horizontal="center" vertical="center"/>
    </xf>
    <xf numFmtId="0" fontId="5" fillId="0" borderId="2" xfId="0" quotePrefix="1" applyFont="1" applyFill="1" applyBorder="1" applyAlignment="1">
      <alignment horizontal="center" vertical="center"/>
    </xf>
    <xf numFmtId="0" fontId="5" fillId="0" borderId="13" xfId="0" quotePrefix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45" applyFont="1" applyFill="1" applyBorder="1" applyAlignment="1">
      <alignment horizontal="center" vertical="center" wrapText="1"/>
    </xf>
    <xf numFmtId="0" fontId="3" fillId="0" borderId="2" xfId="45" applyFont="1" applyFill="1" applyBorder="1" applyAlignment="1">
      <alignment horizontal="center" vertical="center" wrapText="1"/>
    </xf>
    <xf numFmtId="4" fontId="4" fillId="0" borderId="0" xfId="61" applyNumberFormat="1" applyFont="1" applyFill="1" applyAlignment="1" applyProtection="1">
      <alignment horizontal="left" vertical="center" wrapText="1"/>
    </xf>
    <xf numFmtId="4" fontId="54" fillId="0" borderId="0" xfId="65" applyNumberFormat="1" applyFont="1" applyFill="1" applyAlignment="1">
      <alignment horizontal="center" vertical="center"/>
    </xf>
    <xf numFmtId="0" fontId="3" fillId="0" borderId="1" xfId="68" applyFont="1" applyFill="1" applyBorder="1" applyAlignment="1">
      <alignment horizontal="center" vertical="center" wrapText="1"/>
    </xf>
    <xf numFmtId="0" fontId="3" fillId="0" borderId="2" xfId="68" applyFont="1" applyFill="1" applyBorder="1" applyAlignment="1">
      <alignment horizontal="center" vertical="center" wrapText="1"/>
    </xf>
    <xf numFmtId="4" fontId="54" fillId="0" borderId="0" xfId="32" applyNumberFormat="1" applyFont="1" applyFill="1" applyAlignment="1">
      <alignment horizontal="center" vertical="center"/>
    </xf>
    <xf numFmtId="0" fontId="45" fillId="0" borderId="11" xfId="0" applyFont="1" applyFill="1" applyBorder="1" applyAlignment="1">
      <alignment horizontal="left" vertical="top" wrapText="1"/>
    </xf>
    <xf numFmtId="0" fontId="45" fillId="0" borderId="15" xfId="0" applyFont="1" applyFill="1" applyBorder="1" applyAlignment="1">
      <alignment horizontal="left" vertical="top" wrapText="1"/>
    </xf>
    <xf numFmtId="4" fontId="54" fillId="0" borderId="0" xfId="37" applyNumberFormat="1" applyFont="1" applyFill="1" applyAlignment="1">
      <alignment horizontal="center" vertical="center"/>
    </xf>
    <xf numFmtId="0" fontId="3" fillId="0" borderId="1" xfId="31" applyFont="1" applyFill="1" applyBorder="1" applyAlignment="1">
      <alignment horizontal="center" vertical="center" wrapText="1"/>
    </xf>
    <xf numFmtId="0" fontId="3" fillId="0" borderId="2" xfId="31" applyFont="1" applyFill="1" applyBorder="1" applyAlignment="1">
      <alignment horizontal="center" vertical="center" wrapText="1"/>
    </xf>
    <xf numFmtId="4" fontId="45" fillId="0" borderId="0" xfId="65" applyNumberFormat="1" applyFont="1" applyFill="1" applyAlignment="1">
      <alignment horizontal="center" vertical="center"/>
    </xf>
    <xf numFmtId="4" fontId="4" fillId="0" borderId="0" xfId="0" applyNumberFormat="1" applyFont="1" applyFill="1" applyAlignment="1">
      <alignment horizontal="left"/>
    </xf>
    <xf numFmtId="4" fontId="45" fillId="0" borderId="0" xfId="37" applyNumberFormat="1" applyFont="1" applyFill="1" applyAlignment="1">
      <alignment horizontal="center" vertical="center"/>
    </xf>
    <xf numFmtId="4" fontId="45" fillId="0" borderId="0" xfId="65" applyNumberFormat="1" applyFont="1" applyFill="1" applyAlignment="1">
      <alignment horizontal="center"/>
    </xf>
    <xf numFmtId="4" fontId="54" fillId="0" borderId="0" xfId="32" applyNumberFormat="1" applyFont="1" applyFill="1" applyAlignment="1">
      <alignment horizontal="center"/>
    </xf>
    <xf numFmtId="4" fontId="4" fillId="0" borderId="0" xfId="42" applyNumberFormat="1" applyFont="1" applyAlignment="1" applyProtection="1">
      <alignment horizontal="left" wrapText="1"/>
    </xf>
    <xf numFmtId="4" fontId="4" fillId="0" borderId="0" xfId="42" applyNumberFormat="1" applyFont="1" applyFill="1" applyAlignment="1" applyProtection="1">
      <alignment horizontal="left" wrapText="1"/>
    </xf>
    <xf numFmtId="0" fontId="3" fillId="4" borderId="1" xfId="46" applyFont="1" applyFill="1" applyBorder="1" applyAlignment="1">
      <alignment horizontal="center" vertical="center" wrapText="1"/>
    </xf>
    <xf numFmtId="0" fontId="3" fillId="4" borderId="2" xfId="46" applyFont="1" applyFill="1" applyBorder="1" applyAlignment="1">
      <alignment horizontal="center" vertical="center" wrapText="1"/>
    </xf>
    <xf numFmtId="0" fontId="3" fillId="0" borderId="1" xfId="46" applyFont="1" applyFill="1" applyBorder="1" applyAlignment="1">
      <alignment horizontal="center" vertical="center" wrapText="1"/>
    </xf>
    <xf numFmtId="0" fontId="3" fillId="0" borderId="2" xfId="46" applyFont="1" applyFill="1" applyBorder="1" applyAlignment="1">
      <alignment horizontal="center" vertical="center" wrapText="1"/>
    </xf>
    <xf numFmtId="0" fontId="3" fillId="0" borderId="1" xfId="15" applyFont="1" applyFill="1" applyBorder="1" applyAlignment="1">
      <alignment horizontal="center" vertical="center" wrapText="1"/>
    </xf>
    <xf numFmtId="0" fontId="55" fillId="0" borderId="2" xfId="15" applyFont="1" applyFill="1" applyBorder="1" applyAlignment="1"/>
    <xf numFmtId="0" fontId="55" fillId="0" borderId="13" xfId="15" applyFont="1" applyFill="1" applyBorder="1" applyAlignment="1"/>
    <xf numFmtId="4" fontId="5" fillId="0" borderId="0" xfId="27" applyNumberFormat="1" applyFont="1" applyAlignment="1" applyProtection="1">
      <alignment horizontal="left" wrapText="1"/>
    </xf>
    <xf numFmtId="4" fontId="6" fillId="0" borderId="4" xfId="27" applyNumberFormat="1" applyFont="1" applyFill="1" applyBorder="1" applyAlignment="1">
      <alignment horizontal="center"/>
    </xf>
    <xf numFmtId="4" fontId="6" fillId="0" borderId="5" xfId="27" applyNumberFormat="1" applyFont="1" applyFill="1" applyBorder="1" applyAlignment="1">
      <alignment horizontal="center"/>
    </xf>
    <xf numFmtId="4" fontId="6" fillId="0" borderId="6" xfId="27" applyNumberFormat="1" applyFont="1" applyFill="1" applyBorder="1" applyAlignment="1">
      <alignment horizontal="center"/>
    </xf>
    <xf numFmtId="4" fontId="4" fillId="0" borderId="0" xfId="38" applyNumberFormat="1" applyFont="1" applyFill="1" applyAlignment="1" applyProtection="1">
      <alignment horizontal="left" wrapText="1"/>
    </xf>
    <xf numFmtId="0" fontId="3" fillId="4" borderId="1" xfId="45" applyFont="1" applyFill="1" applyBorder="1" applyAlignment="1">
      <alignment horizontal="center" vertical="center" wrapText="1"/>
    </xf>
    <xf numFmtId="0" fontId="3" fillId="4" borderId="2" xfId="45" applyFont="1" applyFill="1" applyBorder="1" applyAlignment="1">
      <alignment horizontal="center" vertical="center" wrapText="1"/>
    </xf>
    <xf numFmtId="0" fontId="3" fillId="0" borderId="1" xfId="20" applyFont="1" applyFill="1" applyBorder="1" applyAlignment="1">
      <alignment horizontal="center" vertical="center" wrapText="1"/>
    </xf>
    <xf numFmtId="0" fontId="3" fillId="0" borderId="2" xfId="20" applyFont="1" applyFill="1" applyBorder="1" applyAlignment="1">
      <alignment horizontal="center" vertical="center" wrapText="1"/>
    </xf>
    <xf numFmtId="0" fontId="3" fillId="0" borderId="13" xfId="20" applyFont="1" applyFill="1" applyBorder="1" applyAlignment="1">
      <alignment horizontal="center" vertical="center" wrapText="1"/>
    </xf>
    <xf numFmtId="4" fontId="45" fillId="0" borderId="0" xfId="32" applyNumberFormat="1" applyFont="1" applyFill="1" applyAlignment="1">
      <alignment horizontal="center"/>
    </xf>
    <xf numFmtId="4" fontId="7" fillId="0" borderId="0" xfId="32" applyNumberFormat="1" applyFont="1" applyFill="1" applyAlignment="1">
      <alignment horizontal="center"/>
    </xf>
    <xf numFmtId="4" fontId="7" fillId="0" borderId="10" xfId="32" applyNumberFormat="1" applyFont="1" applyFill="1" applyBorder="1" applyAlignment="1">
      <alignment horizontal="center"/>
    </xf>
    <xf numFmtId="4" fontId="4" fillId="0" borderId="0" xfId="38" applyNumberFormat="1" applyFont="1" applyAlignment="1" applyProtection="1">
      <alignment horizontal="left" wrapText="1"/>
    </xf>
    <xf numFmtId="4" fontId="6" fillId="0" borderId="4" xfId="38" applyNumberFormat="1" applyFont="1" applyFill="1" applyBorder="1" applyAlignment="1" applyProtection="1">
      <alignment horizontal="center" vertical="center" wrapText="1"/>
    </xf>
    <xf numFmtId="4" fontId="6" fillId="0" borderId="6" xfId="38" applyNumberFormat="1" applyFont="1" applyFill="1" applyBorder="1" applyAlignment="1" applyProtection="1">
      <alignment horizontal="center" vertical="center" wrapText="1"/>
    </xf>
    <xf numFmtId="4" fontId="6" fillId="0" borderId="14" xfId="38" applyNumberFormat="1" applyFont="1" applyFill="1" applyBorder="1" applyAlignment="1" applyProtection="1">
      <alignment horizontal="center" vertical="center" wrapText="1"/>
    </xf>
    <xf numFmtId="4" fontId="6" fillId="0" borderId="10" xfId="38" applyNumberFormat="1" applyFont="1" applyFill="1" applyBorder="1" applyAlignment="1" applyProtection="1">
      <alignment horizontal="center" vertical="center" wrapText="1"/>
    </xf>
    <xf numFmtId="4" fontId="6" fillId="0" borderId="7" xfId="38" applyNumberFormat="1" applyFont="1" applyFill="1" applyBorder="1" applyAlignment="1" applyProtection="1">
      <alignment horizontal="center" vertical="center" wrapText="1"/>
    </xf>
    <xf numFmtId="4" fontId="6" fillId="0" borderId="9" xfId="38" applyNumberFormat="1" applyFont="1" applyFill="1" applyBorder="1" applyAlignment="1" applyProtection="1">
      <alignment horizontal="center" vertical="center" wrapText="1"/>
    </xf>
    <xf numFmtId="4" fontId="6" fillId="0" borderId="1" xfId="38" applyNumberFormat="1" applyFont="1" applyFill="1" applyBorder="1" applyAlignment="1" applyProtection="1">
      <alignment horizontal="center" vertical="center" wrapText="1"/>
    </xf>
    <xf numFmtId="4" fontId="6" fillId="0" borderId="2" xfId="38" applyNumberFormat="1" applyFont="1" applyFill="1" applyBorder="1" applyAlignment="1" applyProtection="1">
      <alignment horizontal="center" vertical="center" wrapText="1"/>
    </xf>
    <xf numFmtId="4" fontId="6" fillId="0" borderId="13" xfId="38" applyNumberFormat="1" applyFont="1" applyFill="1" applyBorder="1" applyAlignment="1" applyProtection="1">
      <alignment horizontal="center" vertical="center" wrapText="1"/>
    </xf>
    <xf numFmtId="4" fontId="6" fillId="0" borderId="1" xfId="38" quotePrefix="1" applyNumberFormat="1" applyFont="1" applyFill="1" applyBorder="1" applyAlignment="1" applyProtection="1">
      <alignment horizontal="center" vertical="center" wrapText="1"/>
    </xf>
    <xf numFmtId="4" fontId="6" fillId="0" borderId="2" xfId="38" quotePrefix="1" applyNumberFormat="1" applyFont="1" applyFill="1" applyBorder="1" applyAlignment="1" applyProtection="1">
      <alignment horizontal="center" vertical="center" wrapText="1"/>
    </xf>
    <xf numFmtId="4" fontId="6" fillId="0" borderId="13" xfId="38" quotePrefix="1" applyNumberFormat="1" applyFont="1" applyFill="1" applyBorder="1" applyAlignment="1" applyProtection="1">
      <alignment horizontal="center" vertical="center" wrapText="1"/>
    </xf>
    <xf numFmtId="0" fontId="68" fillId="0" borderId="13" xfId="0" applyFont="1" applyFill="1" applyBorder="1" applyAlignment="1">
      <alignment vertical="center" wrapText="1"/>
    </xf>
    <xf numFmtId="4" fontId="6" fillId="0" borderId="1" xfId="38" applyNumberFormat="1" applyFont="1" applyFill="1" applyBorder="1" applyAlignment="1" applyProtection="1">
      <alignment horizontal="center" vertical="center"/>
    </xf>
    <xf numFmtId="4" fontId="6" fillId="0" borderId="13" xfId="38" applyNumberFormat="1" applyFont="1" applyFill="1" applyBorder="1" applyAlignment="1" applyProtection="1">
      <alignment horizontal="center" vertical="center"/>
    </xf>
    <xf numFmtId="4" fontId="6" fillId="0" borderId="4" xfId="38" applyNumberFormat="1" applyFont="1" applyFill="1" applyBorder="1" applyAlignment="1" applyProtection="1">
      <alignment horizontal="center" vertical="center"/>
    </xf>
    <xf numFmtId="4" fontId="6" fillId="0" borderId="6" xfId="38" applyNumberFormat="1" applyFont="1" applyFill="1" applyBorder="1" applyAlignment="1" applyProtection="1">
      <alignment horizontal="center" vertical="center"/>
    </xf>
    <xf numFmtId="4" fontId="6" fillId="0" borderId="14" xfId="38" applyNumberFormat="1" applyFont="1" applyFill="1" applyBorder="1" applyAlignment="1" applyProtection="1">
      <alignment horizontal="center" vertical="center"/>
    </xf>
    <xf numFmtId="4" fontId="6" fillId="0" borderId="10" xfId="38" applyNumberFormat="1" applyFont="1" applyFill="1" applyBorder="1" applyAlignment="1" applyProtection="1">
      <alignment horizontal="center" vertical="center"/>
    </xf>
    <xf numFmtId="4" fontId="6" fillId="0" borderId="7" xfId="38" applyNumberFormat="1" applyFont="1" applyFill="1" applyBorder="1" applyAlignment="1" applyProtection="1">
      <alignment horizontal="center" vertical="center"/>
    </xf>
    <xf numFmtId="4" fontId="6" fillId="0" borderId="9" xfId="38" applyNumberFormat="1" applyFont="1" applyFill="1" applyBorder="1" applyAlignment="1" applyProtection="1">
      <alignment horizontal="center" vertical="center"/>
    </xf>
    <xf numFmtId="0" fontId="6" fillId="0" borderId="1" xfId="38" applyFont="1" applyFill="1" applyBorder="1" applyAlignment="1">
      <alignment horizontal="center" vertical="center" wrapText="1"/>
    </xf>
    <xf numFmtId="0" fontId="6" fillId="0" borderId="2" xfId="38" applyFont="1" applyFill="1" applyBorder="1" applyAlignment="1">
      <alignment horizontal="center" vertical="center" wrapText="1"/>
    </xf>
    <xf numFmtId="0" fontId="6" fillId="0" borderId="13" xfId="38" applyFont="1" applyFill="1" applyBorder="1" applyAlignment="1">
      <alignment horizontal="center" vertical="center" wrapText="1"/>
    </xf>
    <xf numFmtId="0" fontId="6" fillId="0" borderId="1" xfId="38" applyFont="1" applyFill="1" applyBorder="1" applyAlignment="1">
      <alignment horizontal="center" vertical="center"/>
    </xf>
    <xf numFmtId="0" fontId="6" fillId="0" borderId="2" xfId="38" applyFont="1" applyFill="1" applyBorder="1" applyAlignment="1">
      <alignment horizontal="center" vertical="center"/>
    </xf>
    <xf numFmtId="0" fontId="6" fillId="0" borderId="13" xfId="38" applyFont="1" applyFill="1" applyBorder="1" applyAlignment="1">
      <alignment horizontal="center" vertical="center"/>
    </xf>
    <xf numFmtId="4" fontId="6" fillId="0" borderId="1" xfId="38" applyNumberFormat="1" applyFont="1" applyFill="1" applyBorder="1" applyAlignment="1">
      <alignment horizontal="center" vertical="center" wrapText="1"/>
    </xf>
    <xf numFmtId="4" fontId="6" fillId="0" borderId="2" xfId="38" applyNumberFormat="1" applyFont="1" applyFill="1" applyBorder="1" applyAlignment="1">
      <alignment horizontal="center" vertical="center" wrapText="1"/>
    </xf>
    <xf numFmtId="4" fontId="6" fillId="0" borderId="13" xfId="38" applyNumberFormat="1" applyFont="1" applyFill="1" applyBorder="1" applyAlignment="1">
      <alignment horizontal="center" vertical="center" wrapText="1"/>
    </xf>
    <xf numFmtId="4" fontId="6" fillId="0" borderId="4" xfId="38" applyNumberFormat="1" applyFont="1" applyFill="1" applyBorder="1" applyAlignment="1">
      <alignment horizontal="center" vertical="center"/>
    </xf>
    <xf numFmtId="4" fontId="6" fillId="0" borderId="5" xfId="38" applyNumberFormat="1" applyFont="1" applyFill="1" applyBorder="1" applyAlignment="1">
      <alignment horizontal="center" vertical="center"/>
    </xf>
    <xf numFmtId="4" fontId="6" fillId="0" borderId="6" xfId="38" applyNumberFormat="1" applyFont="1" applyFill="1" applyBorder="1" applyAlignment="1">
      <alignment horizontal="center" vertical="center"/>
    </xf>
    <xf numFmtId="4" fontId="6" fillId="0" borderId="7" xfId="38" applyNumberFormat="1" applyFont="1" applyFill="1" applyBorder="1" applyAlignment="1">
      <alignment horizontal="center" vertical="center"/>
    </xf>
    <xf numFmtId="4" fontId="6" fillId="0" borderId="8" xfId="38" applyNumberFormat="1" applyFont="1" applyFill="1" applyBorder="1" applyAlignment="1">
      <alignment horizontal="center" vertical="center"/>
    </xf>
    <xf numFmtId="4" fontId="6" fillId="0" borderId="9" xfId="38" applyNumberFormat="1" applyFont="1" applyFill="1" applyBorder="1" applyAlignment="1">
      <alignment horizontal="center" vertical="center"/>
    </xf>
    <xf numFmtId="0" fontId="68" fillId="0" borderId="2" xfId="0" applyFont="1" applyFill="1" applyBorder="1" applyAlignment="1">
      <alignment horizontal="center" vertical="center" wrapText="1"/>
    </xf>
    <xf numFmtId="0" fontId="68" fillId="0" borderId="13" xfId="0" applyFont="1" applyFill="1" applyBorder="1" applyAlignment="1">
      <alignment horizontal="center" vertical="center" wrapText="1"/>
    </xf>
    <xf numFmtId="4" fontId="6" fillId="0" borderId="4" xfId="38" applyNumberFormat="1" applyFont="1" applyFill="1" applyBorder="1" applyAlignment="1">
      <alignment horizontal="center" vertical="center" wrapText="1"/>
    </xf>
    <xf numFmtId="0" fontId="68" fillId="0" borderId="6" xfId="0" applyFont="1" applyFill="1" applyBorder="1" applyAlignment="1">
      <alignment horizontal="center" vertical="center" wrapText="1"/>
    </xf>
    <xf numFmtId="0" fontId="68" fillId="0" borderId="7" xfId="0" applyFont="1" applyFill="1" applyBorder="1" applyAlignment="1">
      <alignment horizontal="center" vertical="center" wrapText="1"/>
    </xf>
    <xf numFmtId="0" fontId="68" fillId="0" borderId="9" xfId="0" applyFont="1" applyFill="1" applyBorder="1" applyAlignment="1">
      <alignment horizontal="center" vertical="center" wrapText="1"/>
    </xf>
    <xf numFmtId="0" fontId="68" fillId="0" borderId="2" xfId="0" applyFont="1" applyFill="1" applyBorder="1" applyAlignment="1">
      <alignment vertical="center" wrapText="1"/>
    </xf>
    <xf numFmtId="0" fontId="3" fillId="0" borderId="1" xfId="22" applyFont="1" applyFill="1" applyBorder="1" applyAlignment="1">
      <alignment horizontal="center" vertical="center" wrapText="1"/>
    </xf>
    <xf numFmtId="0" fontId="3" fillId="0" borderId="2" xfId="22" applyFont="1" applyFill="1" applyBorder="1" applyAlignment="1">
      <alignment horizontal="center" vertical="center" wrapText="1"/>
    </xf>
    <xf numFmtId="0" fontId="3" fillId="0" borderId="13" xfId="22" applyFont="1" applyFill="1" applyBorder="1" applyAlignment="1">
      <alignment horizontal="center" vertical="center" wrapText="1"/>
    </xf>
    <xf numFmtId="4" fontId="6" fillId="0" borderId="4" xfId="22" applyNumberFormat="1" applyFont="1" applyFill="1" applyBorder="1" applyAlignment="1">
      <alignment horizontal="center" vertical="center" wrapText="1"/>
    </xf>
    <xf numFmtId="0" fontId="68" fillId="0" borderId="5" xfId="0" applyFont="1" applyFill="1" applyBorder="1" applyAlignment="1">
      <alignment horizontal="center" vertical="center" wrapText="1"/>
    </xf>
    <xf numFmtId="0" fontId="68" fillId="0" borderId="8" xfId="0" applyFont="1" applyFill="1" applyBorder="1" applyAlignment="1">
      <alignment horizontal="center" vertical="center" wrapText="1"/>
    </xf>
    <xf numFmtId="0" fontId="3" fillId="0" borderId="1" xfId="0" quotePrefix="1" applyFont="1" applyFill="1" applyBorder="1" applyAlignment="1">
      <alignment horizontal="center" vertical="center"/>
    </xf>
    <xf numFmtId="0" fontId="3" fillId="0" borderId="2" xfId="0" quotePrefix="1" applyFont="1" applyFill="1" applyBorder="1" applyAlignment="1">
      <alignment horizontal="center" vertical="center"/>
    </xf>
    <xf numFmtId="0" fontId="3" fillId="0" borderId="13" xfId="0" quotePrefix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" fontId="4" fillId="0" borderId="0" xfId="44" applyNumberFormat="1" applyFont="1" applyFill="1" applyAlignment="1" applyProtection="1">
      <alignment horizontal="left" wrapText="1"/>
    </xf>
    <xf numFmtId="4" fontId="4" fillId="0" borderId="0" xfId="38" applyNumberFormat="1" applyFont="1" applyFill="1" applyAlignment="1" applyProtection="1">
      <alignment horizontal="center" wrapText="1"/>
    </xf>
    <xf numFmtId="0" fontId="40" fillId="0" borderId="14" xfId="32" applyFont="1" applyFill="1" applyBorder="1" applyAlignment="1">
      <alignment horizontal="center" vertical="center"/>
    </xf>
    <xf numFmtId="0" fontId="15" fillId="0" borderId="1" xfId="32" applyFont="1" applyFill="1" applyBorder="1" applyAlignment="1">
      <alignment horizontal="left" vertical="center"/>
    </xf>
    <xf numFmtId="4" fontId="15" fillId="0" borderId="10" xfId="32" applyNumberFormat="1" applyFont="1" applyFill="1" applyBorder="1" applyAlignment="1">
      <alignment horizontal="center" vertical="center"/>
    </xf>
    <xf numFmtId="0" fontId="82" fillId="0" borderId="2" xfId="79" applyFont="1" applyFill="1" applyBorder="1" applyAlignment="1">
      <alignment horizontal="left"/>
    </xf>
    <xf numFmtId="4" fontId="66" fillId="0" borderId="0" xfId="79" applyNumberFormat="1"/>
    <xf numFmtId="4" fontId="82" fillId="0" borderId="2" xfId="79" applyNumberFormat="1" applyFont="1" applyFill="1" applyBorder="1" applyAlignment="1">
      <alignment horizontal="left"/>
    </xf>
    <xf numFmtId="0" fontId="82" fillId="0" borderId="2" xfId="79" applyFont="1" applyFill="1" applyBorder="1" applyAlignment="1">
      <alignment horizontal="left" wrapText="1"/>
    </xf>
    <xf numFmtId="165" fontId="40" fillId="0" borderId="14" xfId="32" applyNumberFormat="1" applyFont="1" applyFill="1" applyBorder="1" applyAlignment="1" applyProtection="1">
      <alignment horizontal="center" vertical="center" wrapText="1"/>
    </xf>
    <xf numFmtId="165" fontId="7" fillId="0" borderId="13" xfId="32" applyNumberFormat="1" applyFont="1" applyFill="1" applyBorder="1" applyAlignment="1" applyProtection="1">
      <alignment horizontal="right" vertical="center" wrapText="1"/>
    </xf>
    <xf numFmtId="165" fontId="7" fillId="0" borderId="13" xfId="32" applyNumberFormat="1" applyFont="1" applyFill="1" applyBorder="1" applyAlignment="1" applyProtection="1">
      <alignment horizontal="left" vertical="center"/>
    </xf>
    <xf numFmtId="4" fontId="83" fillId="10" borderId="0" xfId="32" applyNumberFormat="1" applyFont="1" applyFill="1" applyAlignment="1">
      <alignment vertical="center"/>
    </xf>
    <xf numFmtId="0" fontId="82" fillId="10" borderId="2" xfId="79" applyFont="1" applyFill="1" applyBorder="1" applyAlignment="1">
      <alignment horizontal="left"/>
    </xf>
    <xf numFmtId="9" fontId="0" fillId="0" borderId="0" xfId="78" applyFont="1"/>
    <xf numFmtId="10" fontId="0" fillId="0" borderId="0" xfId="78" applyNumberFormat="1" applyFont="1"/>
  </cellXfs>
  <cellStyles count="80">
    <cellStyle name="Commentaire 2" xfId="52"/>
    <cellStyle name="Euro" xfId="1"/>
    <cellStyle name="Followed Hyperlink" xfId="2"/>
    <cellStyle name="Hyperlink" xfId="3"/>
    <cellStyle name="Lien hypertexte" xfId="4" builtinId="8"/>
    <cellStyle name="Milliers" xfId="70" builtinId="3"/>
    <cellStyle name="Milliers 2" xfId="53"/>
    <cellStyle name="Milliers 2 2" xfId="54"/>
    <cellStyle name="Milliers 3" xfId="55"/>
    <cellStyle name="Normal" xfId="0" builtinId="0"/>
    <cellStyle name="Normal 10" xfId="5"/>
    <cellStyle name="Normal 2" xfId="6"/>
    <cellStyle name="Normal 2 2" xfId="56"/>
    <cellStyle name="Normal 2 3" xfId="79"/>
    <cellStyle name="Normal 2_FI-AMDL-DET-AM" xfId="57"/>
    <cellStyle name="Normal 2_Pôle TR_DET_Fiches prod  invent au 31-05-2012_OKh" xfId="7"/>
    <cellStyle name="Normal 3" xfId="8"/>
    <cellStyle name="Normal 3 2" xfId="58"/>
    <cellStyle name="Normal 3_FI-AMDL-DET-AM" xfId="59"/>
    <cellStyle name="Normal 4" xfId="9"/>
    <cellStyle name="Normal 5" xfId="10"/>
    <cellStyle name="Normal 6" xfId="60"/>
    <cellStyle name="Normal_2001" xfId="11"/>
    <cellStyle name="Normal_2001 2" xfId="72"/>
    <cellStyle name="Normal_2001_FI ETR AMDL DSPCT" xfId="75"/>
    <cellStyle name="Normal_2001_FI ONCF" xfId="12"/>
    <cellStyle name="Normal_2001_Fiches prod-synthèse &amp; récap-31-05-2012-AM" xfId="13"/>
    <cellStyle name="Normal_2001_Fiches prod-synthèse &amp; récap-31-05-2012-AM 2" xfId="69"/>
    <cellStyle name="Normal_2009179" xfId="14"/>
    <cellStyle name="Normal_2009367" xfId="15"/>
    <cellStyle name="Normal_25150 CONSOLIDEE" xfId="16"/>
    <cellStyle name="Normal_26317" xfId="17"/>
    <cellStyle name="Normal_26317_FICHES_PROD AU 31-05-2012_LASFAR" xfId="18"/>
    <cellStyle name="Normal_26317_Pôle TR_DET_Fiches prod  invent au 31-05-2012_OKh" xfId="19"/>
    <cellStyle name="Normal_27673-DAR+DOA+DET-09" xfId="20"/>
    <cellStyle name="Normal_28147" xfId="21"/>
    <cellStyle name="Normal_28147_AR+OA_09" xfId="22"/>
    <cellStyle name="Normal_Chif_lett_NT_Lot1" xfId="23"/>
    <cellStyle name="Normal_DE- LOT 1234- A1" xfId="24"/>
    <cellStyle name="Normal_Feuil1" xfId="25"/>
    <cellStyle name="Normal_Feuil2" xfId="26"/>
    <cellStyle name="Normal_Fiches à etablir DRT 2010 03 02 2011 Mr Hmaidi" xfId="27"/>
    <cellStyle name="Normal_FICHES BVP 04-12-2009(1)" xfId="28"/>
    <cellStyle name="Normal_fiches Pôle TR_suivi_pro_OA_2010" xfId="29"/>
    <cellStyle name="Normal_fiches Pôle TR_suivi_pro_OA_2010 2" xfId="73"/>
    <cellStyle name="Normal_fiches Pôle TR_suivi_pro_OA_2010_FI ETR AMDL DSPCT" xfId="77"/>
    <cellStyle name="Normal_fiches Pôle TR_suivi_pro_OA_2010_FI ONCF" xfId="30"/>
    <cellStyle name="Normal_fiches Pôle TR_suivi_pro_OA_2010_Fiches prod-synthèse &amp; récap-31-05-2012-AM" xfId="31"/>
    <cellStyle name="Normal_fiches Pôle TR_suivi_pro_OA_2010_Fiches prod-synthèse &amp; récap-31-05-2012-AM 2" xfId="68"/>
    <cellStyle name="Normal_FICHES TRANS" xfId="32"/>
    <cellStyle name="Normal_FICHES TRANS 04-12-2009(1)" xfId="33"/>
    <cellStyle name="Normal_FICHES TRANS 04-12-2009(1)_FI ONCF" xfId="34"/>
    <cellStyle name="Normal_FICHES TRANS 04-12-2009(1)_Fiches prod-synthèse &amp; récap-31-05-2012-AM" xfId="35"/>
    <cellStyle name="Normal_FICHES TRANS 04-12-2009(1)_Fiches prod-synthèse &amp; récap-31-05-2012-AM 2" xfId="67"/>
    <cellStyle name="Normal_FICHES TRANS_FI ETR AMDL DSPCT" xfId="74"/>
    <cellStyle name="Normal_FICHES TRANS_FI ONCF" xfId="36"/>
    <cellStyle name="Normal_FICHES TRANS_Fiches prod-synthèse &amp; récap-31-05-2012-AM" xfId="37"/>
    <cellStyle name="Normal_FICHES TRANS_Fiches prod-synthèse &amp; récap-31-05-2012-AM 2" xfId="65"/>
    <cellStyle name="Normal_NOUVELLES FICHES PRODUCTION POLE TR" xfId="38"/>
    <cellStyle name="Normal_NOUVELLES FICHES PRODUCTION POLE TR 2" xfId="71"/>
    <cellStyle name="Normal_NOUVELLES FICHES PRODUCTION POLE TR_201200568 et 201100722" xfId="61"/>
    <cellStyle name="Normal_NOUVELLES FICHES PRODUCTION POLE TR_29140-TRAM CASA_TR(DRT-DET)_Fiche prod au 31-12-12" xfId="39"/>
    <cellStyle name="Normal_NOUVELLES FICHES PRODUCTION POLE TR_FI ETR AMDL DSPCT" xfId="76"/>
    <cellStyle name="Normal_NOUVELLES FICHES PRODUCTION POLE TR_FI ONCF" xfId="40"/>
    <cellStyle name="Normal_NOUVELLES FICHES PRODUCTION POLE TR_Fiches prod-synthèse &amp; récap-31-05-2012-AM" xfId="41"/>
    <cellStyle name="Normal_NOUVELLES FICHES PRODUCTION POLE TR_Fiches prod-synthèse &amp; récap-31-05-2012-AM 2" xfId="66"/>
    <cellStyle name="Normal_NOUVELLES FICHES PRODUCTION POLE TR_FICHES_PROD AU 31-05-2012_LASFAR" xfId="42"/>
    <cellStyle name="Normal_NOUVELLES FICHES PRODUCTION POLE TR_Pôle TR_DET_Fiches prod  invent au 31-05-2012_OKh" xfId="43"/>
    <cellStyle name="Normal_NOUVELLES FICHES PRODUCTION POLE TR_Pôle TR_DET_Fiches prod  invent au 31-12-2011 ST MODIFIE" xfId="44"/>
    <cellStyle name="Normal_Pôle TR_DAR+DET_Fiches prod au 31-12-09" xfId="45"/>
    <cellStyle name="Normal_Pôle TR_DAR+DET_Fiches prod au 31-12-09_FICHES_PROD AU 31-05-2012_LASFAR" xfId="46"/>
    <cellStyle name="Normal_Pôle+TR+-(1).." xfId="47"/>
    <cellStyle name="Normal_Pôle+TR+-(1).._201200568 et 201100722" xfId="62"/>
    <cellStyle name="Normal_Pôle+TR+-(1).._FICHES_PROD AU 31-05-2012_LASFAR" xfId="48"/>
    <cellStyle name="Normal_PRO DET AU 31-12-08" xfId="49"/>
    <cellStyle name="Pourcentage" xfId="78" builtinId="5"/>
    <cellStyle name="Pourcentage 2" xfId="50"/>
    <cellStyle name="Pourcentage 2 2" xfId="63"/>
    <cellStyle name="Pourcentage 2 2 2" xfId="64"/>
    <cellStyle name="Pourcentage 3" xfId="51"/>
  </cellStyles>
  <dxfs count="80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1.xml"/><Relationship Id="rId89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4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7.xml"/><Relationship Id="rId95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7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2.xml"/><Relationship Id="rId93" Type="http://schemas.openxmlformats.org/officeDocument/2006/relationships/externalLink" Target="externalLinks/externalLink10.xml"/><Relationship Id="rId9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5.xml"/><Relationship Id="rId91" Type="http://schemas.openxmlformats.org/officeDocument/2006/relationships/externalLink" Target="externalLinks/externalLink8.xml"/><Relationship Id="rId96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3.xml"/><Relationship Id="rId94" Type="http://schemas.openxmlformats.org/officeDocument/2006/relationships/externalLink" Target="externalLinks/externalLink11.xml"/><Relationship Id="rId99" Type="http://schemas.openxmlformats.org/officeDocument/2006/relationships/externalLink" Target="externalLinks/externalLink16.xml"/><Relationship Id="rId101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4.xml"/><Relationship Id="rId10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504825</xdr:rowOff>
        </xdr:from>
        <xdr:to>
          <xdr:col>1</xdr:col>
          <xdr:colOff>171450</xdr:colOff>
          <xdr:row>1</xdr:row>
          <xdr:rowOff>352425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66675</xdr:rowOff>
        </xdr:from>
        <xdr:to>
          <xdr:col>1</xdr:col>
          <xdr:colOff>171450</xdr:colOff>
          <xdr:row>0</xdr:row>
          <xdr:rowOff>476250</xdr:rowOff>
        </xdr:to>
        <xdr:sp macro="" textlink="">
          <xdr:nvSpPr>
            <xdr:cNvPr id="72706" name="CommandButton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010150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010150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90550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90550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90550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4981575" y="0"/>
          <a:ext cx="590550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010150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010150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010150" y="0"/>
          <a:ext cx="578167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148481" name="Texte 1"/>
        <xdr:cNvSpPr>
          <a:spLocks noChangeArrowheads="1"/>
        </xdr:cNvSpPr>
      </xdr:nvSpPr>
      <xdr:spPr bwMode="auto">
        <a:xfrm>
          <a:off x="4505325" y="0"/>
          <a:ext cx="596265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148481" name="Texte 1"/>
        <xdr:cNvSpPr>
          <a:spLocks noChangeArrowheads="1"/>
        </xdr:cNvSpPr>
      </xdr:nvSpPr>
      <xdr:spPr bwMode="auto">
        <a:xfrm>
          <a:off x="4505325" y="0"/>
          <a:ext cx="596265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3438525" y="0"/>
          <a:ext cx="6791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5467350" y="0"/>
          <a:ext cx="6029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148481" name="Texte 1"/>
        <xdr:cNvSpPr>
          <a:spLocks noChangeArrowheads="1"/>
        </xdr:cNvSpPr>
      </xdr:nvSpPr>
      <xdr:spPr bwMode="auto">
        <a:xfrm>
          <a:off x="4505325" y="0"/>
          <a:ext cx="596265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148481" name="Texte 1"/>
        <xdr:cNvSpPr>
          <a:spLocks noChangeArrowheads="1"/>
        </xdr:cNvSpPr>
      </xdr:nvSpPr>
      <xdr:spPr bwMode="auto">
        <a:xfrm>
          <a:off x="4505325" y="0"/>
          <a:ext cx="596265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3438525" y="0"/>
          <a:ext cx="6791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3438525" y="0"/>
          <a:ext cx="6791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3438525" y="0"/>
          <a:ext cx="6791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80897" name="Texte 1"/>
        <xdr:cNvSpPr>
          <a:spLocks noChangeArrowheads="1"/>
        </xdr:cNvSpPr>
      </xdr:nvSpPr>
      <xdr:spPr bwMode="auto">
        <a:xfrm>
          <a:off x="4505325" y="0"/>
          <a:ext cx="5962650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2" name="Texte 1"/>
        <xdr:cNvSpPr>
          <a:spLocks noChangeArrowheads="1"/>
        </xdr:cNvSpPr>
      </xdr:nvSpPr>
      <xdr:spPr bwMode="auto">
        <a:xfrm>
          <a:off x="3438525" y="0"/>
          <a:ext cx="67913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12</xdr:col>
      <xdr:colOff>171450</xdr:colOff>
      <xdr:row>0</xdr:row>
      <xdr:rowOff>0</xdr:rowOff>
    </xdr:to>
    <xdr:sp macro="" textlink="">
      <xdr:nvSpPr>
        <xdr:cNvPr id="76801" name="Texte 1"/>
        <xdr:cNvSpPr>
          <a:spLocks noChangeArrowheads="1"/>
        </xdr:cNvSpPr>
      </xdr:nvSpPr>
      <xdr:spPr bwMode="auto">
        <a:xfrm>
          <a:off x="4991100" y="0"/>
          <a:ext cx="6067425" cy="0"/>
        </a:xfrm>
        <a:prstGeom prst="roundRect">
          <a:avLst>
            <a:gd name="adj" fmla="val 16667"/>
          </a:avLst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FICHE INVENTAIRE DE PRODUCTION AU 31/12/2001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cien%20PC/D/F/Iliass/Autoroute%20Fes-Taza/Geom%20pr&#233;lim/Data/Etudes/Had%20Swalem%20-%20Tnine%20Chtouka/Hydraulique/Etudes/APCasa/Hydraulique/Calage%20OH/EAUFIT2F.XL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IBTISSAM.ELBARKI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BENSSIED/3-%20DIVISIONS/Production%202008/HAMIMI/carnet%20de%20commande%20source/carnet%20de%20commande%20source%20-TB/MEHDI/Nouveau%20dossier/FICHES%20PRODUCTION%202006/Fiches.deTR2006%20PRO%202006/TEEG-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r\FICHES%20%20PRODUCTION\TR%20def\MEHDI\Nouveau%20dossier\FICHES%20PRODUCTION%202006\Fiches.deTR2006%20PRO%202006\TEEG-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r\Documents%20and%20Settings\jamilae\Mes%20documents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r\Documents%20and%20Settings\IBTISSAM.ELBARKI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jamilae\Mes%20documents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Rapp%20-%20act/Documents%20and%20Settings/jamilae/Mes%20documents/BENSSIED/3-%20DIVISIONS/Production%202008/HAMIMI/carnet%20de%20commande%20source/carnet%20de%20commande%20source%20-TB/MEHDI/Nouveau%20dossier/FICHES%20PRODUCTION%202006/Fiches.deTR2006%20PRO%202006/TEEG-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Desktop/Documents%20and%20Settings/jamilae/Mes%20documents/BENSSIED/3-%20DIVISIONS/Production%202008/HAMIMI/carnet%20de%20commande%20source/carnet%20de%20commande%20source%20-TB/MEHDI/Nouveau%20dossier/FICHES%20PRODUCTION%202006/Fiches.deTR2006%20PRO%202006/TEEG-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FP%2031%2012%2013%20DEF%20TR/Documents%20and%20Settings/IBTISSAM.ELBARKI/BENSSIED/3-%20DIVISIONS/Production%202008/HAMIMI/carnet%20de%20commande%20source/carnet%20de%20commande%20source%20-TB/MEHDI/Nouveau%20dossier/FICHES%20PRODUCTION%202006/Fiches.deTR2006%20PRO%202006/TEEG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PARTAGE/tr/Documents%20and%20Settings/jamilae/Mes%20documents/BENSSIED/3-%20DIVISIONS/Production%202008/HAMIMI/carnet%20de%20commande%20source/carnet%20de%20commande%20source%20-TB/MEHDI/Nouveau%20dossier/FICHES%20PRODUCTION%202006/Fiches.deTR2006%20PRO%202006/TEEG-2.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BENSSIED\3-%20DIVISIONS\Production%202008\HAMIMI\carnet%20de%20commande%20source\carnet%20de%20commande%20source%20-TB\MEHDI\Nouveau%20dossier\FICHES%20PRODUCTION%202006\Fiches.deTR2006%20PRO%202006\TEEG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lmuilhi\PARTAGE\BENSSIED\3-%20DIVISIONS\Production%202008\barkan\P&#244;le%20TR%20-%20Div%20RT%20-%20Fiches%20prod%202008%2022-02-09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r\FICHES%20%20PRODUCTION\TR%20def\MEHDI\Nouveau%20dossier\FICHES%20PRODUCTION%202006\Fiches.deTR2006%20PRO%202006\FP-TEEG-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MOUSTAID/Production%20-%20Gestion%20&amp;%20situations/Fiche-%20MOER-Tram-Casa-T2-par%20divis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tilisateur2/Local%20Settings/Temporary%20Internet%20Files/OLK78/AMA%20SYSTRA/AMA%20-%20Suivi%20Dossier/MAROC/MOE%20EF/Offre/Dossier%20Financier%20C/Pricing%20LGV%20KT%20MOE%20EF%2022061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tilisateur2/Local%20Settings/Temporary%20Internet%20Files/OLK78/Documents%20and%20Settings/MOUHCINE.MAAROUFI/Local%20Settings/Temporary%20Internet%20Files/Content.IE5/GSOF5B1W/Pricing%20LGV%20Kenitra%20Tanger%20FCO%2009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utons"/>
      <sheetName val="module_aval"/>
      <sheetName val="fonction"/>
      <sheetName val="Données aval"/>
      <sheetName val="module_ressaut"/>
      <sheetName val="Données ouvrage"/>
      <sheetName val="Module1"/>
      <sheetName val="proc hauteur"/>
      <sheetName val="Module sauver"/>
      <sheetName val="Données Tête"/>
      <sheetName val="Module2"/>
      <sheetName val="EAUFIT2F"/>
    </sheetNames>
    <definedNames>
      <definedName name="[Données aval].Bouton15_QuandClic"/>
      <definedName name="Bouton13_QuandClic"/>
      <definedName name="Bouton27_QuandClic"/>
      <definedName name="Entrée_cote_aval"/>
      <definedName name="Entrée_Rugosité"/>
      <definedName name="Zonecombinée12_QuandChangemen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148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350"/>
      <sheetName val="Récap-TTC"/>
      <sheetName val="Pb-2008"/>
      <sheetName val="Affaires partagées"/>
      <sheetName val="Prod-RT au 31-12-08"/>
      <sheetName val="26635-RT"/>
      <sheetName val="26144-RT"/>
      <sheetName val="27053-RT"/>
      <sheetName val="26263-RT"/>
      <sheetName val="26047-RT"/>
      <sheetName val="21367-RT"/>
      <sheetName val="21512-RT"/>
      <sheetName val="23027-RT"/>
      <sheetName val="23119-RT"/>
      <sheetName val="24385-RT"/>
      <sheetName val="25066-RT"/>
      <sheetName val="25076-RT"/>
      <sheetName val="26086-RT"/>
      <sheetName val="26131-RT"/>
      <sheetName val="26157-RT"/>
      <sheetName val="26286-RT"/>
      <sheetName val="26301-RT"/>
      <sheetName val="26313-RT"/>
      <sheetName val="26314-RT"/>
      <sheetName val="26380-RT"/>
      <sheetName val="26416-RT"/>
      <sheetName val="26421-RT"/>
      <sheetName val="26448-RT"/>
      <sheetName val="26560-RT"/>
      <sheetName val="26574-RT"/>
      <sheetName val="26678-RT"/>
      <sheetName val="26679-RT"/>
      <sheetName val="26697-RT"/>
      <sheetName val="26726-RT"/>
      <sheetName val="27090-RT"/>
      <sheetName val="27111-RT"/>
      <sheetName val="27252-RT"/>
      <sheetName val="27308-RT"/>
      <sheetName val="27310-RT"/>
      <sheetName val="27341-RT"/>
      <sheetName val="27401-RT"/>
      <sheetName val="27408-RT"/>
      <sheetName val="27418-RT"/>
      <sheetName val="27583-RT"/>
      <sheetName val="28052-RT"/>
      <sheetName val="28097-RT"/>
      <sheetName val="28105-RT"/>
      <sheetName val="28286-RT"/>
    </sheetNames>
    <sheetDataSet>
      <sheetData sheetId="0" refreshError="1"/>
      <sheetData sheetId="1" refreshError="1"/>
      <sheetData sheetId="2" refreshError="1"/>
      <sheetData sheetId="3" refreshError="1">
        <row r="2">
          <cell r="A2">
            <v>21287</v>
          </cell>
          <cell r="B2" t="str">
            <v>OA</v>
          </cell>
          <cell r="F2" t="str">
            <v xml:space="preserve">OA </v>
          </cell>
        </row>
        <row r="3">
          <cell r="A3">
            <v>21301</v>
          </cell>
          <cell r="B3" t="str">
            <v>OA</v>
          </cell>
          <cell r="F3" t="str">
            <v xml:space="preserve">OA </v>
          </cell>
        </row>
        <row r="4">
          <cell r="A4">
            <v>21367</v>
          </cell>
          <cell r="E4" t="str">
            <v>RT</v>
          </cell>
          <cell r="F4" t="str">
            <v/>
          </cell>
        </row>
        <row r="5">
          <cell r="A5">
            <v>21461</v>
          </cell>
          <cell r="F5" t="str">
            <v/>
          </cell>
        </row>
        <row r="6">
          <cell r="A6">
            <v>21495</v>
          </cell>
          <cell r="B6" t="str">
            <v>OA</v>
          </cell>
          <cell r="C6" t="str">
            <v>AR</v>
          </cell>
          <cell r="D6" t="str">
            <v>ET</v>
          </cell>
          <cell r="F6" t="str">
            <v xml:space="preserve">OA AR ET </v>
          </cell>
        </row>
        <row r="7">
          <cell r="A7">
            <v>21512</v>
          </cell>
          <cell r="E7" t="str">
            <v>RT</v>
          </cell>
          <cell r="F7" t="str">
            <v/>
          </cell>
        </row>
        <row r="8">
          <cell r="A8">
            <v>22156</v>
          </cell>
          <cell r="B8" t="str">
            <v>OA</v>
          </cell>
          <cell r="F8" t="str">
            <v xml:space="preserve">OA </v>
          </cell>
        </row>
        <row r="9">
          <cell r="A9">
            <v>22291</v>
          </cell>
          <cell r="B9" t="str">
            <v>OA</v>
          </cell>
          <cell r="F9" t="str">
            <v xml:space="preserve">OA </v>
          </cell>
        </row>
        <row r="10">
          <cell r="A10">
            <v>22306</v>
          </cell>
          <cell r="B10" t="str">
            <v>OA</v>
          </cell>
          <cell r="F10" t="str">
            <v xml:space="preserve">OA </v>
          </cell>
        </row>
        <row r="11">
          <cell r="A11">
            <v>23027</v>
          </cell>
          <cell r="E11" t="str">
            <v>RT</v>
          </cell>
          <cell r="F11" t="str">
            <v/>
          </cell>
        </row>
        <row r="12">
          <cell r="A12">
            <v>23031</v>
          </cell>
          <cell r="B12" t="str">
            <v>OA</v>
          </cell>
          <cell r="F12" t="str">
            <v xml:space="preserve">OA </v>
          </cell>
        </row>
        <row r="13">
          <cell r="A13">
            <v>23064</v>
          </cell>
          <cell r="B13" t="str">
            <v>OA</v>
          </cell>
          <cell r="F13" t="str">
            <v xml:space="preserve">OA </v>
          </cell>
        </row>
        <row r="14">
          <cell r="A14">
            <v>23065</v>
          </cell>
          <cell r="B14" t="str">
            <v>OA</v>
          </cell>
          <cell r="F14" t="str">
            <v xml:space="preserve">OA </v>
          </cell>
        </row>
        <row r="15">
          <cell r="A15">
            <v>23089</v>
          </cell>
          <cell r="B15" t="str">
            <v>OA</v>
          </cell>
          <cell r="F15" t="str">
            <v xml:space="preserve">OA </v>
          </cell>
        </row>
        <row r="16">
          <cell r="A16">
            <v>23119</v>
          </cell>
          <cell r="E16" t="str">
            <v>RT</v>
          </cell>
        </row>
        <row r="17">
          <cell r="A17">
            <v>23156</v>
          </cell>
          <cell r="B17" t="str">
            <v>OA</v>
          </cell>
          <cell r="F17" t="str">
            <v xml:space="preserve">OA </v>
          </cell>
        </row>
        <row r="18">
          <cell r="A18">
            <v>23263</v>
          </cell>
          <cell r="B18" t="str">
            <v>OA</v>
          </cell>
          <cell r="F18" t="str">
            <v xml:space="preserve">OA </v>
          </cell>
        </row>
        <row r="19">
          <cell r="A19">
            <v>23264</v>
          </cell>
          <cell r="B19" t="str">
            <v>OA</v>
          </cell>
          <cell r="F19" t="str">
            <v xml:space="preserve">OA </v>
          </cell>
        </row>
        <row r="20">
          <cell r="A20">
            <v>23310</v>
          </cell>
          <cell r="C20" t="str">
            <v>AR</v>
          </cell>
          <cell r="F20" t="str">
            <v xml:space="preserve">AR </v>
          </cell>
        </row>
        <row r="21">
          <cell r="A21">
            <v>23359</v>
          </cell>
          <cell r="B21" t="str">
            <v>OA</v>
          </cell>
          <cell r="F21" t="str">
            <v xml:space="preserve">OA </v>
          </cell>
        </row>
        <row r="22">
          <cell r="A22">
            <v>23451</v>
          </cell>
          <cell r="B22" t="str">
            <v>OA</v>
          </cell>
          <cell r="F22" t="str">
            <v xml:space="preserve">OA </v>
          </cell>
        </row>
        <row r="23">
          <cell r="A23">
            <v>24193</v>
          </cell>
          <cell r="F23" t="str">
            <v/>
          </cell>
        </row>
        <row r="24">
          <cell r="A24">
            <v>24305</v>
          </cell>
          <cell r="B24" t="str">
            <v>OA</v>
          </cell>
          <cell r="F24" t="str">
            <v xml:space="preserve">OA </v>
          </cell>
        </row>
        <row r="25">
          <cell r="A25">
            <v>24345</v>
          </cell>
          <cell r="D25" t="str">
            <v>ET</v>
          </cell>
          <cell r="F25" t="str">
            <v xml:space="preserve">ET </v>
          </cell>
        </row>
        <row r="26">
          <cell r="A26">
            <v>24385</v>
          </cell>
          <cell r="E26" t="str">
            <v>RT</v>
          </cell>
          <cell r="F26" t="str">
            <v/>
          </cell>
        </row>
        <row r="27">
          <cell r="A27">
            <v>24480</v>
          </cell>
          <cell r="C27" t="str">
            <v>AR</v>
          </cell>
          <cell r="F27" t="str">
            <v xml:space="preserve">AR </v>
          </cell>
        </row>
        <row r="28">
          <cell r="A28">
            <v>25046</v>
          </cell>
          <cell r="C28" t="str">
            <v>AR</v>
          </cell>
          <cell r="F28" t="str">
            <v xml:space="preserve">AR </v>
          </cell>
        </row>
        <row r="29">
          <cell r="A29">
            <v>25066</v>
          </cell>
          <cell r="E29" t="str">
            <v>RT</v>
          </cell>
          <cell r="F29" t="str">
            <v/>
          </cell>
        </row>
        <row r="30">
          <cell r="A30">
            <v>25076</v>
          </cell>
          <cell r="E30" t="str">
            <v>RT</v>
          </cell>
          <cell r="F30" t="str">
            <v/>
          </cell>
        </row>
        <row r="31">
          <cell r="A31">
            <v>25138</v>
          </cell>
          <cell r="C31" t="str">
            <v>AR</v>
          </cell>
          <cell r="D31" t="str">
            <v>ET</v>
          </cell>
          <cell r="F31" t="str">
            <v xml:space="preserve">AR ET </v>
          </cell>
        </row>
        <row r="32">
          <cell r="A32">
            <v>25150</v>
          </cell>
          <cell r="B32" t="str">
            <v>OA</v>
          </cell>
          <cell r="C32" t="str">
            <v>AR</v>
          </cell>
          <cell r="F32" t="str">
            <v xml:space="preserve">OA AR </v>
          </cell>
        </row>
        <row r="33">
          <cell r="A33">
            <v>25320</v>
          </cell>
          <cell r="B33" t="str">
            <v>OA</v>
          </cell>
          <cell r="F33" t="str">
            <v xml:space="preserve">OA </v>
          </cell>
        </row>
        <row r="34">
          <cell r="A34">
            <v>26047</v>
          </cell>
          <cell r="B34" t="str">
            <v>OA</v>
          </cell>
          <cell r="E34" t="str">
            <v>RT</v>
          </cell>
          <cell r="F34" t="str">
            <v xml:space="preserve">OA </v>
          </cell>
        </row>
        <row r="35">
          <cell r="A35">
            <v>26065</v>
          </cell>
          <cell r="C35" t="str">
            <v>AR</v>
          </cell>
          <cell r="D35" t="str">
            <v>ET</v>
          </cell>
          <cell r="F35" t="str">
            <v xml:space="preserve">AR ET </v>
          </cell>
        </row>
        <row r="36">
          <cell r="A36">
            <v>26069</v>
          </cell>
          <cell r="B36" t="str">
            <v>OA</v>
          </cell>
          <cell r="C36" t="str">
            <v>AR</v>
          </cell>
          <cell r="F36" t="str">
            <v xml:space="preserve">OA AR </v>
          </cell>
        </row>
        <row r="37">
          <cell r="A37">
            <v>26086</v>
          </cell>
          <cell r="E37" t="str">
            <v>RT</v>
          </cell>
          <cell r="F37" t="str">
            <v/>
          </cell>
        </row>
        <row r="38">
          <cell r="A38">
            <v>26096</v>
          </cell>
          <cell r="D38" t="str">
            <v>ET</v>
          </cell>
          <cell r="F38" t="str">
            <v xml:space="preserve">ET </v>
          </cell>
        </row>
        <row r="39">
          <cell r="A39">
            <v>26131</v>
          </cell>
          <cell r="E39" t="str">
            <v>RT</v>
          </cell>
          <cell r="F39" t="str">
            <v/>
          </cell>
        </row>
        <row r="40">
          <cell r="A40">
            <v>26139</v>
          </cell>
          <cell r="B40" t="str">
            <v>OA</v>
          </cell>
          <cell r="C40" t="str">
            <v>AR</v>
          </cell>
          <cell r="F40" t="str">
            <v xml:space="preserve">OA AR </v>
          </cell>
        </row>
        <row r="41">
          <cell r="A41">
            <v>26144</v>
          </cell>
          <cell r="B41" t="str">
            <v>OA</v>
          </cell>
          <cell r="E41" t="str">
            <v>RT</v>
          </cell>
          <cell r="F41" t="str">
            <v xml:space="preserve">OA </v>
          </cell>
        </row>
        <row r="42">
          <cell r="A42">
            <v>26157</v>
          </cell>
          <cell r="E42" t="str">
            <v>RT</v>
          </cell>
          <cell r="F42" t="str">
            <v/>
          </cell>
        </row>
        <row r="43">
          <cell r="A43">
            <v>26163</v>
          </cell>
          <cell r="B43" t="str">
            <v>OA</v>
          </cell>
          <cell r="F43" t="str">
            <v xml:space="preserve">OA </v>
          </cell>
        </row>
        <row r="44">
          <cell r="A44">
            <v>26229</v>
          </cell>
          <cell r="B44" t="str">
            <v>OA</v>
          </cell>
          <cell r="F44" t="str">
            <v xml:space="preserve">OA </v>
          </cell>
        </row>
        <row r="45">
          <cell r="A45">
            <v>26263</v>
          </cell>
          <cell r="D45" t="str">
            <v>ET</v>
          </cell>
          <cell r="E45" t="str">
            <v>RT</v>
          </cell>
          <cell r="F45" t="str">
            <v xml:space="preserve">ET </v>
          </cell>
        </row>
        <row r="46">
          <cell r="A46">
            <v>26286</v>
          </cell>
          <cell r="B46" t="str">
            <v>OA</v>
          </cell>
          <cell r="E46" t="str">
            <v>RT</v>
          </cell>
          <cell r="F46" t="str">
            <v xml:space="preserve">OA </v>
          </cell>
        </row>
        <row r="47">
          <cell r="A47">
            <v>26301</v>
          </cell>
          <cell r="E47" t="str">
            <v>RT</v>
          </cell>
          <cell r="F47" t="str">
            <v/>
          </cell>
        </row>
        <row r="48">
          <cell r="A48">
            <v>26313</v>
          </cell>
          <cell r="E48" t="str">
            <v>RT</v>
          </cell>
          <cell r="F48" t="str">
            <v/>
          </cell>
        </row>
        <row r="49">
          <cell r="A49">
            <v>26314</v>
          </cell>
          <cell r="E49" t="str">
            <v>RT</v>
          </cell>
          <cell r="F49" t="str">
            <v/>
          </cell>
        </row>
        <row r="50">
          <cell r="A50">
            <v>26317</v>
          </cell>
          <cell r="C50" t="str">
            <v>AR</v>
          </cell>
          <cell r="D50" t="str">
            <v>ET</v>
          </cell>
          <cell r="F50" t="str">
            <v xml:space="preserve">AR ET </v>
          </cell>
        </row>
        <row r="51">
          <cell r="A51">
            <v>26337</v>
          </cell>
          <cell r="B51" t="str">
            <v>OA</v>
          </cell>
          <cell r="F51" t="str">
            <v xml:space="preserve">OA </v>
          </cell>
        </row>
        <row r="52">
          <cell r="A52">
            <v>26360</v>
          </cell>
          <cell r="B52" t="str">
            <v>OA</v>
          </cell>
          <cell r="F52" t="str">
            <v xml:space="preserve">OA </v>
          </cell>
        </row>
        <row r="53">
          <cell r="A53">
            <v>26361</v>
          </cell>
          <cell r="B53" t="str">
            <v>OA</v>
          </cell>
          <cell r="F53" t="str">
            <v xml:space="preserve">OA </v>
          </cell>
        </row>
        <row r="54">
          <cell r="A54">
            <v>26380</v>
          </cell>
          <cell r="E54" t="str">
            <v>RT</v>
          </cell>
          <cell r="F54" t="str">
            <v/>
          </cell>
        </row>
        <row r="55">
          <cell r="A55">
            <v>26416</v>
          </cell>
          <cell r="E55" t="str">
            <v>RT</v>
          </cell>
          <cell r="F55" t="str">
            <v/>
          </cell>
        </row>
        <row r="56">
          <cell r="A56">
            <v>26421</v>
          </cell>
          <cell r="E56" t="str">
            <v>RT</v>
          </cell>
          <cell r="F56" t="str">
            <v/>
          </cell>
        </row>
        <row r="57">
          <cell r="A57">
            <v>26448</v>
          </cell>
          <cell r="E57" t="str">
            <v>RT</v>
          </cell>
          <cell r="F57" t="str">
            <v/>
          </cell>
        </row>
        <row r="58">
          <cell r="A58">
            <v>26451</v>
          </cell>
          <cell r="B58" t="str">
            <v>OA</v>
          </cell>
          <cell r="F58" t="str">
            <v xml:space="preserve">OA </v>
          </cell>
        </row>
        <row r="59">
          <cell r="A59">
            <v>26526</v>
          </cell>
          <cell r="B59" t="str">
            <v>OA</v>
          </cell>
          <cell r="F59" t="str">
            <v xml:space="preserve">OA </v>
          </cell>
        </row>
        <row r="60">
          <cell r="A60">
            <v>26560</v>
          </cell>
          <cell r="B60" t="str">
            <v>OA</v>
          </cell>
          <cell r="E60" t="str">
            <v>RT</v>
          </cell>
          <cell r="F60" t="str">
            <v xml:space="preserve">OA </v>
          </cell>
        </row>
        <row r="61">
          <cell r="A61">
            <v>26574</v>
          </cell>
          <cell r="E61" t="str">
            <v>RT</v>
          </cell>
          <cell r="F61" t="str">
            <v/>
          </cell>
        </row>
        <row r="62">
          <cell r="A62">
            <v>26600</v>
          </cell>
          <cell r="C62" t="str">
            <v>AR</v>
          </cell>
          <cell r="F62" t="str">
            <v xml:space="preserve">AR </v>
          </cell>
        </row>
        <row r="63">
          <cell r="A63">
            <v>26635</v>
          </cell>
          <cell r="D63" t="str">
            <v>ET</v>
          </cell>
          <cell r="E63" t="str">
            <v>RT</v>
          </cell>
          <cell r="F63" t="str">
            <v xml:space="preserve">ET </v>
          </cell>
        </row>
        <row r="64">
          <cell r="A64">
            <v>26678</v>
          </cell>
          <cell r="E64" t="str">
            <v>RT</v>
          </cell>
          <cell r="F64" t="str">
            <v/>
          </cell>
        </row>
        <row r="65">
          <cell r="A65">
            <v>26679</v>
          </cell>
          <cell r="E65" t="str">
            <v>RT</v>
          </cell>
          <cell r="F65" t="str">
            <v/>
          </cell>
        </row>
        <row r="66">
          <cell r="A66">
            <v>26687</v>
          </cell>
          <cell r="C66" t="str">
            <v>AR</v>
          </cell>
          <cell r="F66" t="str">
            <v xml:space="preserve">AR </v>
          </cell>
        </row>
        <row r="67">
          <cell r="A67">
            <v>26697</v>
          </cell>
          <cell r="E67" t="str">
            <v>RT</v>
          </cell>
          <cell r="F67" t="str">
            <v/>
          </cell>
        </row>
        <row r="68">
          <cell r="A68">
            <v>26726</v>
          </cell>
          <cell r="B68" t="str">
            <v>OA</v>
          </cell>
          <cell r="E68" t="str">
            <v>RT</v>
          </cell>
          <cell r="F68" t="str">
            <v xml:space="preserve">OA </v>
          </cell>
        </row>
        <row r="69">
          <cell r="A69">
            <v>26736</v>
          </cell>
          <cell r="B69" t="str">
            <v>OA</v>
          </cell>
          <cell r="F69" t="str">
            <v xml:space="preserve">OA </v>
          </cell>
        </row>
        <row r="70">
          <cell r="A70">
            <v>27053</v>
          </cell>
          <cell r="B70" t="str">
            <v>OA</v>
          </cell>
          <cell r="D70" t="str">
            <v>ET</v>
          </cell>
          <cell r="E70" t="str">
            <v>RT</v>
          </cell>
          <cell r="F70" t="str">
            <v xml:space="preserve">OA ET </v>
          </cell>
        </row>
        <row r="71">
          <cell r="A71">
            <v>27061</v>
          </cell>
          <cell r="D71" t="str">
            <v>ET</v>
          </cell>
          <cell r="F71" t="str">
            <v xml:space="preserve">ET </v>
          </cell>
        </row>
        <row r="72">
          <cell r="A72">
            <v>27090</v>
          </cell>
          <cell r="E72" t="str">
            <v>RT</v>
          </cell>
          <cell r="F72" t="str">
            <v/>
          </cell>
        </row>
        <row r="73">
          <cell r="A73">
            <v>27111</v>
          </cell>
          <cell r="E73" t="str">
            <v>RT</v>
          </cell>
          <cell r="F73" t="str">
            <v/>
          </cell>
        </row>
        <row r="74">
          <cell r="A74">
            <v>27252</v>
          </cell>
          <cell r="D74" t="str">
            <v>ET</v>
          </cell>
          <cell r="E74" t="str">
            <v>RT</v>
          </cell>
          <cell r="F74" t="str">
            <v xml:space="preserve">ET </v>
          </cell>
        </row>
        <row r="75">
          <cell r="A75">
            <v>27308</v>
          </cell>
          <cell r="E75" t="str">
            <v>RT</v>
          </cell>
          <cell r="F75" t="str">
            <v/>
          </cell>
        </row>
        <row r="76">
          <cell r="A76">
            <v>27310</v>
          </cell>
          <cell r="B76" t="str">
            <v>OA</v>
          </cell>
          <cell r="E76" t="str">
            <v>RT</v>
          </cell>
          <cell r="F76" t="str">
            <v xml:space="preserve">OA </v>
          </cell>
        </row>
        <row r="77">
          <cell r="A77">
            <v>27341</v>
          </cell>
          <cell r="E77" t="str">
            <v>RT</v>
          </cell>
          <cell r="F77" t="str">
            <v/>
          </cell>
        </row>
        <row r="78">
          <cell r="A78">
            <v>27401</v>
          </cell>
          <cell r="E78" t="str">
            <v>RT</v>
          </cell>
          <cell r="F78" t="str">
            <v/>
          </cell>
        </row>
        <row r="79">
          <cell r="A79">
            <v>27408</v>
          </cell>
          <cell r="E79" t="str">
            <v>RT</v>
          </cell>
          <cell r="F79" t="str">
            <v/>
          </cell>
        </row>
        <row r="80">
          <cell r="A80">
            <v>27418</v>
          </cell>
          <cell r="E80" t="str">
            <v>RT</v>
          </cell>
          <cell r="F80" t="str">
            <v/>
          </cell>
        </row>
        <row r="81">
          <cell r="A81">
            <v>27583</v>
          </cell>
          <cell r="B81" t="str">
            <v>OA</v>
          </cell>
          <cell r="E81" t="str">
            <v>RT</v>
          </cell>
          <cell r="F81" t="str">
            <v xml:space="preserve">OA </v>
          </cell>
        </row>
        <row r="82">
          <cell r="A82">
            <v>27613</v>
          </cell>
          <cell r="D82" t="str">
            <v>ET</v>
          </cell>
          <cell r="F82" t="str">
            <v xml:space="preserve">ET </v>
          </cell>
        </row>
        <row r="83">
          <cell r="A83">
            <v>27673</v>
          </cell>
          <cell r="C83" t="str">
            <v>AR</v>
          </cell>
          <cell r="D83" t="str">
            <v>ET</v>
          </cell>
          <cell r="F83" t="str">
            <v xml:space="preserve">AR ET </v>
          </cell>
        </row>
        <row r="84">
          <cell r="A84">
            <v>28027</v>
          </cell>
          <cell r="C84" t="str">
            <v>AR</v>
          </cell>
          <cell r="D84" t="str">
            <v>ET</v>
          </cell>
          <cell r="F84" t="str">
            <v xml:space="preserve">AR ET </v>
          </cell>
        </row>
        <row r="85">
          <cell r="A85">
            <v>28052</v>
          </cell>
          <cell r="E85" t="str">
            <v>RT</v>
          </cell>
          <cell r="F85" t="str">
            <v/>
          </cell>
        </row>
        <row r="86">
          <cell r="A86">
            <v>28097</v>
          </cell>
          <cell r="E86" t="str">
            <v>RT</v>
          </cell>
          <cell r="F86" t="str">
            <v/>
          </cell>
        </row>
        <row r="87">
          <cell r="A87">
            <v>28105</v>
          </cell>
          <cell r="E87" t="str">
            <v>RT</v>
          </cell>
          <cell r="F87" t="str">
            <v/>
          </cell>
        </row>
        <row r="88">
          <cell r="A88">
            <v>28106</v>
          </cell>
          <cell r="B88" t="str">
            <v>OA</v>
          </cell>
          <cell r="F88" t="str">
            <v xml:space="preserve">OA </v>
          </cell>
        </row>
        <row r="89">
          <cell r="A89">
            <v>28147</v>
          </cell>
          <cell r="B89" t="str">
            <v>OA</v>
          </cell>
          <cell r="C89" t="str">
            <v>AR</v>
          </cell>
          <cell r="F89" t="str">
            <v xml:space="preserve">OA AR </v>
          </cell>
        </row>
        <row r="90">
          <cell r="A90">
            <v>28177</v>
          </cell>
          <cell r="B90" t="str">
            <v>OA</v>
          </cell>
          <cell r="C90" t="str">
            <v>AR</v>
          </cell>
          <cell r="F90" t="str">
            <v xml:space="preserve">OA AR </v>
          </cell>
        </row>
        <row r="91">
          <cell r="A91">
            <v>28234</v>
          </cell>
          <cell r="B91" t="str">
            <v>OA</v>
          </cell>
          <cell r="F91" t="str">
            <v xml:space="preserve">OA </v>
          </cell>
        </row>
        <row r="92">
          <cell r="A92">
            <v>28237</v>
          </cell>
          <cell r="B92" t="str">
            <v>OA</v>
          </cell>
          <cell r="F92" t="str">
            <v xml:space="preserve">OA </v>
          </cell>
        </row>
        <row r="93">
          <cell r="A93">
            <v>28241</v>
          </cell>
          <cell r="D93" t="str">
            <v>ET</v>
          </cell>
          <cell r="F93" t="str">
            <v xml:space="preserve">ET </v>
          </cell>
        </row>
        <row r="94">
          <cell r="A94">
            <v>28286</v>
          </cell>
          <cell r="B94" t="str">
            <v>OA</v>
          </cell>
          <cell r="E94" t="str">
            <v>RT</v>
          </cell>
          <cell r="F94" t="str">
            <v xml:space="preserve">OA </v>
          </cell>
        </row>
        <row r="95">
          <cell r="A95">
            <v>28304</v>
          </cell>
          <cell r="D95" t="str">
            <v>ET</v>
          </cell>
          <cell r="F95" t="str">
            <v xml:space="preserve">ET </v>
          </cell>
        </row>
        <row r="96">
          <cell r="A96">
            <v>28361</v>
          </cell>
          <cell r="D96" t="str">
            <v>ET</v>
          </cell>
          <cell r="F96" t="str">
            <v xml:space="preserve">ET </v>
          </cell>
        </row>
        <row r="97">
          <cell r="A97">
            <v>28365</v>
          </cell>
          <cell r="D97" t="str">
            <v>ET</v>
          </cell>
          <cell r="F97" t="str">
            <v xml:space="preserve">ET </v>
          </cell>
        </row>
        <row r="98">
          <cell r="A98">
            <v>28378</v>
          </cell>
          <cell r="D98" t="str">
            <v>ET</v>
          </cell>
          <cell r="F98" t="str">
            <v xml:space="preserve">ET </v>
          </cell>
        </row>
        <row r="99">
          <cell r="A99">
            <v>28403</v>
          </cell>
          <cell r="B99" t="str">
            <v>OA</v>
          </cell>
          <cell r="F99" t="str">
            <v xml:space="preserve">OA </v>
          </cell>
        </row>
        <row r="100">
          <cell r="A100">
            <v>28408</v>
          </cell>
          <cell r="B100" t="str">
            <v>OA</v>
          </cell>
          <cell r="F100" t="str">
            <v xml:space="preserve">OA </v>
          </cell>
        </row>
        <row r="101">
          <cell r="A101">
            <v>28500</v>
          </cell>
          <cell r="C101" t="str">
            <v>AR</v>
          </cell>
          <cell r="F101" t="str">
            <v xml:space="preserve">AR </v>
          </cell>
        </row>
        <row r="102">
          <cell r="A102">
            <v>28623</v>
          </cell>
          <cell r="B102" t="str">
            <v>OA</v>
          </cell>
          <cell r="F102" t="str">
            <v xml:space="preserve">OA </v>
          </cell>
        </row>
        <row r="103">
          <cell r="A103">
            <v>28624</v>
          </cell>
          <cell r="B103" t="str">
            <v>OA</v>
          </cell>
          <cell r="F103" t="str">
            <v xml:space="preserve">OA </v>
          </cell>
        </row>
        <row r="104">
          <cell r="A104">
            <v>28640</v>
          </cell>
          <cell r="B104" t="str">
            <v>OA</v>
          </cell>
          <cell r="F104" t="str">
            <v xml:space="preserve">OA </v>
          </cell>
        </row>
        <row r="105">
          <cell r="A105">
            <v>28724</v>
          </cell>
          <cell r="D105" t="str">
            <v>ET</v>
          </cell>
          <cell r="F105" t="str">
            <v xml:space="preserve">ET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3001"/>
      <sheetName val="93003"/>
      <sheetName val="93012"/>
      <sheetName val="93013"/>
      <sheetName val="93014"/>
      <sheetName val="93026"/>
      <sheetName val="90030"/>
      <sheetName val="93033"/>
      <sheetName val="93039"/>
      <sheetName val="93042"/>
      <sheetName val="93047"/>
      <sheetName val="93055"/>
      <sheetName val="93064"/>
      <sheetName val="93070"/>
      <sheetName val="93071"/>
      <sheetName val="93091"/>
      <sheetName val="93095"/>
      <sheetName val="93098"/>
      <sheetName val="93100"/>
      <sheetName val="93107"/>
      <sheetName val="93113"/>
      <sheetName val="93115"/>
      <sheetName val="93119"/>
      <sheetName val="93129"/>
      <sheetName val="93130"/>
      <sheetName val="93132"/>
      <sheetName val="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3">
          <cell r="A3" t="str">
            <v>DEPARTEMENT : TR</v>
          </cell>
        </row>
        <row r="4">
          <cell r="E4" t="str">
            <v>LIBELLE :</v>
          </cell>
          <cell r="F4" t="str">
            <v>Assistance autoroute Rabat - Larache</v>
          </cell>
          <cell r="G4" t="str">
            <v>LIBELLE :</v>
          </cell>
          <cell r="H4" t="str">
            <v>Assistance autoroute Rabat - Larache</v>
          </cell>
        </row>
        <row r="5">
          <cell r="A5" t="str">
            <v>CODE N°   : 93119</v>
          </cell>
        </row>
        <row r="7">
          <cell r="A7" t="str">
            <v>MISSION</v>
          </cell>
          <cell r="B7" t="str">
            <v>PRIX TTC</v>
          </cell>
          <cell r="C7" t="str">
            <v xml:space="preserve">QUOTE-PART </v>
          </cell>
          <cell r="D7" t="str">
            <v xml:space="preserve">   SOUS TRAITANCE</v>
          </cell>
          <cell r="F7" t="str">
            <v xml:space="preserve">  MISS. AYANT FAIT L'OBJET</v>
          </cell>
          <cell r="H7" t="str">
            <v>MISS. N'AYANT</v>
          </cell>
        </row>
        <row r="8">
          <cell r="C8" t="str">
            <v>CID</v>
          </cell>
          <cell r="F8" t="str">
            <v xml:space="preserve">  DE LA REMISE D'1 RAPPORT</v>
          </cell>
          <cell r="H8" t="str">
            <v>PAS FAIT</v>
          </cell>
          <cell r="K8" t="str">
            <v>VALEUR</v>
          </cell>
          <cell r="N8" t="str">
            <v>COMPTE</v>
          </cell>
          <cell r="O8" t="str">
            <v>CARNET</v>
          </cell>
        </row>
        <row r="9">
          <cell r="H9" t="str">
            <v>L'OBJET DE LA</v>
          </cell>
          <cell r="I9" t="str">
            <v>TOTAL</v>
          </cell>
          <cell r="J9" t="str">
            <v>MISS. NON</v>
          </cell>
          <cell r="K9" t="str">
            <v>S. TRAITANCE</v>
          </cell>
          <cell r="L9" t="str">
            <v>FACTURATION</v>
          </cell>
          <cell r="M9" t="str">
            <v>ENCAISSEMENTS</v>
          </cell>
          <cell r="N9" t="str">
            <v>CLIENT</v>
          </cell>
          <cell r="O9" t="str">
            <v>DE</v>
          </cell>
        </row>
        <row r="10">
          <cell r="D10" t="str">
            <v>VAL. GLOBALE</v>
          </cell>
          <cell r="E10" t="str">
            <v>S. TRAITANT</v>
          </cell>
          <cell r="F10" t="str">
            <v>TOTAL MISS.</v>
          </cell>
          <cell r="G10" t="str">
            <v>RESTE A ENGAGER</v>
          </cell>
          <cell r="H10" t="str">
            <v xml:space="preserve">REMISE D'1 </v>
          </cell>
          <cell r="I10" t="str">
            <v>(7)-(8)+(9)</v>
          </cell>
          <cell r="J10" t="str">
            <v>ENTAMEES</v>
          </cell>
          <cell r="K10" t="str">
            <v>CONSOMMEE</v>
          </cell>
          <cell r="O10" t="str">
            <v>COMMANDE</v>
          </cell>
        </row>
        <row r="11">
          <cell r="G11" t="str">
            <v>POUR RAPP. DEF.</v>
          </cell>
          <cell r="H11" t="str">
            <v>RAPPORT</v>
          </cell>
        </row>
        <row r="12">
          <cell r="A12" t="str">
            <v>(2)</v>
          </cell>
          <cell r="B12" t="str">
            <v>(3)</v>
          </cell>
          <cell r="C12" t="str">
            <v>(4)</v>
          </cell>
          <cell r="D12" t="str">
            <v>(5)</v>
          </cell>
          <cell r="E12" t="str">
            <v>(6)</v>
          </cell>
          <cell r="F12" t="str">
            <v>(7)</v>
          </cell>
          <cell r="G12" t="str">
            <v>(8)</v>
          </cell>
          <cell r="H12" t="str">
            <v>(9)</v>
          </cell>
          <cell r="I12" t="str">
            <v>(10)</v>
          </cell>
          <cell r="J12" t="str">
            <v>(11)</v>
          </cell>
          <cell r="K12" t="str">
            <v>(12)</v>
          </cell>
          <cell r="L12" t="str">
            <v>(13)</v>
          </cell>
          <cell r="M12" t="str">
            <v>(14)</v>
          </cell>
          <cell r="N12" t="str">
            <v>(15)</v>
          </cell>
          <cell r="O12" t="str">
            <v>(13)</v>
          </cell>
        </row>
        <row r="14">
          <cell r="A14" t="str">
            <v>ANNEE 93</v>
          </cell>
          <cell r="B14">
            <v>82279.58</v>
          </cell>
          <cell r="C14">
            <v>82279.58</v>
          </cell>
          <cell r="F14">
            <v>82279.58</v>
          </cell>
          <cell r="I14">
            <v>82279.58</v>
          </cell>
          <cell r="L14">
            <v>82279.58</v>
          </cell>
          <cell r="M14">
            <v>82279.58</v>
          </cell>
          <cell r="N14">
            <v>0</v>
          </cell>
        </row>
        <row r="15">
          <cell r="I15">
            <v>0</v>
          </cell>
        </row>
        <row r="16">
          <cell r="A16" t="str">
            <v>ANNEE 94</v>
          </cell>
          <cell r="B16">
            <v>621127.37</v>
          </cell>
          <cell r="C16">
            <v>621127.37</v>
          </cell>
          <cell r="F16">
            <v>621127.37</v>
          </cell>
          <cell r="I16">
            <v>621127.37</v>
          </cell>
          <cell r="L16">
            <v>621127.37</v>
          </cell>
          <cell r="M16">
            <v>621127.37</v>
          </cell>
          <cell r="N16">
            <v>0</v>
          </cell>
        </row>
        <row r="17">
          <cell r="I17">
            <v>0</v>
          </cell>
          <cell r="N17">
            <v>0</v>
          </cell>
        </row>
        <row r="18">
          <cell r="A18" t="str">
            <v>ANNEE 95</v>
          </cell>
          <cell r="B18">
            <v>621452.53</v>
          </cell>
          <cell r="C18">
            <v>621452.53</v>
          </cell>
          <cell r="F18">
            <v>621452.53</v>
          </cell>
          <cell r="I18">
            <v>621452.53</v>
          </cell>
          <cell r="L18">
            <v>621452.53</v>
          </cell>
          <cell r="M18">
            <v>621452.53</v>
          </cell>
          <cell r="N18">
            <v>0</v>
          </cell>
        </row>
        <row r="19">
          <cell r="I19">
            <v>0</v>
          </cell>
          <cell r="N19">
            <v>0</v>
          </cell>
        </row>
        <row r="20">
          <cell r="A20" t="str">
            <v xml:space="preserve">ANNEE 96 </v>
          </cell>
          <cell r="B20">
            <v>725762.97</v>
          </cell>
          <cell r="C20">
            <v>725762.97</v>
          </cell>
          <cell r="F20">
            <v>725762.97</v>
          </cell>
          <cell r="I20">
            <v>725762.97</v>
          </cell>
          <cell r="L20">
            <v>725762.97</v>
          </cell>
          <cell r="M20">
            <v>725762.97</v>
          </cell>
          <cell r="N20">
            <v>0</v>
          </cell>
        </row>
        <row r="21">
          <cell r="I21">
            <v>0</v>
          </cell>
          <cell r="N21">
            <v>0</v>
          </cell>
        </row>
        <row r="22">
          <cell r="A22" t="str">
            <v>ANNEE 97</v>
          </cell>
          <cell r="B22">
            <v>857982.94</v>
          </cell>
          <cell r="C22">
            <v>857983.06</v>
          </cell>
          <cell r="F22">
            <v>857983.06</v>
          </cell>
          <cell r="I22">
            <v>857983.06</v>
          </cell>
          <cell r="L22">
            <v>857983.06</v>
          </cell>
          <cell r="M22">
            <v>857983.06</v>
          </cell>
          <cell r="N22">
            <v>0</v>
          </cell>
        </row>
        <row r="23">
          <cell r="I23">
            <v>0</v>
          </cell>
          <cell r="N23">
            <v>0</v>
          </cell>
        </row>
        <row r="24">
          <cell r="A24" t="str">
            <v>ANNEE 98</v>
          </cell>
          <cell r="B24">
            <v>755292.25</v>
          </cell>
          <cell r="C24">
            <v>755292.25</v>
          </cell>
          <cell r="F24">
            <v>755292.25</v>
          </cell>
          <cell r="I24">
            <v>755292.25</v>
          </cell>
          <cell r="L24">
            <v>755292.25</v>
          </cell>
          <cell r="M24">
            <v>755092.21</v>
          </cell>
          <cell r="N24">
            <v>200.04000000003725</v>
          </cell>
        </row>
        <row r="25">
          <cell r="I25">
            <v>0</v>
          </cell>
        </row>
        <row r="26">
          <cell r="A26" t="str">
            <v>ANNEE 99</v>
          </cell>
          <cell r="B26">
            <v>840000</v>
          </cell>
          <cell r="C26">
            <v>840000</v>
          </cell>
          <cell r="I26">
            <v>0</v>
          </cell>
          <cell r="L26">
            <v>663450.15</v>
          </cell>
          <cell r="M26">
            <v>164429.76000000001</v>
          </cell>
          <cell r="N26">
            <v>499020.39</v>
          </cell>
        </row>
        <row r="27">
          <cell r="I27">
            <v>0</v>
          </cell>
        </row>
        <row r="28">
          <cell r="I28">
            <v>0</v>
          </cell>
        </row>
        <row r="29">
          <cell r="I29">
            <v>0</v>
          </cell>
        </row>
        <row r="30">
          <cell r="I30">
            <v>0</v>
          </cell>
        </row>
        <row r="31">
          <cell r="I31">
            <v>0</v>
          </cell>
        </row>
        <row r="32">
          <cell r="I32">
            <v>0</v>
          </cell>
        </row>
        <row r="33">
          <cell r="I33">
            <v>0</v>
          </cell>
        </row>
        <row r="34">
          <cell r="I34">
            <v>0</v>
          </cell>
        </row>
        <row r="35">
          <cell r="I35">
            <v>0</v>
          </cell>
        </row>
        <row r="36">
          <cell r="A36" t="str">
            <v>TOTAL</v>
          </cell>
          <cell r="B36">
            <v>4503897.6399999997</v>
          </cell>
          <cell r="C36">
            <v>4503897.76</v>
          </cell>
          <cell r="D36">
            <v>0</v>
          </cell>
          <cell r="E36">
            <v>0</v>
          </cell>
          <cell r="F36">
            <v>3663897.76</v>
          </cell>
          <cell r="G36">
            <v>0</v>
          </cell>
          <cell r="H36">
            <v>0</v>
          </cell>
          <cell r="I36">
            <v>3663897.76</v>
          </cell>
          <cell r="J36">
            <v>0</v>
          </cell>
          <cell r="K36">
            <v>0</v>
          </cell>
          <cell r="L36">
            <v>4327347.91</v>
          </cell>
          <cell r="M36">
            <v>3828127.4799999995</v>
          </cell>
          <cell r="N36">
            <v>499220.43000000005</v>
          </cell>
          <cell r="O36">
            <v>840000</v>
          </cell>
        </row>
      </sheetData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partition budget group_pôles"/>
      <sheetName val="Tram CID"/>
      <sheetName val="Tram-Tr"/>
      <sheetName val="201500445-DRT"/>
      <sheetName val="201500445-DET"/>
      <sheetName val="201500445-DOA"/>
    </sheetNames>
    <sheetDataSet>
      <sheetData sheetId="0" refreshError="1"/>
      <sheetData sheetId="1"/>
      <sheetData sheetId="2">
        <row r="77">
          <cell r="M77">
            <v>5502376.9553939998</v>
          </cell>
        </row>
      </sheetData>
      <sheetData sheetId="3" refreshError="1"/>
      <sheetData sheetId="4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nthèse"/>
      <sheetName val="Actions"/>
      <sheetName val="FIN"/>
      <sheetName val="MO"/>
      <sheetName val="CD LD"/>
      <sheetName val="Frais"/>
      <sheetName val="Missions"/>
      <sheetName val="H.m"/>
      <sheetName val="SynMO"/>
      <sheetName val="Synt MO"/>
      <sheetName val="Prix"/>
      <sheetName val="SSD"/>
      <sheetName val="Tres"/>
      <sheetName val="B1 Cg"/>
      <sheetName val="B1 G"/>
      <sheetName val="C1"/>
      <sheetName val="C2"/>
      <sheetName val="C2L"/>
      <sheetName val="C3L"/>
      <sheetName val="C3"/>
      <sheetName val="C4"/>
      <sheetName val="Exigen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83">
          <cell r="O183" t="str">
            <v>EUR</v>
          </cell>
          <cell r="P183" t="str">
            <v>€</v>
          </cell>
          <cell r="Q183" t="str">
            <v>euros</v>
          </cell>
          <cell r="R183" t="str">
            <v>centimes</v>
          </cell>
        </row>
        <row r="184">
          <cell r="O184" t="str">
            <v>GBP</v>
          </cell>
          <cell r="P184" t="str">
            <v>£</v>
          </cell>
          <cell r="Q184" t="str">
            <v>livres</v>
          </cell>
          <cell r="R184" t="str">
            <v>cents</v>
          </cell>
        </row>
        <row r="185">
          <cell r="O185" t="str">
            <v>MAD</v>
          </cell>
          <cell r="P185" t="str">
            <v>Dh</v>
          </cell>
          <cell r="Q185" t="str">
            <v>dirhams</v>
          </cell>
          <cell r="R185" t="str">
            <v>centimes</v>
          </cell>
        </row>
        <row r="186">
          <cell r="O186" t="str">
            <v>USD</v>
          </cell>
          <cell r="P186" t="str">
            <v>$</v>
          </cell>
          <cell r="Q186" t="str">
            <v>dollards</v>
          </cell>
          <cell r="R186" t="str">
            <v>cents</v>
          </cell>
        </row>
        <row r="196">
          <cell r="O196">
            <v>1</v>
          </cell>
          <cell r="P196" t="str">
            <v>Un</v>
          </cell>
          <cell r="Q196" t="str">
            <v>un</v>
          </cell>
        </row>
        <row r="197">
          <cell r="O197">
            <v>2</v>
          </cell>
          <cell r="P197" t="str">
            <v>Deux</v>
          </cell>
          <cell r="Q197" t="str">
            <v>deux</v>
          </cell>
        </row>
        <row r="198">
          <cell r="O198">
            <v>3</v>
          </cell>
          <cell r="P198" t="str">
            <v>Trois</v>
          </cell>
          <cell r="Q198" t="str">
            <v>trois</v>
          </cell>
        </row>
        <row r="199">
          <cell r="O199">
            <v>4</v>
          </cell>
          <cell r="P199" t="str">
            <v>Quatre</v>
          </cell>
          <cell r="Q199" t="str">
            <v>quatre</v>
          </cell>
        </row>
        <row r="200">
          <cell r="O200">
            <v>5</v>
          </cell>
          <cell r="P200" t="str">
            <v>Cinq</v>
          </cell>
          <cell r="Q200" t="str">
            <v>cinq</v>
          </cell>
        </row>
        <row r="201">
          <cell r="O201">
            <v>6</v>
          </cell>
          <cell r="P201" t="str">
            <v>Six</v>
          </cell>
          <cell r="Q201" t="str">
            <v>six</v>
          </cell>
        </row>
        <row r="202">
          <cell r="O202">
            <v>7</v>
          </cell>
          <cell r="P202" t="str">
            <v>Sept</v>
          </cell>
          <cell r="Q202" t="str">
            <v>sept</v>
          </cell>
        </row>
        <row r="203">
          <cell r="O203">
            <v>8</v>
          </cell>
          <cell r="P203" t="str">
            <v>Huit</v>
          </cell>
          <cell r="Q203" t="str">
            <v>huit</v>
          </cell>
        </row>
        <row r="204">
          <cell r="O204">
            <v>9</v>
          </cell>
          <cell r="P204" t="str">
            <v>Neuf</v>
          </cell>
          <cell r="Q204" t="str">
            <v>neuf</v>
          </cell>
        </row>
        <row r="205">
          <cell r="O205">
            <v>10</v>
          </cell>
          <cell r="P205" t="str">
            <v>Dix</v>
          </cell>
          <cell r="Q205" t="str">
            <v>dix</v>
          </cell>
        </row>
        <row r="206">
          <cell r="O206">
            <v>11</v>
          </cell>
          <cell r="P206" t="str">
            <v>Onze</v>
          </cell>
          <cell r="Q206" t="str">
            <v>onze</v>
          </cell>
        </row>
        <row r="207">
          <cell r="O207">
            <v>12</v>
          </cell>
          <cell r="P207" t="str">
            <v>Douze</v>
          </cell>
          <cell r="Q207" t="str">
            <v>douze</v>
          </cell>
        </row>
        <row r="208">
          <cell r="O208">
            <v>13</v>
          </cell>
          <cell r="P208" t="str">
            <v>Treize</v>
          </cell>
          <cell r="Q208" t="str">
            <v>treize</v>
          </cell>
        </row>
        <row r="209">
          <cell r="O209">
            <v>14</v>
          </cell>
          <cell r="P209" t="str">
            <v>Quatorze</v>
          </cell>
          <cell r="Q209" t="str">
            <v>quatorze</v>
          </cell>
        </row>
        <row r="210">
          <cell r="O210">
            <v>15</v>
          </cell>
          <cell r="P210" t="str">
            <v>Quinze</v>
          </cell>
          <cell r="Q210" t="str">
            <v>quinze</v>
          </cell>
        </row>
        <row r="211">
          <cell r="O211">
            <v>16</v>
          </cell>
          <cell r="P211" t="str">
            <v>Seize</v>
          </cell>
          <cell r="Q211" t="str">
            <v>seize</v>
          </cell>
        </row>
        <row r="212">
          <cell r="O212">
            <v>17</v>
          </cell>
          <cell r="P212" t="str">
            <v>Dix-sept</v>
          </cell>
          <cell r="Q212" t="str">
            <v>dix-sept</v>
          </cell>
        </row>
        <row r="213">
          <cell r="O213">
            <v>18</v>
          </cell>
          <cell r="P213" t="str">
            <v>Dix-huit</v>
          </cell>
          <cell r="Q213" t="str">
            <v>dix-huit</v>
          </cell>
        </row>
        <row r="214">
          <cell r="O214">
            <v>19</v>
          </cell>
          <cell r="P214" t="str">
            <v>Dix-neuf</v>
          </cell>
          <cell r="Q214" t="str">
            <v>dix-neuf</v>
          </cell>
        </row>
        <row r="215">
          <cell r="O215">
            <v>20</v>
          </cell>
          <cell r="P215" t="str">
            <v>Vingt</v>
          </cell>
          <cell r="Q215" t="str">
            <v>vingt</v>
          </cell>
        </row>
        <row r="216">
          <cell r="O216">
            <v>21</v>
          </cell>
          <cell r="P216" t="str">
            <v>Vingt et un</v>
          </cell>
          <cell r="Q216" t="str">
            <v>vingt et un</v>
          </cell>
        </row>
        <row r="217">
          <cell r="O217">
            <v>22</v>
          </cell>
          <cell r="P217" t="str">
            <v>Vingt-deux</v>
          </cell>
          <cell r="Q217" t="str">
            <v>vingt-deux</v>
          </cell>
        </row>
        <row r="218">
          <cell r="O218">
            <v>23</v>
          </cell>
          <cell r="P218" t="str">
            <v>Vingt-trois</v>
          </cell>
          <cell r="Q218" t="str">
            <v>vingt-trois</v>
          </cell>
        </row>
        <row r="219">
          <cell r="O219">
            <v>24</v>
          </cell>
          <cell r="P219" t="str">
            <v>Vingt-quatre</v>
          </cell>
          <cell r="Q219" t="str">
            <v>vingt-quatre</v>
          </cell>
        </row>
        <row r="220">
          <cell r="O220">
            <v>25</v>
          </cell>
          <cell r="P220" t="str">
            <v>Vingt-cinq</v>
          </cell>
          <cell r="Q220" t="str">
            <v>vingt-cinq</v>
          </cell>
        </row>
        <row r="221">
          <cell r="O221">
            <v>26</v>
          </cell>
          <cell r="P221" t="str">
            <v>Vingt-six</v>
          </cell>
          <cell r="Q221" t="str">
            <v>vingt-six</v>
          </cell>
        </row>
        <row r="222">
          <cell r="O222">
            <v>27</v>
          </cell>
          <cell r="P222" t="str">
            <v>Vingt-sept</v>
          </cell>
          <cell r="Q222" t="str">
            <v>vingt-sept</v>
          </cell>
        </row>
        <row r="223">
          <cell r="O223">
            <v>28</v>
          </cell>
          <cell r="P223" t="str">
            <v>Vingt-huit</v>
          </cell>
          <cell r="Q223" t="str">
            <v>vingt-huit</v>
          </cell>
        </row>
        <row r="224">
          <cell r="O224">
            <v>29</v>
          </cell>
          <cell r="P224" t="str">
            <v>Vingt-neuf</v>
          </cell>
          <cell r="Q224" t="str">
            <v>vingt-neuf</v>
          </cell>
        </row>
        <row r="225">
          <cell r="O225">
            <v>30</v>
          </cell>
          <cell r="P225" t="str">
            <v>Trente</v>
          </cell>
          <cell r="Q225" t="str">
            <v>trente</v>
          </cell>
        </row>
        <row r="226">
          <cell r="O226">
            <v>31</v>
          </cell>
          <cell r="P226" t="str">
            <v>Trente et un</v>
          </cell>
          <cell r="Q226" t="str">
            <v>trente et un</v>
          </cell>
        </row>
        <row r="227">
          <cell r="O227">
            <v>32</v>
          </cell>
          <cell r="P227" t="str">
            <v>Trente-deux</v>
          </cell>
          <cell r="Q227" t="str">
            <v>trente-deux</v>
          </cell>
        </row>
        <row r="228">
          <cell r="O228">
            <v>33</v>
          </cell>
          <cell r="P228" t="str">
            <v>Trente-trois</v>
          </cell>
          <cell r="Q228" t="str">
            <v>trente-trois</v>
          </cell>
        </row>
        <row r="229">
          <cell r="O229">
            <v>34</v>
          </cell>
          <cell r="P229" t="str">
            <v>Trente-quatre</v>
          </cell>
          <cell r="Q229" t="str">
            <v>trente-quatre</v>
          </cell>
        </row>
        <row r="230">
          <cell r="O230">
            <v>35</v>
          </cell>
          <cell r="P230" t="str">
            <v>Trente-cinq</v>
          </cell>
          <cell r="Q230" t="str">
            <v>trente-cinq</v>
          </cell>
        </row>
        <row r="231">
          <cell r="O231">
            <v>36</v>
          </cell>
          <cell r="P231" t="str">
            <v>Trente-six</v>
          </cell>
          <cell r="Q231" t="str">
            <v>trente-six</v>
          </cell>
        </row>
        <row r="232">
          <cell r="O232">
            <v>37</v>
          </cell>
          <cell r="P232" t="str">
            <v>Trente-sept</v>
          </cell>
          <cell r="Q232" t="str">
            <v>trente-sept</v>
          </cell>
        </row>
        <row r="233">
          <cell r="O233">
            <v>38</v>
          </cell>
          <cell r="P233" t="str">
            <v>Trente-huit</v>
          </cell>
          <cell r="Q233" t="str">
            <v>trente-huit</v>
          </cell>
        </row>
        <row r="234">
          <cell r="O234">
            <v>39</v>
          </cell>
          <cell r="P234" t="str">
            <v>Trente-neuf</v>
          </cell>
          <cell r="Q234" t="str">
            <v>trente-neuf</v>
          </cell>
        </row>
        <row r="235">
          <cell r="O235">
            <v>40</v>
          </cell>
          <cell r="P235" t="str">
            <v>Quarante</v>
          </cell>
          <cell r="Q235" t="str">
            <v>quarante</v>
          </cell>
        </row>
        <row r="236">
          <cell r="O236">
            <v>41</v>
          </cell>
          <cell r="P236" t="str">
            <v>Quarante et un</v>
          </cell>
          <cell r="Q236" t="str">
            <v>quarante et un</v>
          </cell>
        </row>
        <row r="237">
          <cell r="O237">
            <v>42</v>
          </cell>
          <cell r="P237" t="str">
            <v>Quarante-deux</v>
          </cell>
          <cell r="Q237" t="str">
            <v>quarante-deux</v>
          </cell>
        </row>
        <row r="238">
          <cell r="O238">
            <v>43</v>
          </cell>
          <cell r="P238" t="str">
            <v>Quarante-trois</v>
          </cell>
          <cell r="Q238" t="str">
            <v>quarante-trois</v>
          </cell>
        </row>
        <row r="239">
          <cell r="O239">
            <v>44</v>
          </cell>
          <cell r="P239" t="str">
            <v>Quarante-quatre</v>
          </cell>
          <cell r="Q239" t="str">
            <v>quarante-quatre</v>
          </cell>
        </row>
        <row r="240">
          <cell r="O240">
            <v>45</v>
          </cell>
          <cell r="P240" t="str">
            <v>Quarante-cinq</v>
          </cell>
          <cell r="Q240" t="str">
            <v>quarante-cinq</v>
          </cell>
        </row>
        <row r="241">
          <cell r="O241">
            <v>46</v>
          </cell>
          <cell r="P241" t="str">
            <v>Quarante-six</v>
          </cell>
          <cell r="Q241" t="str">
            <v>quarante-six</v>
          </cell>
        </row>
        <row r="242">
          <cell r="O242">
            <v>47</v>
          </cell>
          <cell r="P242" t="str">
            <v>Quarante-sept</v>
          </cell>
          <cell r="Q242" t="str">
            <v>quarante-sept</v>
          </cell>
        </row>
        <row r="243">
          <cell r="O243">
            <v>48</v>
          </cell>
          <cell r="P243" t="str">
            <v>Quarante-huit</v>
          </cell>
          <cell r="Q243" t="str">
            <v>quarante-huit</v>
          </cell>
        </row>
        <row r="244">
          <cell r="O244">
            <v>49</v>
          </cell>
          <cell r="P244" t="str">
            <v>Quarante-neuf</v>
          </cell>
          <cell r="Q244" t="str">
            <v>quarante-neuf</v>
          </cell>
        </row>
        <row r="245">
          <cell r="O245">
            <v>50</v>
          </cell>
          <cell r="P245" t="str">
            <v>Cinquante</v>
          </cell>
          <cell r="Q245" t="str">
            <v>cinquante</v>
          </cell>
        </row>
        <row r="246">
          <cell r="O246">
            <v>51</v>
          </cell>
          <cell r="P246" t="str">
            <v>Cinquante et un</v>
          </cell>
          <cell r="Q246" t="str">
            <v>cinquante et un</v>
          </cell>
        </row>
        <row r="247">
          <cell r="O247">
            <v>52</v>
          </cell>
          <cell r="P247" t="str">
            <v>Cinquante-deux</v>
          </cell>
          <cell r="Q247" t="str">
            <v>cinquante-deux</v>
          </cell>
        </row>
        <row r="248">
          <cell r="O248">
            <v>53</v>
          </cell>
          <cell r="P248" t="str">
            <v>Cinquante-trois</v>
          </cell>
          <cell r="Q248" t="str">
            <v>cinquante-trois</v>
          </cell>
        </row>
        <row r="249">
          <cell r="O249">
            <v>54</v>
          </cell>
          <cell r="P249" t="str">
            <v>Cinquante-quatre</v>
          </cell>
          <cell r="Q249" t="str">
            <v>cinquante-quatre</v>
          </cell>
        </row>
        <row r="250">
          <cell r="O250">
            <v>55</v>
          </cell>
          <cell r="P250" t="str">
            <v>Cinquante-cinq</v>
          </cell>
          <cell r="Q250" t="str">
            <v>cinquante-cinq</v>
          </cell>
        </row>
        <row r="251">
          <cell r="O251">
            <v>56</v>
          </cell>
          <cell r="P251" t="str">
            <v>Cinquante-six</v>
          </cell>
          <cell r="Q251" t="str">
            <v>cinquante-six</v>
          </cell>
        </row>
        <row r="252">
          <cell r="O252">
            <v>57</v>
          </cell>
          <cell r="P252" t="str">
            <v>Cinquante-sept</v>
          </cell>
          <cell r="Q252" t="str">
            <v>cinquante-sept</v>
          </cell>
        </row>
        <row r="253">
          <cell r="O253">
            <v>58</v>
          </cell>
          <cell r="P253" t="str">
            <v>Cinquante-huit</v>
          </cell>
          <cell r="Q253" t="str">
            <v>cinquante-huit</v>
          </cell>
        </row>
        <row r="254">
          <cell r="O254">
            <v>59</v>
          </cell>
          <cell r="P254" t="str">
            <v>Cinquante-neuf</v>
          </cell>
          <cell r="Q254" t="str">
            <v>cinquante-neuf</v>
          </cell>
        </row>
        <row r="255">
          <cell r="O255">
            <v>60</v>
          </cell>
          <cell r="P255" t="str">
            <v>Soixante</v>
          </cell>
          <cell r="Q255" t="str">
            <v>soixante</v>
          </cell>
        </row>
        <row r="256">
          <cell r="O256">
            <v>61</v>
          </cell>
          <cell r="P256" t="str">
            <v>Soixante et un</v>
          </cell>
          <cell r="Q256" t="str">
            <v>soixante et un</v>
          </cell>
        </row>
        <row r="257">
          <cell r="O257">
            <v>62</v>
          </cell>
          <cell r="P257" t="str">
            <v>Soixante-deux</v>
          </cell>
          <cell r="Q257" t="str">
            <v>soixante-deux</v>
          </cell>
        </row>
        <row r="258">
          <cell r="O258">
            <v>63</v>
          </cell>
          <cell r="P258" t="str">
            <v>Soixante-trois</v>
          </cell>
          <cell r="Q258" t="str">
            <v>soixante-trois</v>
          </cell>
        </row>
        <row r="259">
          <cell r="O259">
            <v>64</v>
          </cell>
          <cell r="P259" t="str">
            <v>Soixante-quatre</v>
          </cell>
          <cell r="Q259" t="str">
            <v>soixante-quatre</v>
          </cell>
        </row>
        <row r="260">
          <cell r="O260">
            <v>65</v>
          </cell>
          <cell r="P260" t="str">
            <v>Soixante-cinq</v>
          </cell>
          <cell r="Q260" t="str">
            <v>soixante-cinq</v>
          </cell>
        </row>
        <row r="261">
          <cell r="O261">
            <v>66</v>
          </cell>
          <cell r="P261" t="str">
            <v>Soixante-six</v>
          </cell>
          <cell r="Q261" t="str">
            <v>soixante-six</v>
          </cell>
        </row>
        <row r="262">
          <cell r="O262">
            <v>67</v>
          </cell>
          <cell r="P262" t="str">
            <v>Soixante-sept</v>
          </cell>
          <cell r="Q262" t="str">
            <v>soixante-sept</v>
          </cell>
        </row>
        <row r="263">
          <cell r="O263">
            <v>68</v>
          </cell>
          <cell r="P263" t="str">
            <v>Soixante-huit</v>
          </cell>
          <cell r="Q263" t="str">
            <v>soixante-huit</v>
          </cell>
        </row>
        <row r="264">
          <cell r="O264">
            <v>69</v>
          </cell>
          <cell r="P264" t="str">
            <v>Soixante-neuf</v>
          </cell>
          <cell r="Q264" t="str">
            <v>soixante-neuf</v>
          </cell>
        </row>
        <row r="265">
          <cell r="O265">
            <v>70</v>
          </cell>
          <cell r="P265" t="str">
            <v>Soixante-dix</v>
          </cell>
          <cell r="Q265" t="str">
            <v>soixante-dix</v>
          </cell>
        </row>
        <row r="266">
          <cell r="O266">
            <v>71</v>
          </cell>
          <cell r="P266" t="str">
            <v>Soixante et onze</v>
          </cell>
          <cell r="Q266" t="str">
            <v>soixante et onze</v>
          </cell>
        </row>
        <row r="267">
          <cell r="O267">
            <v>72</v>
          </cell>
          <cell r="P267" t="str">
            <v>Soixante-douze</v>
          </cell>
          <cell r="Q267" t="str">
            <v>soixante-douze</v>
          </cell>
        </row>
        <row r="268">
          <cell r="O268">
            <v>73</v>
          </cell>
          <cell r="P268" t="str">
            <v>Soixante-treize</v>
          </cell>
          <cell r="Q268" t="str">
            <v>soixante-treize</v>
          </cell>
        </row>
        <row r="269">
          <cell r="O269">
            <v>74</v>
          </cell>
          <cell r="P269" t="str">
            <v>Soixante-quatorze</v>
          </cell>
          <cell r="Q269" t="str">
            <v>soixante-quatorze</v>
          </cell>
        </row>
        <row r="270">
          <cell r="O270">
            <v>75</v>
          </cell>
          <cell r="P270" t="str">
            <v>Soixante-quinze</v>
          </cell>
          <cell r="Q270" t="str">
            <v>soixante-quinze</v>
          </cell>
        </row>
        <row r="271">
          <cell r="O271">
            <v>76</v>
          </cell>
          <cell r="P271" t="str">
            <v>Soixante-seize</v>
          </cell>
          <cell r="Q271" t="str">
            <v>soixante-seize</v>
          </cell>
        </row>
        <row r="272">
          <cell r="O272">
            <v>77</v>
          </cell>
          <cell r="P272" t="str">
            <v>Soixante-dix-sept</v>
          </cell>
          <cell r="Q272" t="str">
            <v>soixante-dix-sept</v>
          </cell>
        </row>
        <row r="273">
          <cell r="O273">
            <v>78</v>
          </cell>
          <cell r="P273" t="str">
            <v>Soixante-dix-huit</v>
          </cell>
          <cell r="Q273" t="str">
            <v>soixante-dix-huit</v>
          </cell>
        </row>
        <row r="274">
          <cell r="O274">
            <v>79</v>
          </cell>
          <cell r="P274" t="str">
            <v>Soixante-dix-neuf</v>
          </cell>
          <cell r="Q274" t="str">
            <v>soixante-dix-neuf</v>
          </cell>
        </row>
        <row r="275">
          <cell r="O275">
            <v>80</v>
          </cell>
          <cell r="P275" t="str">
            <v>Quatre-vingts</v>
          </cell>
          <cell r="Q275" t="str">
            <v>quatre-vingts</v>
          </cell>
        </row>
        <row r="276">
          <cell r="O276">
            <v>81</v>
          </cell>
          <cell r="P276" t="str">
            <v>Quatre-vingt-un</v>
          </cell>
          <cell r="Q276" t="str">
            <v>quatre-vingt-un</v>
          </cell>
        </row>
        <row r="277">
          <cell r="O277">
            <v>82</v>
          </cell>
          <cell r="P277" t="str">
            <v>Quatre-vingt-deux</v>
          </cell>
          <cell r="Q277" t="str">
            <v>quatre-vingt-deux</v>
          </cell>
        </row>
        <row r="278">
          <cell r="O278">
            <v>83</v>
          </cell>
          <cell r="P278" t="str">
            <v>Quatre-vingt-trois</v>
          </cell>
          <cell r="Q278" t="str">
            <v>quatre-vingt-trois</v>
          </cell>
        </row>
        <row r="279">
          <cell r="O279">
            <v>84</v>
          </cell>
          <cell r="P279" t="str">
            <v>Quatre-vingt-quatre</v>
          </cell>
          <cell r="Q279" t="str">
            <v>quatre-vingt-quatre</v>
          </cell>
        </row>
        <row r="280">
          <cell r="O280">
            <v>85</v>
          </cell>
          <cell r="P280" t="str">
            <v>Quatre-vingt-cinq</v>
          </cell>
          <cell r="Q280" t="str">
            <v>quatre-vingt-cinq</v>
          </cell>
        </row>
        <row r="281">
          <cell r="O281">
            <v>86</v>
          </cell>
          <cell r="P281" t="str">
            <v>Quatre-vingt-six</v>
          </cell>
          <cell r="Q281" t="str">
            <v>quatre-vingt-six</v>
          </cell>
        </row>
        <row r="282">
          <cell r="O282">
            <v>87</v>
          </cell>
          <cell r="P282" t="str">
            <v>Quatre-vingt-sept</v>
          </cell>
          <cell r="Q282" t="str">
            <v>quatre-vingt-sept</v>
          </cell>
        </row>
        <row r="283">
          <cell r="O283">
            <v>88</v>
          </cell>
          <cell r="P283" t="str">
            <v>Quatre-vingt-huit</v>
          </cell>
          <cell r="Q283" t="str">
            <v>quatre-vingt-huit</v>
          </cell>
        </row>
        <row r="284">
          <cell r="O284">
            <v>89</v>
          </cell>
          <cell r="P284" t="str">
            <v>Quatre-vingt-neuf</v>
          </cell>
          <cell r="Q284" t="str">
            <v>quatre-vingt-neuf</v>
          </cell>
        </row>
        <row r="285">
          <cell r="O285">
            <v>90</v>
          </cell>
          <cell r="P285" t="str">
            <v>Quatre-vingt-dix</v>
          </cell>
          <cell r="Q285" t="str">
            <v>quatre-vingt-dix</v>
          </cell>
        </row>
        <row r="286">
          <cell r="O286">
            <v>91</v>
          </cell>
          <cell r="P286" t="str">
            <v>Quatre-vingt-onze</v>
          </cell>
          <cell r="Q286" t="str">
            <v>quatre-vingt-onze</v>
          </cell>
        </row>
        <row r="287">
          <cell r="O287">
            <v>92</v>
          </cell>
          <cell r="P287" t="str">
            <v>Quatre-vingt-douze</v>
          </cell>
          <cell r="Q287" t="str">
            <v>quatre-vingt-douze</v>
          </cell>
        </row>
        <row r="288">
          <cell r="O288">
            <v>93</v>
          </cell>
          <cell r="P288" t="str">
            <v>Quatre-vingt-treize</v>
          </cell>
          <cell r="Q288" t="str">
            <v>quatre-vingt-treize</v>
          </cell>
        </row>
        <row r="289">
          <cell r="O289">
            <v>94</v>
          </cell>
          <cell r="P289" t="str">
            <v>Quatre-vingt-quatorze</v>
          </cell>
          <cell r="Q289" t="str">
            <v>quatre-vingt-quatorze</v>
          </cell>
        </row>
        <row r="290">
          <cell r="O290">
            <v>95</v>
          </cell>
          <cell r="P290" t="str">
            <v>Quatre-vingt-quinze</v>
          </cell>
          <cell r="Q290" t="str">
            <v>quatre-vingt-quinze</v>
          </cell>
        </row>
        <row r="291">
          <cell r="O291">
            <v>96</v>
          </cell>
          <cell r="P291" t="str">
            <v>Quatre-vingt-seize</v>
          </cell>
          <cell r="Q291" t="str">
            <v>quatre-vingt-seize</v>
          </cell>
        </row>
        <row r="292">
          <cell r="O292">
            <v>97</v>
          </cell>
          <cell r="P292" t="str">
            <v>Quatre-vingt-dix-sept</v>
          </cell>
          <cell r="Q292" t="str">
            <v>quatre-vingt-dix-sept</v>
          </cell>
        </row>
        <row r="293">
          <cell r="O293">
            <v>98</v>
          </cell>
          <cell r="P293" t="str">
            <v>Quatre-vingt-dix-huit</v>
          </cell>
          <cell r="Q293" t="str">
            <v>quatre-vingt-dix-huit</v>
          </cell>
        </row>
        <row r="294">
          <cell r="O294">
            <v>99</v>
          </cell>
          <cell r="P294" t="str">
            <v>Quatre-vingt-dix-neuf</v>
          </cell>
          <cell r="Q294" t="str">
            <v>quatre-vingt-dix-neuf</v>
          </cell>
        </row>
      </sheetData>
      <sheetData sheetId="18"/>
      <sheetData sheetId="19"/>
      <sheetData sheetId="20"/>
      <sheetData sheetId="2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nMO"/>
      <sheetName val="Synthèse"/>
      <sheetName val="Synt MO"/>
      <sheetName val="TN"/>
      <sheetName val="TC"/>
      <sheetName val="TS"/>
      <sheetName val="TN+TC"/>
      <sheetName val="TS+TC"/>
      <sheetName val="Prix TN+TC"/>
      <sheetName val="SSD TN+TC"/>
      <sheetName val="C2 TN+TC"/>
      <sheetName val="Prix TN"/>
      <sheetName val="Prix TC"/>
      <sheetName val="Prix TS"/>
      <sheetName val="SSD TN"/>
      <sheetName val="SSD TC"/>
      <sheetName val="SSD TS"/>
      <sheetName val="C2 TN"/>
      <sheetName val="C2 TC"/>
      <sheetName val="C2 TS"/>
      <sheetName val="G TN"/>
      <sheetName val="G TC"/>
      <sheetName val="G TS"/>
      <sheetName val="Cg TN"/>
      <sheetName val="Cg TC"/>
      <sheetName val="Cg TS"/>
      <sheetName val="Frais C"/>
      <sheetName val="C2"/>
      <sheetName val="C1"/>
      <sheetName val="MO"/>
      <sheetName val="CD LD"/>
      <sheetName val="FIN"/>
      <sheetName val="Exigences"/>
      <sheetName val="Missions"/>
      <sheetName val="A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>
        <row r="57">
          <cell r="C57" t="str">
            <v>DP</v>
          </cell>
          <cell r="D57">
            <v>32961.430303030298</v>
          </cell>
          <cell r="E57">
            <v>34456.379797979796</v>
          </cell>
          <cell r="F57">
            <v>0</v>
          </cell>
          <cell r="G57">
            <v>0</v>
          </cell>
          <cell r="H57">
            <v>0</v>
          </cell>
        </row>
        <row r="58">
          <cell r="C58" t="str">
            <v>DT</v>
          </cell>
          <cell r="D58">
            <v>27890.441025641026</v>
          </cell>
          <cell r="E58">
            <v>29155.398290598288</v>
          </cell>
          <cell r="F58">
            <v>0</v>
          </cell>
          <cell r="G58">
            <v>0</v>
          </cell>
          <cell r="H58">
            <v>0</v>
          </cell>
        </row>
        <row r="59">
          <cell r="C59" t="str">
            <v>IS</v>
          </cell>
          <cell r="D59">
            <v>21708.3282051282</v>
          </cell>
          <cell r="E59">
            <v>22973.285470085466</v>
          </cell>
          <cell r="F59">
            <v>0</v>
          </cell>
          <cell r="G59">
            <v>0</v>
          </cell>
          <cell r="H59">
            <v>0</v>
          </cell>
        </row>
        <row r="60">
          <cell r="C60" t="str">
            <v>IP</v>
          </cell>
          <cell r="D60">
            <v>15673.538461538461</v>
          </cell>
          <cell r="E60">
            <v>16596.615384615383</v>
          </cell>
          <cell r="F60">
            <v>0</v>
          </cell>
          <cell r="G60">
            <v>0</v>
          </cell>
          <cell r="H60">
            <v>0</v>
          </cell>
        </row>
        <row r="61">
          <cell r="C61" t="str">
            <v>IC</v>
          </cell>
          <cell r="D61">
            <v>11758.564102564102</v>
          </cell>
          <cell r="E61">
            <v>12442.324786324785</v>
          </cell>
          <cell r="F61">
            <v>0</v>
          </cell>
          <cell r="G61">
            <v>0</v>
          </cell>
          <cell r="H61">
            <v>0</v>
          </cell>
        </row>
        <row r="62">
          <cell r="C62" t="str">
            <v>TS</v>
          </cell>
          <cell r="D62">
            <v>11049.23076923077</v>
          </cell>
          <cell r="E62">
            <v>11681.709401709402</v>
          </cell>
          <cell r="F62">
            <v>0</v>
          </cell>
          <cell r="G62">
            <v>0</v>
          </cell>
          <cell r="H62">
            <v>0</v>
          </cell>
        </row>
        <row r="63">
          <cell r="C63" t="str">
            <v>TE</v>
          </cell>
          <cell r="D63">
            <v>8413.7846153846131</v>
          </cell>
          <cell r="E63">
            <v>9046.2632478632459</v>
          </cell>
          <cell r="F63">
            <v>0</v>
          </cell>
          <cell r="G63">
            <v>0</v>
          </cell>
          <cell r="H63">
            <v>0</v>
          </cell>
        </row>
        <row r="64">
          <cell r="C64" t="str">
            <v>EM</v>
          </cell>
          <cell r="D64">
            <v>7502.5641025641016</v>
          </cell>
          <cell r="E64">
            <v>8135.0427350427344</v>
          </cell>
          <cell r="F64">
            <v>0</v>
          </cell>
          <cell r="G64">
            <v>0</v>
          </cell>
          <cell r="H64">
            <v>0</v>
          </cell>
        </row>
        <row r="65">
          <cell r="C65" t="str">
            <v>ST</v>
          </cell>
          <cell r="D65">
            <v>3625.7846153846153</v>
          </cell>
          <cell r="E65">
            <v>4258.2632478632477</v>
          </cell>
          <cell r="F65">
            <v>0</v>
          </cell>
          <cell r="G65">
            <v>0</v>
          </cell>
          <cell r="H65">
            <v>0</v>
          </cell>
        </row>
        <row r="66">
          <cell r="C66" t="str">
            <v>Ma IS</v>
          </cell>
          <cell r="D66">
            <v>0</v>
          </cell>
          <cell r="E66">
            <v>0</v>
          </cell>
          <cell r="F66">
            <v>145000</v>
          </cell>
          <cell r="G66">
            <v>145000</v>
          </cell>
          <cell r="H66">
            <v>145000</v>
          </cell>
        </row>
        <row r="67">
          <cell r="C67" t="str">
            <v>Ma IP</v>
          </cell>
          <cell r="D67">
            <v>0</v>
          </cell>
          <cell r="E67">
            <v>0</v>
          </cell>
          <cell r="F67">
            <v>120000</v>
          </cell>
          <cell r="G67">
            <v>120000</v>
          </cell>
          <cell r="H67">
            <v>120000</v>
          </cell>
        </row>
        <row r="68">
          <cell r="C68" t="str">
            <v>Ma IC</v>
          </cell>
          <cell r="D68">
            <v>0</v>
          </cell>
          <cell r="E68">
            <v>0</v>
          </cell>
          <cell r="F68">
            <v>100000</v>
          </cell>
          <cell r="G68">
            <v>100000</v>
          </cell>
          <cell r="H68">
            <v>100000</v>
          </cell>
        </row>
        <row r="69">
          <cell r="C69" t="str">
            <v>Ma T3</v>
          </cell>
          <cell r="D69">
            <v>0</v>
          </cell>
          <cell r="E69">
            <v>0</v>
          </cell>
          <cell r="F69">
            <v>65000</v>
          </cell>
          <cell r="G69">
            <v>65000</v>
          </cell>
          <cell r="H69">
            <v>65000</v>
          </cell>
        </row>
        <row r="70">
          <cell r="C70" t="str">
            <v>Ma T2</v>
          </cell>
          <cell r="D70">
            <v>0</v>
          </cell>
          <cell r="E70">
            <v>0</v>
          </cell>
          <cell r="F70">
            <v>60000</v>
          </cell>
          <cell r="G70">
            <v>60000</v>
          </cell>
          <cell r="H70">
            <v>60000</v>
          </cell>
        </row>
        <row r="71">
          <cell r="C71" t="str">
            <v>Ma T1</v>
          </cell>
          <cell r="D71">
            <v>0</v>
          </cell>
          <cell r="E71">
            <v>0</v>
          </cell>
          <cell r="F71">
            <v>55000</v>
          </cell>
          <cell r="G71">
            <v>55000</v>
          </cell>
          <cell r="H71">
            <v>55000</v>
          </cell>
        </row>
        <row r="72">
          <cell r="C72" t="str">
            <v>Ma Sec</v>
          </cell>
          <cell r="D72">
            <v>0</v>
          </cell>
          <cell r="E72">
            <v>0</v>
          </cell>
          <cell r="F72">
            <v>30000</v>
          </cell>
          <cell r="G72">
            <v>30000</v>
          </cell>
          <cell r="H72">
            <v>30000</v>
          </cell>
        </row>
        <row r="73">
          <cell r="C73" t="str">
            <v>Ma VL</v>
          </cell>
          <cell r="D73">
            <v>0</v>
          </cell>
          <cell r="E73">
            <v>0</v>
          </cell>
          <cell r="F73">
            <v>25000</v>
          </cell>
          <cell r="G73">
            <v>25000</v>
          </cell>
          <cell r="H73">
            <v>25000</v>
          </cell>
        </row>
      </sheetData>
      <sheetData sheetId="30">
        <row r="11">
          <cell r="I11">
            <v>47806.718655913981</v>
          </cell>
        </row>
      </sheetData>
      <sheetData sheetId="31">
        <row r="6">
          <cell r="D6">
            <v>11.3</v>
          </cell>
        </row>
        <row r="17">
          <cell r="D17">
            <v>1</v>
          </cell>
        </row>
      </sheetData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32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38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39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42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43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44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45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46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4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2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comments" Target="../comments3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comments" Target="../comments3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comments" Target="../comments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23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5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6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5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5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6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61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pageSetUpPr fitToPage="1"/>
  </sheetPr>
  <dimension ref="A1:AZ501"/>
  <sheetViews>
    <sheetView showGridLines="0" tabSelected="1" zoomScale="70" zoomScaleNormal="70" workbookViewId="0">
      <pane xSplit="1" ySplit="3" topLeftCell="C4" activePane="bottomRight" state="frozen"/>
      <selection activeCell="J18" sqref="J18"/>
      <selection pane="topRight" activeCell="J18" sqref="J18"/>
      <selection pane="bottomLeft" activeCell="J18" sqref="J18"/>
      <selection pane="bottomRight" activeCell="G91" sqref="G91"/>
    </sheetView>
  </sheetViews>
  <sheetFormatPr baseColWidth="10" defaultColWidth="10" defaultRowHeight="33.75" customHeight="1"/>
  <cols>
    <col min="1" max="1" width="20.25" style="2384" customWidth="1"/>
    <col min="2" max="2" width="69.75" style="59" customWidth="1"/>
    <col min="3" max="3" width="24.25" style="52" customWidth="1"/>
    <col min="4" max="4" width="17.5" style="52" customWidth="1"/>
    <col min="5" max="5" width="19.875" style="52" customWidth="1"/>
    <col min="6" max="6" width="24.5" style="52" customWidth="1"/>
    <col min="7" max="7" width="16" style="52" customWidth="1"/>
    <col min="8" max="8" width="15.5" style="52" customWidth="1"/>
    <col min="9" max="9" width="19" style="52" customWidth="1"/>
    <col min="10" max="10" width="15.125" style="52" customWidth="1"/>
    <col min="11" max="11" width="17.875" style="52" customWidth="1"/>
    <col min="12" max="12" width="16" style="52" customWidth="1"/>
    <col min="13" max="13" width="21" style="52" customWidth="1"/>
    <col min="14" max="14" width="15.875" style="52" customWidth="1"/>
    <col min="15" max="15" width="19.25" style="52" customWidth="1"/>
    <col min="16" max="16" width="19.25" style="1494" customWidth="1"/>
    <col min="17" max="17" width="14.5" style="52" bestFit="1" customWidth="1"/>
    <col min="18" max="18" width="42" style="52" bestFit="1" customWidth="1"/>
    <col min="19" max="19" width="10" style="52"/>
    <col min="20" max="20" width="18.75" style="222" customWidth="1"/>
    <col min="21" max="25" width="10" style="52"/>
    <col min="26" max="26" width="13.75" style="52" bestFit="1" customWidth="1"/>
    <col min="27" max="16384" width="10" style="52"/>
  </cols>
  <sheetData>
    <row r="1" spans="1:52" s="47" customFormat="1" ht="44.25" customHeight="1">
      <c r="A1" s="2380"/>
      <c r="B1" s="46"/>
      <c r="C1" s="46"/>
      <c r="D1" s="46"/>
      <c r="E1" s="46"/>
      <c r="F1" s="60" t="s">
        <v>85</v>
      </c>
      <c r="G1" s="61">
        <v>42369</v>
      </c>
      <c r="H1" s="46"/>
      <c r="I1" s="46"/>
      <c r="J1" s="46"/>
      <c r="K1" s="46"/>
      <c r="L1" s="46"/>
      <c r="M1" s="46"/>
      <c r="N1" s="46"/>
      <c r="P1" s="1494"/>
      <c r="T1" s="219"/>
      <c r="AT1" s="1493" t="s">
        <v>362</v>
      </c>
      <c r="AY1" s="1493" t="s">
        <v>362</v>
      </c>
      <c r="AZ1" s="1486" t="s">
        <v>362</v>
      </c>
    </row>
    <row r="2" spans="1:52" s="47" customFormat="1" ht="44.25" customHeight="1">
      <c r="A2" s="2381"/>
      <c r="B2" s="4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P2" s="1494"/>
      <c r="T2" s="219"/>
      <c r="AT2" s="1493" t="s">
        <v>713</v>
      </c>
      <c r="AY2" s="1493" t="s">
        <v>713</v>
      </c>
      <c r="AZ2" s="1486" t="s">
        <v>713</v>
      </c>
    </row>
    <row r="3" spans="1:52" ht="39" customHeight="1">
      <c r="A3" s="2382" t="s">
        <v>53</v>
      </c>
      <c r="B3" s="49" t="s">
        <v>54</v>
      </c>
      <c r="C3" s="50" t="s">
        <v>21</v>
      </c>
      <c r="D3" s="50" t="s">
        <v>3</v>
      </c>
      <c r="E3" s="50" t="s">
        <v>63</v>
      </c>
      <c r="F3" s="50" t="s">
        <v>64</v>
      </c>
      <c r="G3" s="50" t="str">
        <f>"PROD CUMULau "&amp;(TEXT($G$1,"jj-mm-aaaa"))</f>
        <v>PROD CUMULau 31-12-2015</v>
      </c>
      <c r="H3" s="50" t="str">
        <f>"PRODUCTION au "&amp;(TEXT($G$1,"jj-mm-aaaa"))</f>
        <v>PRODUCTION au 31-12-2015</v>
      </c>
      <c r="I3" s="50" t="str">
        <f>"ss traitance cumulée au "&amp;(TEXT($G$1,"jj-mm-aaaa"))</f>
        <v>ss traitance cumulée au 31-12-2015</v>
      </c>
      <c r="J3" s="50" t="str">
        <f>"SS TRAITANCE au "&amp;(TEXT($G$1,"jj-mm-aaaa"))</f>
        <v>SS TRAITANCE au 31-12-2015</v>
      </c>
      <c r="K3" s="50" t="str">
        <f>"Facturation cumulée au "&amp;(TEXT($G$1,"jj-mm-aaaa"))</f>
        <v>Facturation cumulée au 31-12-2015</v>
      </c>
      <c r="L3" s="50" t="str">
        <f>"Facturation au "&amp;(TEXT($G$1,"jj-mm-aaaa"))</f>
        <v>Facturation au 31-12-2015</v>
      </c>
      <c r="M3" s="50" t="str">
        <f>"Encaissement cumulée au "&amp;(TEXT($G$1,"jj-mm-aaaa"))</f>
        <v>Encaissement cumulée au 31-12-2015</v>
      </c>
      <c r="N3" s="50" t="str">
        <f>"Encaissement au "&amp;(TEXT($G$1,"jj-mm-aaaa"))</f>
        <v>Encaissement au 31-12-2015</v>
      </c>
      <c r="O3" s="1502" t="str">
        <f>"Carnet de commande TTC au "&amp;(TEXT($G$1,"jj-mm-aaaa"))</f>
        <v>Carnet de commande TTC au 31-12-2015</v>
      </c>
      <c r="P3" s="1501"/>
      <c r="Q3" s="1503" t="s">
        <v>55</v>
      </c>
      <c r="R3" s="51" t="s">
        <v>58</v>
      </c>
      <c r="T3" s="220" t="s">
        <v>83</v>
      </c>
      <c r="AT3" s="1493" t="s">
        <v>714</v>
      </c>
      <c r="AY3" s="1493" t="s">
        <v>714</v>
      </c>
      <c r="AZ3" s="1486" t="s">
        <v>714</v>
      </c>
    </row>
    <row r="4" spans="1:52" s="56" customFormat="1" ht="33.75" customHeight="1">
      <c r="A4" s="2389">
        <v>201502000</v>
      </c>
      <c r="B4" s="53" t="str">
        <f>UPPER('201502000_ET'!B2)</f>
        <v>BAIE DE COCODY - PÉRIODE D'INCUBATION</v>
      </c>
      <c r="C4" s="218" t="str">
        <f>'201502000_ET'!B4</f>
        <v>Marchica Med</v>
      </c>
      <c r="D4" s="54">
        <f>'201502000_ET'!F55</f>
        <v>1153320</v>
      </c>
      <c r="E4" s="54">
        <f>'201502000_ET'!W55</f>
        <v>311880</v>
      </c>
      <c r="F4" s="54">
        <f>'201502000_ET'!AB55</f>
        <v>0</v>
      </c>
      <c r="G4" s="54">
        <f>'201502000_ET'!L55</f>
        <v>231880</v>
      </c>
      <c r="H4" s="281">
        <f>G4-'201502000_ET'!X55</f>
        <v>231880</v>
      </c>
      <c r="I4" s="54">
        <f>'201502000_ET'!N55</f>
        <v>0</v>
      </c>
      <c r="J4" s="650">
        <f>I4-'201502000_ET'!Y55</f>
        <v>0</v>
      </c>
      <c r="K4" s="54">
        <f>'201502000_ET'!P55</f>
        <v>0</v>
      </c>
      <c r="L4" s="54">
        <f>K4-'201502000_ET'!Z55</f>
        <v>0</v>
      </c>
      <c r="M4" s="54">
        <f>'201502000_ET'!R55</f>
        <v>0</v>
      </c>
      <c r="N4" s="54">
        <f>M4-'201502000_ET'!AA55</f>
        <v>0</v>
      </c>
      <c r="O4" s="651">
        <f>'201502000_ET'!T55</f>
        <v>80000</v>
      </c>
      <c r="P4" s="1491"/>
      <c r="Q4" s="54">
        <f>'201502000_ET'!D4</f>
        <v>0</v>
      </c>
      <c r="R4" s="55">
        <f>'201502000_ET'!G3</f>
        <v>0</v>
      </c>
      <c r="T4" s="221">
        <f>'201502000_ET'!E1</f>
        <v>42369</v>
      </c>
      <c r="V4" s="57">
        <f>'201502000_ET'!A55</f>
        <v>0</v>
      </c>
      <c r="AZ4" s="570"/>
    </row>
    <row r="5" spans="1:52" s="56" customFormat="1" ht="33.75" customHeight="1">
      <c r="A5" s="2389">
        <v>201501292</v>
      </c>
      <c r="B5" s="53" t="str">
        <f>UPPER('201501292_ET'!B2)</f>
        <v>ACCOMPAGNEMENT DE LA DR POUR LA DEFINITION DU RESEAU ROUTIER STRUCTURANT.</v>
      </c>
      <c r="C5" s="218" t="str">
        <f>'201501292_ET'!B4</f>
        <v>DR</v>
      </c>
      <c r="D5" s="54">
        <f>'201501292_ET'!F59</f>
        <v>198900</v>
      </c>
      <c r="E5" s="54">
        <f>'201501292_ET'!W59</f>
        <v>198900</v>
      </c>
      <c r="F5" s="54">
        <f>'201501292_ET'!AB59</f>
        <v>0</v>
      </c>
      <c r="G5" s="54">
        <f>'201501292_ET'!L59</f>
        <v>198900</v>
      </c>
      <c r="H5" s="281">
        <f>G5-'201501292_ET'!X59</f>
        <v>198900</v>
      </c>
      <c r="I5" s="54">
        <f>'201501292_ET'!N59</f>
        <v>0</v>
      </c>
      <c r="J5" s="650">
        <f>I5-'201501292_ET'!Y59</f>
        <v>0</v>
      </c>
      <c r="K5" s="54">
        <f>'201501292_ET'!P59</f>
        <v>0</v>
      </c>
      <c r="L5" s="54">
        <f>K5-'201501292_ET'!Z59</f>
        <v>0</v>
      </c>
      <c r="M5" s="54">
        <f>'201501292_ET'!R59</f>
        <v>0</v>
      </c>
      <c r="N5" s="54">
        <f>M5-'201501292_ET'!AA59</f>
        <v>0</v>
      </c>
      <c r="O5" s="651">
        <f>'201501292_ET'!T59</f>
        <v>0</v>
      </c>
      <c r="P5" s="1491"/>
      <c r="Q5" s="54">
        <f>'201501292_ET'!D4</f>
        <v>0</v>
      </c>
      <c r="R5" s="55">
        <f>'201501292_ET'!G3</f>
        <v>0</v>
      </c>
      <c r="T5" s="221">
        <f>'201501292_ET'!E1</f>
        <v>42369</v>
      </c>
      <c r="V5" s="57">
        <f>'201501292_ET'!A59</f>
        <v>0</v>
      </c>
      <c r="AZ5" s="570"/>
    </row>
    <row r="6" spans="1:52" s="56" customFormat="1" ht="33.75" customHeight="1">
      <c r="A6" s="2389">
        <v>201501266</v>
      </c>
      <c r="B6" s="53" t="str">
        <f>UPPER('201501266_ET'!B2)</f>
        <v>ETUDE DE TRAFIC ET DE CIRCULATION DU PROJET TANGER WATERFRONT</v>
      </c>
      <c r="C6" s="218" t="str">
        <f>'201501266_ET'!B4</f>
        <v>EAGLE HILLS ABU DAHABI</v>
      </c>
      <c r="D6" s="54">
        <f>'201501266_ET'!F59</f>
        <v>216000</v>
      </c>
      <c r="E6" s="54">
        <f>'201501266_ET'!W59</f>
        <v>216000</v>
      </c>
      <c r="F6" s="54">
        <f>'201501266_ET'!AB59</f>
        <v>0</v>
      </c>
      <c r="G6" s="54">
        <f>'201501266_ET'!L59</f>
        <v>216000</v>
      </c>
      <c r="H6" s="281">
        <f>G6-'201501266_ET'!X59</f>
        <v>216000</v>
      </c>
      <c r="I6" s="54">
        <f>'201501266_ET'!N59</f>
        <v>0</v>
      </c>
      <c r="J6" s="650">
        <f>I6-'201501266_ET'!Y59</f>
        <v>0</v>
      </c>
      <c r="K6" s="54">
        <f>'201501266_ET'!P59</f>
        <v>0</v>
      </c>
      <c r="L6" s="54">
        <f>K6-'201501266_ET'!Z59</f>
        <v>0</v>
      </c>
      <c r="M6" s="54">
        <f>'201501266_ET'!R59</f>
        <v>0</v>
      </c>
      <c r="N6" s="54">
        <f>M6-'201501266_ET'!AA59</f>
        <v>0</v>
      </c>
      <c r="O6" s="651">
        <f>'201501266_ET'!T59</f>
        <v>0</v>
      </c>
      <c r="P6" s="1491"/>
      <c r="Q6" s="54">
        <f>'201501266_ET'!D4</f>
        <v>0</v>
      </c>
      <c r="R6" s="55">
        <f>'201501266_ET'!G3</f>
        <v>0</v>
      </c>
      <c r="T6" s="221">
        <f>'201501266_ET'!E1</f>
        <v>42369</v>
      </c>
      <c r="V6" s="57">
        <f>'201501266_ET'!A59</f>
        <v>0</v>
      </c>
      <c r="AZ6" s="570"/>
    </row>
    <row r="7" spans="1:52" s="56" customFormat="1" ht="33.75" customHeight="1">
      <c r="A7" s="2389">
        <v>201500563</v>
      </c>
      <c r="B7" s="53" t="str">
        <f>UPPER('201500563_ET'!B2)</f>
        <v>VILLE CASABLANCA - PROJET D'AMELIORATION DE LA CIRCULATION ETUDES DE FAISABILITE DE PROJETS D'AMENAGEMENT : CARREFOUR D'INTERSECTION BD GHANDI ET ROUTE EL JADIDA; - AXE DU BD ZERKTOUNI ENTRE BD MOHAMMED VI ET BD ANFA</v>
      </c>
      <c r="C7" s="218" t="str">
        <f>'201500563_ET'!B4</f>
        <v xml:space="preserve">CASA TRANSPORTS </v>
      </c>
      <c r="D7" s="54">
        <f>'201500563_ET'!F60</f>
        <v>1620000</v>
      </c>
      <c r="E7" s="54">
        <f>'201500563_ET'!W60</f>
        <v>1210500</v>
      </c>
      <c r="F7" s="54">
        <f>'201500563_ET'!AB60</f>
        <v>0</v>
      </c>
      <c r="G7" s="54">
        <f>'201500563_ET'!L60</f>
        <v>326700</v>
      </c>
      <c r="H7" s="281">
        <f>G7-'201500563_ET'!X60</f>
        <v>326700</v>
      </c>
      <c r="I7" s="54">
        <f>'201500563_ET'!N60</f>
        <v>0</v>
      </c>
      <c r="J7" s="650">
        <f>I7-'201500563_ET'!Y60</f>
        <v>0</v>
      </c>
      <c r="K7" s="54">
        <f>'201500563_ET'!P60</f>
        <v>0</v>
      </c>
      <c r="L7" s="54">
        <f>K7-'201500563_ET'!Z60</f>
        <v>0</v>
      </c>
      <c r="M7" s="54">
        <f>'201500563_ET'!R60</f>
        <v>0</v>
      </c>
      <c r="N7" s="54">
        <f>M7-'201500563_ET'!AA60</f>
        <v>0</v>
      </c>
      <c r="O7" s="651">
        <f>'201500563_ET'!T60</f>
        <v>883800</v>
      </c>
      <c r="P7" s="1491"/>
      <c r="Q7" s="54">
        <f>'201500563_ET'!D4</f>
        <v>0</v>
      </c>
      <c r="R7" s="55">
        <f>'201500563_ET'!G3</f>
        <v>0</v>
      </c>
      <c r="T7" s="221">
        <f>'201500563_ET'!E1</f>
        <v>42004</v>
      </c>
      <c r="V7" s="57">
        <f>'201500563_ET'!A60</f>
        <v>0</v>
      </c>
      <c r="AZ7" s="570"/>
    </row>
    <row r="8" spans="1:52" s="56" customFormat="1" ht="33.75" customHeight="1">
      <c r="A8" s="2389">
        <v>201500445</v>
      </c>
      <c r="B8" s="53" t="str">
        <f>UPPER('201500445-DET'!B2)</f>
        <v>PRESTATION DE MAITRISE D'ŒUVRE POUR LA REALISATION DES PROJETS DE TRAMWAYS LIGNE 2 ET EXTENSION DE LA LIGNE 1</v>
      </c>
      <c r="C8" s="218" t="str">
        <f>'201500445-DET'!B4</f>
        <v>CASA TRANSPORT</v>
      </c>
      <c r="D8" s="54">
        <f>'201500445-DET'!F83</f>
        <v>45455846.770916998</v>
      </c>
      <c r="E8" s="54">
        <f>'201500445-DET'!W83</f>
        <v>5502376.9553939998</v>
      </c>
      <c r="F8" s="54">
        <f>'201500445-DET'!AB83</f>
        <v>0</v>
      </c>
      <c r="G8" s="54">
        <f>'201500445-DET'!L83</f>
        <v>218460</v>
      </c>
      <c r="H8" s="281">
        <f>G8-'201500445-DET'!X83</f>
        <v>218460</v>
      </c>
      <c r="I8" s="54">
        <f>'201500445-DET'!N83</f>
        <v>218460</v>
      </c>
      <c r="J8" s="650">
        <f>I8-'201500445-DET'!Y83</f>
        <v>218460</v>
      </c>
      <c r="K8" s="54">
        <f>'201500445-DET'!P83</f>
        <v>0</v>
      </c>
      <c r="L8" s="54">
        <f>K8-'201500445-DET'!Z83</f>
        <v>0</v>
      </c>
      <c r="M8" s="54">
        <f>'201500445-DET'!R83</f>
        <v>0</v>
      </c>
      <c r="N8" s="54">
        <f>M8-'201500445-DET'!AA83</f>
        <v>0</v>
      </c>
      <c r="O8" s="651">
        <f>'201500445-DET'!T83</f>
        <v>5283916.9553939998</v>
      </c>
      <c r="P8" s="1491"/>
      <c r="Q8" s="54" t="str">
        <f>'201500445-DET'!D4</f>
        <v>DRT-DOA-ATCL-BAT</v>
      </c>
      <c r="R8" s="55" t="str">
        <f>'201500445-DET'!G3</f>
        <v>Abdelghani MOUSTAID</v>
      </c>
      <c r="T8" s="221">
        <f>'201500445-DET'!E1</f>
        <v>42369</v>
      </c>
      <c r="V8" s="57" t="str">
        <f>'201500445-DET'!A83</f>
        <v>Dépassement des quantités</v>
      </c>
      <c r="AZ8" s="570"/>
    </row>
    <row r="9" spans="1:52" s="56" customFormat="1" ht="33.75" customHeight="1">
      <c r="A9" s="2389">
        <v>201500468</v>
      </c>
      <c r="B9" s="53" t="str">
        <f>UPPER('201500468_ET'!B2)</f>
        <v>ETUDE DE FONCTIONNEMENT DU CARREFOUR D'ACCES AU NOUVEAU PORT DE PECHE DANS LE CADRE DU PROJET DE RECONCERSION DE LA ZONE PORTUAIRE DE TANGER VILLE</v>
      </c>
      <c r="C9" s="218" t="str">
        <f>'201500468_ET'!B4</f>
        <v>SAPT</v>
      </c>
      <c r="D9" s="54">
        <f>'201500468_ET'!F55</f>
        <v>300000</v>
      </c>
      <c r="E9" s="54">
        <f>'201500468_ET'!W55</f>
        <v>240000</v>
      </c>
      <c r="F9" s="54">
        <f>'201500468_ET'!AB55</f>
        <v>0</v>
      </c>
      <c r="G9" s="54">
        <f>'201500468_ET'!L55</f>
        <v>192000</v>
      </c>
      <c r="H9" s="281">
        <f>G9-'201500468_ET'!X55</f>
        <v>192000</v>
      </c>
      <c r="I9" s="54">
        <f>'201500468_ET'!N55</f>
        <v>0</v>
      </c>
      <c r="J9" s="650">
        <f>I9-'201500468_ET'!Y55</f>
        <v>0</v>
      </c>
      <c r="K9" s="54">
        <f>'201500468_ET'!P55</f>
        <v>0</v>
      </c>
      <c r="L9" s="54">
        <f>K9-'201500468_ET'!Z55</f>
        <v>0</v>
      </c>
      <c r="M9" s="54">
        <f>'201500468_ET'!R55</f>
        <v>0</v>
      </c>
      <c r="N9" s="54">
        <f>M9-'201500468_ET'!AA55</f>
        <v>0</v>
      </c>
      <c r="O9" s="651">
        <f>'201500468_ET'!T55</f>
        <v>48000</v>
      </c>
      <c r="P9" s="1491"/>
      <c r="Q9" s="54">
        <f>'201500468_ET'!D4</f>
        <v>0</v>
      </c>
      <c r="R9" s="55">
        <f>'201500468_ET'!G3</f>
        <v>0</v>
      </c>
      <c r="T9" s="221">
        <f>'201500468_ET'!E1</f>
        <v>42369</v>
      </c>
      <c r="V9" s="57">
        <f>'201500468_ET'!A55</f>
        <v>0</v>
      </c>
      <c r="AZ9" s="570"/>
    </row>
    <row r="10" spans="1:52" s="56" customFormat="1" ht="33.75" customHeight="1">
      <c r="A10" s="2389">
        <v>201500266</v>
      </c>
      <c r="B10" s="53" t="str">
        <f>UPPER('201500266_ET'!B2)</f>
        <v>ETUDE DE PROGRAMMATION FONCTIONNELLE DES ZONES D'ACTIVITES LOGISTIQUES DES REGIONS DE GRAND CASABLANCA, TANGER, FES ET MARRAKECH</v>
      </c>
      <c r="C10" s="218" t="str">
        <f>'201500266_ET'!B4</f>
        <v>ONCF</v>
      </c>
      <c r="D10" s="54">
        <f>'201500266_ET'!F60</f>
        <v>1489920</v>
      </c>
      <c r="E10" s="54">
        <f>'201500266_ET'!W60</f>
        <v>698400</v>
      </c>
      <c r="F10" s="54">
        <f>'201500266_ET'!AB60</f>
        <v>0</v>
      </c>
      <c r="G10" s="54">
        <f>'201500266_ET'!L60</f>
        <v>0</v>
      </c>
      <c r="H10" s="281">
        <f>G10-'201500266_ET'!X60</f>
        <v>0</v>
      </c>
      <c r="I10" s="54">
        <f>'201500266_ET'!N60</f>
        <v>0</v>
      </c>
      <c r="J10" s="650">
        <f>I10-'201500266_ET'!Y60</f>
        <v>0</v>
      </c>
      <c r="K10" s="54">
        <f>'201500266_ET'!P60</f>
        <v>0</v>
      </c>
      <c r="L10" s="54">
        <f>K10-'201500266_ET'!Z60</f>
        <v>0</v>
      </c>
      <c r="M10" s="54">
        <f>'201500266_ET'!R60</f>
        <v>0</v>
      </c>
      <c r="N10" s="54">
        <f>M10-'201500266_ET'!AA60</f>
        <v>0</v>
      </c>
      <c r="O10" s="651">
        <f>'201500266_ET'!T60</f>
        <v>698400</v>
      </c>
      <c r="P10" s="1491"/>
      <c r="Q10" s="54">
        <f>'201500266_ET'!D4</f>
        <v>0</v>
      </c>
      <c r="R10" s="55">
        <f>'201500266_ET'!G3</f>
        <v>0</v>
      </c>
      <c r="T10" s="221">
        <f>'201500266_ET'!E1</f>
        <v>42369</v>
      </c>
      <c r="V10" s="57">
        <f>'201500266_ET'!A60</f>
        <v>0</v>
      </c>
      <c r="AZ10" s="570"/>
    </row>
    <row r="11" spans="1:52" s="56" customFormat="1" ht="33.75" customHeight="1">
      <c r="A11" s="2389">
        <v>201401401</v>
      </c>
      <c r="B11" s="53" t="str">
        <f>UPPER('201401401 _ET'!B2)</f>
        <v>ETUDE DE TRAFIC ET DE RENTABILITE ECONOMIQUE ET FINANCIERE: LOT 2 AR RELIANT LA PARTIE TERMINALE DE AR FES-OUJDA A AR EST-OUEST ALGERIENNE</v>
      </c>
      <c r="C11" s="218" t="str">
        <f>'201401401 _ET'!B4</f>
        <v>ADM</v>
      </c>
      <c r="D11" s="54">
        <f>'201401401 _ET'!F60</f>
        <v>540000</v>
      </c>
      <c r="E11" s="54">
        <f>'201401401 _ET'!W60</f>
        <v>270000</v>
      </c>
      <c r="F11" s="54">
        <f>'201401401 _ET'!AB60</f>
        <v>0</v>
      </c>
      <c r="G11" s="54">
        <f>'201401401 _ET'!L60</f>
        <v>216000</v>
      </c>
      <c r="H11" s="281">
        <f>G11-'201401401 _ET'!X60</f>
        <v>216000</v>
      </c>
      <c r="I11" s="54">
        <f>'201401401 _ET'!N60</f>
        <v>0</v>
      </c>
      <c r="J11" s="650">
        <f>I11-'201401401 _ET'!Y60</f>
        <v>0</v>
      </c>
      <c r="K11" s="54">
        <f>'201401401 _ET'!P60</f>
        <v>0</v>
      </c>
      <c r="L11" s="54">
        <f>K11-'201401401 _ET'!Z60</f>
        <v>0</v>
      </c>
      <c r="M11" s="54">
        <f>'201401401 _ET'!R60</f>
        <v>0</v>
      </c>
      <c r="N11" s="54">
        <f>M11-'201401401 _ET'!AA60</f>
        <v>0</v>
      </c>
      <c r="O11" s="651">
        <f>'201401401 _ET'!T60</f>
        <v>54000</v>
      </c>
      <c r="P11" s="1491"/>
      <c r="Q11" s="54">
        <f>'201401401 _ET'!D4</f>
        <v>0</v>
      </c>
      <c r="R11" s="55">
        <f>'201401401 _ET'!G3</f>
        <v>0</v>
      </c>
      <c r="T11" s="221">
        <f>'201401401 _ET'!E1</f>
        <v>42369</v>
      </c>
      <c r="V11" s="57">
        <f>'201401401 _ET'!A60</f>
        <v>0</v>
      </c>
      <c r="AZ11" s="570"/>
    </row>
    <row r="12" spans="1:52" s="56" customFormat="1" ht="33.75" customHeight="1">
      <c r="A12" s="2389">
        <v>201401400</v>
      </c>
      <c r="B12" s="53" t="str">
        <f>UPPER('201401400_ET'!B2)</f>
        <v>ETUDE DE TRAFIC ET DE RENTABILITE ECONOMIQUE ET FINANCIERE: LOT 1 AUTOROUTE DE DESSERTE DE NADOR</v>
      </c>
      <c r="C12" s="218" t="str">
        <f>'201401400_ET'!B4</f>
        <v>ADM</v>
      </c>
      <c r="D12" s="54">
        <f>'201401400_ET'!F60</f>
        <v>744000</v>
      </c>
      <c r="E12" s="54">
        <f>'201401400_ET'!W60</f>
        <v>372000</v>
      </c>
      <c r="F12" s="54">
        <f>'201401400_ET'!AB60</f>
        <v>0</v>
      </c>
      <c r="G12" s="54">
        <f>'201401400_ET'!L60</f>
        <v>297600</v>
      </c>
      <c r="H12" s="281">
        <f>G12-'201401400_ET'!X60</f>
        <v>297600</v>
      </c>
      <c r="I12" s="54">
        <f>'201401400_ET'!N60</f>
        <v>0</v>
      </c>
      <c r="J12" s="650">
        <f>I12-'201401400_ET'!Y60</f>
        <v>0</v>
      </c>
      <c r="K12" s="54">
        <f>'201401400_ET'!P60</f>
        <v>0</v>
      </c>
      <c r="L12" s="54">
        <f>K12-'201401400_ET'!Z60</f>
        <v>0</v>
      </c>
      <c r="M12" s="54">
        <f>'201401400_ET'!R60</f>
        <v>0</v>
      </c>
      <c r="N12" s="54">
        <f>M12-'201401400_ET'!AA60</f>
        <v>0</v>
      </c>
      <c r="O12" s="651">
        <f>'201401400_ET'!T60</f>
        <v>74400</v>
      </c>
      <c r="P12" s="1491"/>
      <c r="Q12" s="54">
        <f>'201401400_ET'!D4</f>
        <v>0</v>
      </c>
      <c r="R12" s="55">
        <f>'201401400_ET'!G3</f>
        <v>0</v>
      </c>
      <c r="T12" s="221">
        <f>'201401400_ET'!E1</f>
        <v>42369</v>
      </c>
      <c r="V12" s="57">
        <f>'201401400_ET'!A60</f>
        <v>0</v>
      </c>
      <c r="AZ12" s="570"/>
    </row>
    <row r="13" spans="1:52" s="56" customFormat="1" ht="33.75" customHeight="1">
      <c r="A13" s="2389">
        <v>201401290</v>
      </c>
      <c r="B13" s="53" t="str">
        <f>UPPER('201401290_ET'!B2)</f>
        <v>REALISATION DE L'ETUDE DU MARCHE DU TRANSPORT FERROVIAIRE DE MARCHANDISES</v>
      </c>
      <c r="C13" s="218" t="str">
        <f>'201401290_ET'!B4</f>
        <v>ONCF</v>
      </c>
      <c r="D13" s="54">
        <f>'201401290_ET'!F60</f>
        <v>290400.00000000012</v>
      </c>
      <c r="E13" s="54">
        <f>'201401290_ET'!W60</f>
        <v>290400.00000000012</v>
      </c>
      <c r="F13" s="54">
        <f>'201401290_ET'!AB60</f>
        <v>0</v>
      </c>
      <c r="G13" s="54">
        <f>'201401290_ET'!L60</f>
        <v>58080.000000000029</v>
      </c>
      <c r="H13" s="281">
        <f>G13-'201401290_ET'!X60</f>
        <v>58080.000000000029</v>
      </c>
      <c r="I13" s="54">
        <f>'201401290_ET'!N60</f>
        <v>0</v>
      </c>
      <c r="J13" s="650">
        <f>I13-'201401290_ET'!Y60</f>
        <v>0</v>
      </c>
      <c r="K13" s="54">
        <f>'201401290_ET'!P60</f>
        <v>58080.000000000029</v>
      </c>
      <c r="L13" s="54">
        <f>K13-'201401290_ET'!Z60</f>
        <v>58080.000000000029</v>
      </c>
      <c r="M13" s="54">
        <f>'201401290_ET'!R60</f>
        <v>0</v>
      </c>
      <c r="N13" s="54">
        <f>M13-'201401290_ET'!AA60</f>
        <v>0</v>
      </c>
      <c r="O13" s="651">
        <f>'201401290_ET'!T60</f>
        <v>232320.00000000009</v>
      </c>
      <c r="P13" s="1491"/>
      <c r="Q13" s="54">
        <f>'201401290_ET'!D4</f>
        <v>0</v>
      </c>
      <c r="R13" s="55">
        <f>'201401290_ET'!G3</f>
        <v>0</v>
      </c>
      <c r="T13" s="221">
        <f>'201401290_ET'!E1</f>
        <v>42369</v>
      </c>
      <c r="V13" s="57">
        <f>'201401290_ET'!A60</f>
        <v>0</v>
      </c>
      <c r="AZ13" s="570"/>
    </row>
    <row r="14" spans="1:52" s="56" customFormat="1" ht="33.75" customHeight="1">
      <c r="A14" s="2389">
        <v>201401289</v>
      </c>
      <c r="B14" s="53" t="str">
        <f>UPPER('201401289_ET'!B2)</f>
        <v>VILLE DE CASABLANCA TRANSPORT EN COMMUN EN SITE PROPRE MISSION N°1 : ACTUALISATION DES ETUDES DE DEFINITION DU RESEAU LONG TERME DE TRANSPORT EN COMMUN EN SITE PROPRE A CASABLANCA; MISSION N°2 : ETUDES D'AVANT - PROJET SOMMAIRE (APS) DE LA LIGNE TRAMWAY T</v>
      </c>
      <c r="C14" s="218" t="str">
        <f>'201401289_ET'!B4</f>
        <v>CASA TRANSPORTS</v>
      </c>
      <c r="D14" s="54">
        <f>'201401289_ET'!F54</f>
        <v>1651195.8359999999</v>
      </c>
      <c r="E14" s="54">
        <f>'201401289_ET'!W54</f>
        <v>1651195.8359999999</v>
      </c>
      <c r="F14" s="54">
        <f>'201401289_ET'!AB54</f>
        <v>0</v>
      </c>
      <c r="G14" s="54">
        <f>'201401289_ET'!L54</f>
        <v>1651195.8359999999</v>
      </c>
      <c r="H14" s="281">
        <f>G14-'201401289_ET'!X54</f>
        <v>1651195.8359999999</v>
      </c>
      <c r="I14" s="54">
        <f>'201401289_ET'!N54</f>
        <v>0</v>
      </c>
      <c r="J14" s="650">
        <f>I14-'201401289_ET'!Y54</f>
        <v>0</v>
      </c>
      <c r="K14" s="54">
        <f>'201401289_ET'!P54</f>
        <v>0</v>
      </c>
      <c r="L14" s="54">
        <f>K14-'201401289_ET'!Z54</f>
        <v>0</v>
      </c>
      <c r="M14" s="54">
        <f>'201401289_ET'!R54</f>
        <v>0</v>
      </c>
      <c r="N14" s="54">
        <f>M14-'201401289_ET'!AA54</f>
        <v>0</v>
      </c>
      <c r="O14" s="651">
        <f>'201401289_ET'!T54</f>
        <v>0</v>
      </c>
      <c r="P14" s="1491"/>
      <c r="Q14" s="54">
        <f>'201401289_ET'!D4</f>
        <v>0</v>
      </c>
      <c r="R14" s="55">
        <f>'201401289_ET'!G3</f>
        <v>0</v>
      </c>
      <c r="T14" s="221">
        <f>'201401289_ET'!E1</f>
        <v>42369</v>
      </c>
      <c r="V14" s="57" t="str">
        <f>'201401289_ET'!A54</f>
        <v>Dépassement des quantités</v>
      </c>
      <c r="AZ14" s="570"/>
    </row>
    <row r="15" spans="1:52" s="56" customFormat="1" ht="33.75" customHeight="1">
      <c r="A15" s="2389">
        <v>201401183</v>
      </c>
      <c r="B15" s="53" t="str">
        <f>UPPER('201401183_ET'!B2)</f>
        <v>ETUDE DE DEFINITION DE L'AXE AUTOROUTIER FES - TAOUNATE</v>
      </c>
      <c r="C15" s="218" t="str">
        <f>'201401183_ET'!B4</f>
        <v>DRE FES  BOULEMANE</v>
      </c>
      <c r="D15" s="54">
        <f>'201401183_ET'!F55</f>
        <v>660000</v>
      </c>
      <c r="E15" s="54">
        <f>'201401183_ET'!W55</f>
        <v>660000</v>
      </c>
      <c r="F15" s="54">
        <f>'201401183_ET'!AB55</f>
        <v>0</v>
      </c>
      <c r="G15" s="54">
        <f>'201401183_ET'!L55</f>
        <v>168000</v>
      </c>
      <c r="H15" s="281">
        <f>G15-'201401183_ET'!X55</f>
        <v>168000</v>
      </c>
      <c r="I15" s="54">
        <f>'201401183_ET'!N55</f>
        <v>14400</v>
      </c>
      <c r="J15" s="650">
        <f>I15-'201401183_ET'!Y55</f>
        <v>14400</v>
      </c>
      <c r="K15" s="54">
        <f>'201401183_ET'!P55</f>
        <v>0</v>
      </c>
      <c r="L15" s="54">
        <f>K15-'201401183_ET'!Z55</f>
        <v>0</v>
      </c>
      <c r="M15" s="54">
        <f>'201401183_ET'!R55</f>
        <v>0</v>
      </c>
      <c r="N15" s="54">
        <f>M15-'201401183_ET'!AA55</f>
        <v>0</v>
      </c>
      <c r="O15" s="651">
        <f>'201401183_ET'!T55</f>
        <v>492000</v>
      </c>
      <c r="P15" s="1491"/>
      <c r="Q15" s="54">
        <f>'201401183_ET'!D4</f>
        <v>0</v>
      </c>
      <c r="R15" s="55">
        <f>'201401183_ET'!G3</f>
        <v>0</v>
      </c>
      <c r="T15" s="221">
        <f>'201401183_ET'!E1</f>
        <v>42369</v>
      </c>
      <c r="V15" s="57">
        <f>'201401183_ET'!A55</f>
        <v>0</v>
      </c>
      <c r="AZ15" s="570"/>
    </row>
    <row r="16" spans="1:52" s="56" customFormat="1" ht="33.75" customHeight="1">
      <c r="A16" s="2389">
        <v>201401079</v>
      </c>
      <c r="B16" s="53" t="str">
        <f>UPPER('201401079_ET'!B2)</f>
        <v>ETUDE DE TRAFIC ET DE RENTABILITE ECONOMIQUE ET FINANCIERE DES AUTOROUTES EXISTANTES ET PROJETEES ENTRE CASABLANCA ET BERRECHID</v>
      </c>
      <c r="C16" s="218" t="str">
        <f>'201401079_ET'!B4</f>
        <v>ADM</v>
      </c>
      <c r="D16" s="54">
        <f>'201401079_ET'!F54</f>
        <v>1496400</v>
      </c>
      <c r="E16" s="54">
        <f>'201401079_ET'!W54</f>
        <v>1496400</v>
      </c>
      <c r="F16" s="54">
        <f>'201401079_ET'!AB54</f>
        <v>1496400</v>
      </c>
      <c r="G16" s="54">
        <f>'201401079_ET'!L54</f>
        <v>1069530</v>
      </c>
      <c r="H16" s="281">
        <f>G16-'201401079_ET'!X54</f>
        <v>1049490</v>
      </c>
      <c r="I16" s="54">
        <f>'201401079_ET'!N54</f>
        <v>174275.997</v>
      </c>
      <c r="J16" s="650">
        <f>I16-'201401079_ET'!Y54</f>
        <v>154235.997</v>
      </c>
      <c r="K16" s="54">
        <f>'201401079_ET'!P54</f>
        <v>0</v>
      </c>
      <c r="L16" s="54">
        <f>K16-'201401079_ET'!Z54</f>
        <v>0</v>
      </c>
      <c r="M16" s="54">
        <f>'201401079_ET'!R54</f>
        <v>0</v>
      </c>
      <c r="N16" s="54">
        <f>M16-'201401079_ET'!AA54</f>
        <v>0</v>
      </c>
      <c r="O16" s="651">
        <f>'201401079_ET'!T54</f>
        <v>426870</v>
      </c>
      <c r="P16" s="1491"/>
      <c r="Q16" s="54">
        <f>'201401079_ET'!D4</f>
        <v>0</v>
      </c>
      <c r="R16" s="55" t="str">
        <f>'201401079_ET'!G3</f>
        <v>Oussama KHOMSI</v>
      </c>
      <c r="T16" s="221">
        <f>'201401079_ET'!E1</f>
        <v>42369</v>
      </c>
      <c r="V16" s="57">
        <f>'201401079_ET'!A54</f>
        <v>0</v>
      </c>
      <c r="AZ16" s="570"/>
    </row>
    <row r="17" spans="1:52" s="56" customFormat="1" ht="33.75" customHeight="1">
      <c r="A17" s="2389">
        <v>201400966</v>
      </c>
      <c r="B17" s="53" t="str">
        <f>UPPER('201400966_ET'!B2)</f>
        <v>ETUDE DE FAISABILITE DE MISE SOUS PEAGE DE LA SECTION DE LA RN6 SITUEE ENTRE LES ECHANGEURS DAR ASSIKAH ET SIDI ALLAL BAHRAOUI</v>
      </c>
      <c r="C17" s="218" t="str">
        <f>'201400966_ET'!B4</f>
        <v>ADM</v>
      </c>
      <c r="D17" s="54">
        <f>'201400966_ET'!F55</f>
        <v>1518000</v>
      </c>
      <c r="E17" s="54">
        <f>'201400966_ET'!W55</f>
        <v>1174200</v>
      </c>
      <c r="F17" s="54">
        <f>'201400966_ET'!AB55</f>
        <v>1174200</v>
      </c>
      <c r="G17" s="54">
        <f>'201400966_ET'!L55</f>
        <v>1174200</v>
      </c>
      <c r="H17" s="281">
        <f>G17-'201400966_ET'!X55</f>
        <v>1163520</v>
      </c>
      <c r="I17" s="54">
        <f>'201400966_ET'!N55</f>
        <v>124926.72</v>
      </c>
      <c r="J17" s="650">
        <f>I17-'201400966_ET'!Y55</f>
        <v>114246.72</v>
      </c>
      <c r="K17" s="54">
        <f>'201400966_ET'!P55</f>
        <v>1242000</v>
      </c>
      <c r="L17" s="54">
        <f>K17-'201400966_ET'!Z55</f>
        <v>1242000</v>
      </c>
      <c r="M17" s="54">
        <f>'201400966_ET'!R55</f>
        <v>0</v>
      </c>
      <c r="N17" s="54">
        <f>M17-'201400966_ET'!AA55</f>
        <v>0</v>
      </c>
      <c r="O17" s="651">
        <f>'201400966_ET'!T55</f>
        <v>0</v>
      </c>
      <c r="P17" s="1491"/>
      <c r="Q17" s="54">
        <f>'201400966_ET'!D4</f>
        <v>0</v>
      </c>
      <c r="R17" s="55" t="str">
        <f>'201400966_ET'!G3</f>
        <v>Oussama KHOMSI</v>
      </c>
      <c r="T17" s="221">
        <f>'201400966_ET'!E1</f>
        <v>42369</v>
      </c>
      <c r="V17" s="57">
        <f>'201400966_ET'!A55</f>
        <v>0</v>
      </c>
      <c r="AZ17" s="570"/>
    </row>
    <row r="18" spans="1:52" s="56" customFormat="1" ht="33.75" customHeight="1">
      <c r="A18" s="2389">
        <v>201400652</v>
      </c>
      <c r="B18" s="53" t="str">
        <f>UPPER('201400652_ET'!B2)</f>
        <v>ETUDES D'AVANT PROJET DETAILLE (APD) ET ELABORATION DU DOSSIER D'APPEL D'OFFRES (DAO) DES TRAVAUX D'AMAENAGEMENT DE LA TRAVERSEE DE SIKASSO.</v>
      </c>
      <c r="C18" s="218" t="str">
        <f>'201400652_ET'!B4</f>
        <v>DNR MALI</v>
      </c>
      <c r="D18" s="54">
        <f>'201400652_ET'!F57</f>
        <v>201500</v>
      </c>
      <c r="E18" s="54">
        <f>'201400652_ET'!W57</f>
        <v>201500</v>
      </c>
      <c r="F18" s="54">
        <f>'201400652_ET'!AB57</f>
        <v>201500</v>
      </c>
      <c r="G18" s="54">
        <f>'201400652_ET'!L57</f>
        <v>205211.71357268846</v>
      </c>
      <c r="H18" s="281">
        <f>G18-'201400652_ET'!X57</f>
        <v>0</v>
      </c>
      <c r="I18" s="54">
        <f>'201400652_ET'!N57</f>
        <v>0</v>
      </c>
      <c r="J18" s="650">
        <f>I18-'201400652_ET'!Y57</f>
        <v>0</v>
      </c>
      <c r="K18" s="54">
        <f>'201400652_ET'!P57</f>
        <v>205211.71357268843</v>
      </c>
      <c r="L18" s="54">
        <f>K18-'201400652_ET'!Z57</f>
        <v>0</v>
      </c>
      <c r="M18" s="54">
        <f>'201400652_ET'!R57</f>
        <v>0</v>
      </c>
      <c r="N18" s="54">
        <f>M18-'201400652_ET'!AA57</f>
        <v>0</v>
      </c>
      <c r="O18" s="651">
        <f>'201400652_ET'!T57</f>
        <v>-3711.713572688459</v>
      </c>
      <c r="P18" s="1491"/>
      <c r="Q18" s="54">
        <f>'201400652_ET'!D4</f>
        <v>0</v>
      </c>
      <c r="R18" s="55" t="str">
        <f>'201400652_ET'!G3</f>
        <v>MOUSTAID</v>
      </c>
      <c r="T18" s="221">
        <f>'201400652_ET'!E1</f>
        <v>42369</v>
      </c>
      <c r="V18" s="57" t="str">
        <f>'201400652_ET'!A57</f>
        <v>Dépassement des quantités</v>
      </c>
      <c r="AZ18" s="570"/>
    </row>
    <row r="19" spans="1:52" s="56" customFormat="1" ht="33.75" customHeight="1">
      <c r="A19" s="2389">
        <v>201400520</v>
      </c>
      <c r="B19" s="53" t="str">
        <f>UPPER('201400520_ET'!B2)</f>
        <v>ETUDE DE L'AXE AUTOROUTIER GUELMIM - GUERGARAT</v>
      </c>
      <c r="C19" s="218" t="str">
        <f>'201400520_ET'!B4</f>
        <v>DRE LAAYOUNE</v>
      </c>
      <c r="D19" s="54">
        <f>'201400520_ET'!F56</f>
        <v>1524600</v>
      </c>
      <c r="E19" s="54">
        <f>'201400520_ET'!W56</f>
        <v>1524600</v>
      </c>
      <c r="F19" s="54">
        <f>'201400520_ET'!AB56</f>
        <v>0</v>
      </c>
      <c r="G19" s="54">
        <f>'201400520_ET'!L56</f>
        <v>250000</v>
      </c>
      <c r="H19" s="281">
        <f>G19-'201400520_ET'!X56</f>
        <v>250000</v>
      </c>
      <c r="I19" s="54">
        <f>'201400520_ET'!N56</f>
        <v>87120</v>
      </c>
      <c r="J19" s="650">
        <f>I19-'201400520_ET'!Y56</f>
        <v>87120</v>
      </c>
      <c r="K19" s="54">
        <f>'201400520_ET'!P56</f>
        <v>0</v>
      </c>
      <c r="L19" s="54">
        <f>K19-'201400520_ET'!Z56</f>
        <v>0</v>
      </c>
      <c r="M19" s="54">
        <f>'201400520_ET'!R56</f>
        <v>0</v>
      </c>
      <c r="N19" s="54">
        <f>M19-'201400520_ET'!AA56</f>
        <v>0</v>
      </c>
      <c r="O19" s="651">
        <f>'201400520_ET'!T56</f>
        <v>1274600</v>
      </c>
      <c r="P19" s="1491"/>
      <c r="Q19" s="54">
        <f>'201400520_ET'!D4</f>
        <v>0</v>
      </c>
      <c r="R19" s="55">
        <f>'201400520_ET'!G3</f>
        <v>0</v>
      </c>
      <c r="T19" s="221">
        <f>'201400520_ET'!E1</f>
        <v>42369</v>
      </c>
      <c r="V19" s="57">
        <f>'201400520_ET'!A56</f>
        <v>0</v>
      </c>
      <c r="AZ19" s="570"/>
    </row>
    <row r="20" spans="1:52" s="56" customFormat="1" ht="33.75" customHeight="1">
      <c r="A20" s="2389">
        <v>201400400</v>
      </c>
      <c r="B20" s="53" t="str">
        <f>UPPER('201400400_ET'!B2)</f>
        <v>ACTUALISATION DE L'ETUDE DE RENTABILITE ECONOMIQUE DE L'AUTOROUTE MARRAKECH-AGADIR</v>
      </c>
      <c r="C20" s="218" t="str">
        <f>'201400400_ET'!B4</f>
        <v>ADM</v>
      </c>
      <c r="D20" s="54">
        <f>'201400400_ET'!F57</f>
        <v>120000</v>
      </c>
      <c r="E20" s="54">
        <f>'201400400_ET'!W57</f>
        <v>120000</v>
      </c>
      <c r="F20" s="54">
        <f>'201400400_ET'!AB57</f>
        <v>120000</v>
      </c>
      <c r="G20" s="54">
        <f>'201400400_ET'!L57</f>
        <v>120000</v>
      </c>
      <c r="H20" s="281">
        <f>G20-'201400400_ET'!X57</f>
        <v>0</v>
      </c>
      <c r="I20" s="54">
        <f>'201400400_ET'!N57</f>
        <v>0</v>
      </c>
      <c r="J20" s="650">
        <f>I20-'201400400_ET'!Y57</f>
        <v>0</v>
      </c>
      <c r="K20" s="54">
        <f>'201400400_ET'!P57</f>
        <v>120000</v>
      </c>
      <c r="L20" s="54">
        <f>K20-'201400400_ET'!Z57</f>
        <v>0</v>
      </c>
      <c r="M20" s="54">
        <f>'201400400_ET'!R57</f>
        <v>0</v>
      </c>
      <c r="N20" s="54">
        <f>M20-'201400400_ET'!AA57</f>
        <v>0</v>
      </c>
      <c r="O20" s="651">
        <f>'201400400_ET'!T57</f>
        <v>0</v>
      </c>
      <c r="P20" s="1491"/>
      <c r="Q20" s="54">
        <f>'201400400_ET'!D4</f>
        <v>0</v>
      </c>
      <c r="R20" s="55" t="str">
        <f>'201400400_ET'!G3</f>
        <v>MOUSTAID</v>
      </c>
      <c r="T20" s="221">
        <f>'201400400_ET'!E1</f>
        <v>42369</v>
      </c>
      <c r="V20" s="57" t="str">
        <f>'201400400_ET'!A57</f>
        <v>Dépassement des quantités</v>
      </c>
      <c r="AZ20" s="570"/>
    </row>
    <row r="21" spans="1:52" s="56" customFormat="1" ht="33.75" customHeight="1">
      <c r="A21" s="2389">
        <v>201400285</v>
      </c>
      <c r="B21" s="53" t="str">
        <f>UPPER('201400285_ET'!B2)</f>
        <v>REALISATION DE L'ETUDE DU PLAN DE DEPLACEMENT URBAIN DE LA VILLE D'IMZOUREN (PDU - CIRCULATION ET SIGNALISATION), PROVINCE D'AL HOCEIMA</v>
      </c>
      <c r="C21" s="218" t="str">
        <f>'201400285_ET'!B4</f>
        <v>PROVINCE D'AL HOCEIMA</v>
      </c>
      <c r="D21" s="54">
        <f>'201400285_ET'!F57</f>
        <v>1500000</v>
      </c>
      <c r="E21" s="54">
        <f>'201400285_ET'!W57</f>
        <v>1500000</v>
      </c>
      <c r="F21" s="54">
        <f>'201400285_ET'!AB57</f>
        <v>0</v>
      </c>
      <c r="G21" s="54">
        <f>'201400285_ET'!L57</f>
        <v>150000</v>
      </c>
      <c r="H21" s="281">
        <f>G21-'201400285_ET'!X57</f>
        <v>0</v>
      </c>
      <c r="I21" s="54">
        <f>'201400285_ET'!N57</f>
        <v>57000</v>
      </c>
      <c r="J21" s="650">
        <f>I21-'201400285_ET'!Y57</f>
        <v>0</v>
      </c>
      <c r="K21" s="54">
        <f>'201400285_ET'!P57</f>
        <v>150000</v>
      </c>
      <c r="L21" s="54">
        <f>K21-'201400285_ET'!Z57</f>
        <v>0</v>
      </c>
      <c r="M21" s="54">
        <f>'201400285_ET'!R57</f>
        <v>0</v>
      </c>
      <c r="N21" s="54">
        <f>M21-'201400285_ET'!AA57</f>
        <v>0</v>
      </c>
      <c r="O21" s="651">
        <f>'201400285_ET'!T57</f>
        <v>1350000</v>
      </c>
      <c r="P21" s="1491"/>
      <c r="Q21" s="54">
        <f>'201400285_ET'!D4</f>
        <v>0</v>
      </c>
      <c r="R21" s="55" t="str">
        <f>'201400285_ET'!G3</f>
        <v>KHOMSI</v>
      </c>
      <c r="T21" s="221">
        <f>'201400285_ET'!E1</f>
        <v>42369</v>
      </c>
      <c r="V21" s="57" t="str">
        <f>'201400285_ET'!A57</f>
        <v>Dépassement des quantités</v>
      </c>
      <c r="AZ21" s="570"/>
    </row>
    <row r="22" spans="1:52" s="56" customFormat="1" ht="33.75" customHeight="1">
      <c r="A22" s="2389">
        <v>201400270</v>
      </c>
      <c r="B22" s="53" t="str">
        <f>UPPER('201400270-ET'!B2)</f>
        <v>ETUDE DE MARCHE ET DE STRUCTURATION DES PROJETS DES PREMIERES ZONES LOGISTIQUES DANS LES POLES DE SOUSS-MASSA-DRAA, MARRAKECH-TENSIFT EL HAOUZ ET OUED EDDAHAB LAGOUIRA</v>
      </c>
      <c r="C22" s="218" t="str">
        <f>'201400270-ET'!B4</f>
        <v>AMDL</v>
      </c>
      <c r="D22" s="54">
        <f>'201400270-ET'!F57</f>
        <v>4020000</v>
      </c>
      <c r="E22" s="54">
        <f>'201400270-ET'!W57</f>
        <v>1716300</v>
      </c>
      <c r="F22" s="54">
        <f>'201400270-ET'!AB57</f>
        <v>0</v>
      </c>
      <c r="G22" s="54">
        <f>'201400270-ET'!L57</f>
        <v>453630</v>
      </c>
      <c r="H22" s="281">
        <f>G22-'201400270-ET'!X57</f>
        <v>426630</v>
      </c>
      <c r="I22" s="54">
        <f>'201400270-ET'!N57</f>
        <v>0</v>
      </c>
      <c r="J22" s="650">
        <f>I22-'201400270-ET'!Y57</f>
        <v>0</v>
      </c>
      <c r="K22" s="54">
        <f>'201400270-ET'!P57</f>
        <v>373950</v>
      </c>
      <c r="L22" s="54">
        <f>K22-'201400270-ET'!Z57</f>
        <v>346950</v>
      </c>
      <c r="M22" s="54">
        <f>'201400270-ET'!R57</f>
        <v>843740</v>
      </c>
      <c r="N22" s="54">
        <f>M22-'201400270-ET'!AA57</f>
        <v>843740</v>
      </c>
      <c r="O22" s="651">
        <f>'201400270-ET'!T57</f>
        <v>1262670</v>
      </c>
      <c r="P22" s="1491"/>
      <c r="Q22" s="54" t="str">
        <f>'201400270-ET'!D4</f>
        <v>ENV- VRD</v>
      </c>
      <c r="R22" s="55" t="str">
        <f>'201400270-ET'!G3</f>
        <v>Abdelghani Moustaid</v>
      </c>
      <c r="T22" s="221">
        <f>'201400270-ET'!E1</f>
        <v>42369</v>
      </c>
      <c r="V22" s="57" t="str">
        <f>'201400270-ET'!A57</f>
        <v>Dépassement des quantités</v>
      </c>
      <c r="AZ22" s="570"/>
    </row>
    <row r="23" spans="1:52" s="56" customFormat="1" ht="33.75" customHeight="1">
      <c r="A23" s="2389">
        <v>201400269</v>
      </c>
      <c r="B23" s="53" t="str">
        <f>UPPER('201400269-ET'!B2)</f>
        <v>ETUDE DE MARCHE ET DE STRUCTURATION DES PROJETS DES PREMIERES ZONES LOGISTIQUES DANS LES POLES DE RABAT - KENITRA, TANGER - TETOUAN, ET FES-MEKNES</v>
      </c>
      <c r="C23" s="218" t="str">
        <f>'201400269-ET'!B4</f>
        <v>AMDL</v>
      </c>
      <c r="D23" s="54">
        <f>'201400269-ET'!F57</f>
        <v>5400000</v>
      </c>
      <c r="E23" s="54">
        <f>'201400269-ET'!W57</f>
        <v>2704236</v>
      </c>
      <c r="F23" s="54">
        <f>'201400269-ET'!AB57</f>
        <v>0</v>
      </c>
      <c r="G23" s="54">
        <f>'201400269-ET'!L57</f>
        <v>1212534</v>
      </c>
      <c r="H23" s="281">
        <f>G23-'201400269-ET'!X57</f>
        <v>897133.67999999993</v>
      </c>
      <c r="I23" s="54">
        <f>'201400269-ET'!N57</f>
        <v>0</v>
      </c>
      <c r="J23" s="650">
        <f>I23-'201400269-ET'!Y57</f>
        <v>0</v>
      </c>
      <c r="K23" s="54">
        <f>'201400269-ET'!P57</f>
        <v>1243134</v>
      </c>
      <c r="L23" s="54">
        <f>K23-'201400269-ET'!Z57</f>
        <v>1200774</v>
      </c>
      <c r="M23" s="54">
        <f>'201400269-ET'!R57</f>
        <v>1632256</v>
      </c>
      <c r="N23" s="54">
        <f>M23-'201400269-ET'!AA57</f>
        <v>1632256</v>
      </c>
      <c r="O23" s="651">
        <f>'201400269-ET'!T57</f>
        <v>1491702</v>
      </c>
      <c r="P23" s="1491"/>
      <c r="Q23" s="54" t="str">
        <f>'201400269-ET'!D4</f>
        <v>ENV- VRD</v>
      </c>
      <c r="R23" s="55" t="str">
        <f>'201400269-ET'!G3</f>
        <v>Abdelghani Moustaid</v>
      </c>
      <c r="T23" s="221">
        <f>'201400269-ET'!E1</f>
        <v>42369</v>
      </c>
      <c r="V23" s="57" t="str">
        <f>'201400269-ET'!A57</f>
        <v>Dépassement des quantités</v>
      </c>
      <c r="AZ23" s="570"/>
    </row>
    <row r="24" spans="1:52" s="56" customFormat="1" ht="33.75" customHeight="1">
      <c r="A24" s="2389">
        <v>201400193</v>
      </c>
      <c r="B24" s="53" t="str">
        <f>UPPER('201400193_ET'!B2)</f>
        <v>ETUDES DES OUVRAGES DE FRANCHIISSEMENT DE LA VOIE FERREE EN VILLE DE KENITRA LOT 1 ET LOT 2</v>
      </c>
      <c r="C24" s="218" t="str">
        <f>'201400193_ET'!B4</f>
        <v>ONCF</v>
      </c>
      <c r="D24" s="54">
        <f>'201400193_ET'!F62</f>
        <v>900000</v>
      </c>
      <c r="E24" s="54">
        <f>'201400193_ET'!W62</f>
        <v>96000</v>
      </c>
      <c r="F24" s="54">
        <f>'201400193_ET'!AB62</f>
        <v>96000</v>
      </c>
      <c r="G24" s="54">
        <f>'201400193_ET'!L62</f>
        <v>96000</v>
      </c>
      <c r="H24" s="281">
        <f>G24-'201400193_ET'!X62</f>
        <v>48000</v>
      </c>
      <c r="I24" s="54">
        <f>'201400193_ET'!N62</f>
        <v>9180</v>
      </c>
      <c r="J24" s="650">
        <f>I24-'201400193_ET'!Y62</f>
        <v>0</v>
      </c>
      <c r="K24" s="54">
        <f>'201400193_ET'!P62</f>
        <v>0</v>
      </c>
      <c r="L24" s="54">
        <f>K24-'201400193_ET'!Z62</f>
        <v>0</v>
      </c>
      <c r="M24" s="54">
        <f>'201400193_ET'!R62</f>
        <v>0</v>
      </c>
      <c r="N24" s="54">
        <f>M24-'201400193_ET'!AA62</f>
        <v>0</v>
      </c>
      <c r="O24" s="651">
        <f>'201400193_ET'!T62</f>
        <v>0</v>
      </c>
      <c r="P24" s="1491"/>
      <c r="Q24" s="54" t="str">
        <f>'201400193_ET'!D4</f>
        <v>OA</v>
      </c>
      <c r="R24" s="55" t="str">
        <f>'201400193_ET'!G3</f>
        <v>KHOMSI</v>
      </c>
      <c r="T24" s="221">
        <f>'201400193_ET'!E1</f>
        <v>42369</v>
      </c>
      <c r="V24" s="57">
        <f>'201400193_ET'!A62</f>
        <v>0</v>
      </c>
      <c r="AZ24" s="570"/>
    </row>
    <row r="25" spans="1:52" s="56" customFormat="1" ht="33.75" customHeight="1">
      <c r="A25" s="2389">
        <v>201400181</v>
      </c>
      <c r="B25" s="53" t="str">
        <f>UPPER('201400181_ET'!B2)</f>
        <v>RÉALISATION DES ÉTUDES DE CIRCULATION ET D'INTERMODALITÉ AU NIVEAU DES SITES DES GARES LGV</v>
      </c>
      <c r="C25" s="218" t="str">
        <f>'201400181_ET'!B4</f>
        <v>ONCF</v>
      </c>
      <c r="D25" s="54">
        <f>'201400181_ET'!F58</f>
        <v>1467000</v>
      </c>
      <c r="E25" s="54">
        <f>'201400181_ET'!W58</f>
        <v>1467000</v>
      </c>
      <c r="F25" s="54">
        <f>'201400181_ET'!AB58</f>
        <v>1089000</v>
      </c>
      <c r="G25" s="54">
        <f>'201400181_ET'!L58</f>
        <v>1432800</v>
      </c>
      <c r="H25" s="281">
        <f>G25-'201400181_ET'!X58</f>
        <v>589050</v>
      </c>
      <c r="I25" s="54">
        <f>'201400181_ET'!N58</f>
        <v>157200</v>
      </c>
      <c r="J25" s="650">
        <f>I25-'201400181_ET'!Y58</f>
        <v>0</v>
      </c>
      <c r="K25" s="54">
        <f>'201400181_ET'!P58</f>
        <v>1135350</v>
      </c>
      <c r="L25" s="54">
        <f>K25-'201400181_ET'!Z58</f>
        <v>1135350</v>
      </c>
      <c r="M25" s="54">
        <f>'201400181_ET'!R58</f>
        <v>0</v>
      </c>
      <c r="N25" s="54">
        <f>M25-'201400181_ET'!AA58</f>
        <v>0</v>
      </c>
      <c r="O25" s="651">
        <f>'201400181_ET'!T58</f>
        <v>34200</v>
      </c>
      <c r="P25" s="1491"/>
      <c r="Q25" s="54">
        <f>'201400181_ET'!D4</f>
        <v>0</v>
      </c>
      <c r="R25" s="55" t="str">
        <f>'201400181_ET'!G3</f>
        <v>Oussama KHOMSI</v>
      </c>
      <c r="T25" s="221">
        <f>'201400181_ET'!E1</f>
        <v>42369</v>
      </c>
      <c r="V25" s="57" t="str">
        <f>'201400181_ET'!A58</f>
        <v>Dépassement des quantités</v>
      </c>
      <c r="AZ25" s="570"/>
    </row>
    <row r="26" spans="1:52" s="56" customFormat="1" ht="33.75" customHeight="1">
      <c r="A26" s="2389">
        <v>201400116</v>
      </c>
      <c r="B26" s="53" t="str">
        <f>UPPER('201400116_ET'!B2)</f>
        <v>ACTUALISATION DE L'ÉTUDE DE DÉFINITION DE L'AUTOROUTE RELIANT LES BIPÔLES TANGER-TÉTOUAN ET FÈS-MÉKNÈS</v>
      </c>
      <c r="C26" s="218" t="str">
        <f>'201400116_ET'!B4</f>
        <v>DRETL Tanger Tétouan</v>
      </c>
      <c r="D26" s="54">
        <f>'201400116_ET'!F57</f>
        <v>3597360</v>
      </c>
      <c r="E26" s="54">
        <f>'201400116_ET'!W57</f>
        <v>792000</v>
      </c>
      <c r="F26" s="54">
        <f>'201400116_ET'!AB57</f>
        <v>792000</v>
      </c>
      <c r="G26" s="54">
        <f>'201400116_ET'!L57</f>
        <v>342000</v>
      </c>
      <c r="H26" s="281">
        <f>G26-'201400116_ET'!X57</f>
        <v>297360</v>
      </c>
      <c r="I26" s="54">
        <f>'201400116_ET'!N57</f>
        <v>111840</v>
      </c>
      <c r="J26" s="650">
        <f>I26-'201400116_ET'!Y57</f>
        <v>67200</v>
      </c>
      <c r="K26" s="54">
        <f>'201400116_ET'!P57</f>
        <v>342000</v>
      </c>
      <c r="L26" s="54">
        <f>K26-'201400116_ET'!Z57</f>
        <v>342000</v>
      </c>
      <c r="M26" s="54">
        <f>'201400116_ET'!R57</f>
        <v>0</v>
      </c>
      <c r="N26" s="54">
        <f>M26-'201400116_ET'!AA57</f>
        <v>0</v>
      </c>
      <c r="O26" s="651">
        <f>'201400116_ET'!T57</f>
        <v>450000</v>
      </c>
      <c r="P26" s="1491"/>
      <c r="Q26" s="54">
        <f>'201400116_ET'!D4</f>
        <v>0</v>
      </c>
      <c r="R26" s="55" t="str">
        <f>'201400116_ET'!G3</f>
        <v>KHOMSI</v>
      </c>
      <c r="T26" s="221">
        <f>'201400116_ET'!E1</f>
        <v>42369</v>
      </c>
      <c r="V26" s="57" t="str">
        <f>'201400116_ET'!A57</f>
        <v>Dépassement des quantités</v>
      </c>
      <c r="AZ26" s="570"/>
    </row>
    <row r="27" spans="1:52" s="56" customFormat="1" ht="33.75" customHeight="1">
      <c r="A27" s="2389">
        <v>201400097</v>
      </c>
      <c r="B27" s="53" t="str">
        <f>UPPER('201400097_ET'!B2)</f>
        <v>ETUDE DE L'AXE AUTOROUTIER AGADIR-GUELMIM</v>
      </c>
      <c r="C27" s="218" t="str">
        <f>'201400097_ET'!B4</f>
        <v>DRETL Agadir Sous Massa Draa</v>
      </c>
      <c r="D27" s="54">
        <f>'201400097_ET'!F57</f>
        <v>3368760</v>
      </c>
      <c r="E27" s="54">
        <f>'201400097_ET'!W57</f>
        <v>804000</v>
      </c>
      <c r="F27" s="54">
        <f>'201400097_ET'!AB57</f>
        <v>804000</v>
      </c>
      <c r="G27" s="54">
        <f>'201400097_ET'!L57</f>
        <v>324000</v>
      </c>
      <c r="H27" s="281">
        <f>G27-'201400097_ET'!X57</f>
        <v>279360</v>
      </c>
      <c r="I27" s="54">
        <f>'201400097_ET'!N57</f>
        <v>109920</v>
      </c>
      <c r="J27" s="650">
        <f>I27-'201400097_ET'!Y57</f>
        <v>65280</v>
      </c>
      <c r="K27" s="54">
        <f>'201400097_ET'!P57</f>
        <v>324000</v>
      </c>
      <c r="L27" s="54">
        <f>K27-'201400097_ET'!Z57</f>
        <v>324000</v>
      </c>
      <c r="M27" s="54">
        <f>'201400097_ET'!R57</f>
        <v>0</v>
      </c>
      <c r="N27" s="54">
        <f>M27-'201400097_ET'!AA57</f>
        <v>0</v>
      </c>
      <c r="O27" s="651">
        <f>'201400097_ET'!T57</f>
        <v>480000</v>
      </c>
      <c r="P27" s="1491"/>
      <c r="Q27" s="54">
        <f>'201400097_ET'!D4</f>
        <v>0</v>
      </c>
      <c r="R27" s="55" t="str">
        <f>'201400097_ET'!G3</f>
        <v>KHOMSI</v>
      </c>
      <c r="T27" s="221">
        <f>'201400097_ET'!E1</f>
        <v>42369</v>
      </c>
      <c r="V27" s="57" t="str">
        <f>'201400097_ET'!A57</f>
        <v>Dépassement des quantités</v>
      </c>
      <c r="AZ27" s="570"/>
    </row>
    <row r="28" spans="1:52" s="56" customFormat="1" ht="33.75" customHeight="1">
      <c r="A28" s="2389">
        <v>201400015</v>
      </c>
      <c r="B28" s="53" t="str">
        <f>UPPER('201400015_ET'!B2)</f>
        <v>REALISATION D'UNE ETUDE VISANT LE CALCUL, L'ACTUALISATION ET LE SUIVI DE LA STRUCTURE DES COUTS DE REFERENCE DU TRANSPORT ROUTIER ET LA MISE EN PLACE D'UNE APPLICATION INFORMATIQUE</v>
      </c>
      <c r="C28" s="218" t="str">
        <f>'201400015_ET'!B4</f>
        <v>DSPCT</v>
      </c>
      <c r="D28" s="54">
        <f>'201400015_ET'!F57</f>
        <v>4560000</v>
      </c>
      <c r="E28" s="54">
        <f>'201400015_ET'!W57</f>
        <v>4560000</v>
      </c>
      <c r="F28" s="54">
        <f>'201400015_ET'!AB57</f>
        <v>0</v>
      </c>
      <c r="G28" s="54">
        <f>'201400015_ET'!L57</f>
        <v>400000</v>
      </c>
      <c r="H28" s="281">
        <f>G28-'201400015_ET'!X57</f>
        <v>400000</v>
      </c>
      <c r="I28" s="54">
        <f>'201400015_ET'!N57</f>
        <v>343409</v>
      </c>
      <c r="J28" s="650">
        <f>I28-'201400015_ET'!Y57</f>
        <v>343409</v>
      </c>
      <c r="K28" s="54">
        <f>'201400015_ET'!P57</f>
        <v>0</v>
      </c>
      <c r="L28" s="54">
        <f>K28-'201400015_ET'!Z57</f>
        <v>0</v>
      </c>
      <c r="M28" s="54">
        <f>'201400015_ET'!R57</f>
        <v>0</v>
      </c>
      <c r="N28" s="54">
        <f>M28-'201400015_ET'!AA57</f>
        <v>0</v>
      </c>
      <c r="O28" s="651">
        <f>'201400015_ET'!T57</f>
        <v>4160000</v>
      </c>
      <c r="P28" s="1491"/>
      <c r="Q28" s="54">
        <f>'201400015_ET'!D4</f>
        <v>0</v>
      </c>
      <c r="R28" s="55" t="str">
        <f>'201400015_ET'!G3</f>
        <v>MOUSTAID</v>
      </c>
      <c r="T28" s="221">
        <f>'201400015_ET'!E1</f>
        <v>42369</v>
      </c>
      <c r="V28" s="57" t="str">
        <f>'201400015_ET'!A57</f>
        <v>Dépassement des quantités</v>
      </c>
      <c r="AZ28" s="570"/>
    </row>
    <row r="29" spans="1:52" s="56" customFormat="1" ht="33.75" customHeight="1">
      <c r="A29" s="2389">
        <v>201400007</v>
      </c>
      <c r="B29" s="53" t="str">
        <f>UPPER('201400007_ET'!B2)</f>
        <v>ETUDE DU SCHEMA DIRECTEUR DE MOBILITE NATIONALE</v>
      </c>
      <c r="C29" s="218" t="str">
        <f>'201400007_ET'!B4</f>
        <v>DSPCT</v>
      </c>
      <c r="D29" s="54">
        <f>'201400007_ET'!F57</f>
        <v>4200000</v>
      </c>
      <c r="E29" s="54">
        <f>'201400007_ET'!W57</f>
        <v>4200000</v>
      </c>
      <c r="F29" s="54">
        <f>'201400007_ET'!AB57</f>
        <v>4200000</v>
      </c>
      <c r="G29" s="54">
        <f>'201400007_ET'!L57</f>
        <v>600000</v>
      </c>
      <c r="H29" s="281">
        <f>G29-'201400007_ET'!X57</f>
        <v>360000</v>
      </c>
      <c r="I29" s="54">
        <f>'201400007_ET'!N57</f>
        <v>38082.239999999998</v>
      </c>
      <c r="J29" s="650">
        <f>I29-'201400007_ET'!Y57</f>
        <v>38082.239999999998</v>
      </c>
      <c r="K29" s="54">
        <f>'201400007_ET'!P57</f>
        <v>540000</v>
      </c>
      <c r="L29" s="54">
        <f>K29-'201400007_ET'!Z57</f>
        <v>540000</v>
      </c>
      <c r="M29" s="54">
        <f>'201400007_ET'!R57</f>
        <v>0</v>
      </c>
      <c r="N29" s="54">
        <f>M29-'201400007_ET'!AA57</f>
        <v>0</v>
      </c>
      <c r="O29" s="651">
        <f>'201400007_ET'!T57</f>
        <v>3600000</v>
      </c>
      <c r="P29" s="1491"/>
      <c r="Q29" s="54">
        <f>'201400007_ET'!D4</f>
        <v>0</v>
      </c>
      <c r="R29" s="55" t="str">
        <f>'201400007_ET'!G3</f>
        <v>Oussama KHOMSI</v>
      </c>
      <c r="T29" s="221">
        <f>'201400007_ET'!E1</f>
        <v>42369</v>
      </c>
      <c r="V29" s="57">
        <f>'201400007_ET'!A57</f>
        <v>0</v>
      </c>
      <c r="AZ29" s="570"/>
    </row>
    <row r="30" spans="1:52" s="56" customFormat="1" ht="33.75" customHeight="1">
      <c r="A30" s="2389">
        <v>201301585</v>
      </c>
      <c r="B30" s="53" t="str">
        <f>UPPER('201301585_ET'!B2)</f>
        <v>RELATIF AU CHOIX D'UN BUEREAU D'ETUDES POUR L'ELABORATION D'UN GUIDE REFERENTIEL POUR AMENAGEMENTS DE SECURITE ROUTIERE EN MILIEU URBAIN</v>
      </c>
      <c r="C30" s="218" t="str">
        <f>'201301585_ET'!B4</f>
        <v>CNPAC</v>
      </c>
      <c r="D30" s="54">
        <f>'201301585_ET'!F57</f>
        <v>1596000</v>
      </c>
      <c r="E30" s="54">
        <f>'201301585_ET'!W57</f>
        <v>1596000</v>
      </c>
      <c r="F30" s="54">
        <f>'201301585_ET'!AB57</f>
        <v>1596000</v>
      </c>
      <c r="G30" s="54">
        <f>'201301585_ET'!L57</f>
        <v>1014000</v>
      </c>
      <c r="H30" s="281">
        <f>G30-'201301585_ET'!X57</f>
        <v>58800</v>
      </c>
      <c r="I30" s="54">
        <f>'201301585_ET'!N57</f>
        <v>0</v>
      </c>
      <c r="J30" s="650">
        <f>I30-'201301585_ET'!Y57</f>
        <v>0</v>
      </c>
      <c r="K30" s="54">
        <f>'201301585_ET'!P57</f>
        <v>955200</v>
      </c>
      <c r="L30" s="54">
        <f>K30-'201301585_ET'!Z57</f>
        <v>0</v>
      </c>
      <c r="M30" s="54">
        <f>'201301585_ET'!R57</f>
        <v>0</v>
      </c>
      <c r="N30" s="54">
        <f>M30-'201301585_ET'!AA57</f>
        <v>0</v>
      </c>
      <c r="O30" s="651">
        <f>'201301585_ET'!T57</f>
        <v>582000</v>
      </c>
      <c r="P30" s="1491"/>
      <c r="Q30" s="54">
        <f>'201301585_ET'!D4</f>
        <v>0</v>
      </c>
      <c r="R30" s="55" t="str">
        <f>'201301585_ET'!G3</f>
        <v>MOUSTAID</v>
      </c>
      <c r="T30" s="221">
        <f>'201301585_ET'!E1</f>
        <v>42369</v>
      </c>
      <c r="V30" s="57" t="str">
        <f>'201301585_ET'!A57</f>
        <v>Dépassement des quantités</v>
      </c>
      <c r="AZ30" s="570"/>
    </row>
    <row r="31" spans="1:52" s="56" customFormat="1" ht="33.75" customHeight="1">
      <c r="A31" s="2389">
        <v>201301466</v>
      </c>
      <c r="B31" s="53" t="str">
        <f>UPPER('201301466_ET'!B2)</f>
        <v>ETUDE DE TRAFIC ET DE RENTABILITE ECONOMIQUE DE FINANCIERE DE L'AUTOROUTE RELIANT LA PARTIE TERMINALE DE L'AUTOROUTE FES-OUJDA A L'AUTOROUTE EST-OUEST ALGERIENNE</v>
      </c>
      <c r="C31" s="218" t="str">
        <f>'201301466_ET'!B4</f>
        <v>ADM</v>
      </c>
      <c r="D31" s="54">
        <f>'201301466_ET'!F58</f>
        <v>168300</v>
      </c>
      <c r="E31" s="54">
        <f>'201301466_ET'!W58</f>
        <v>168300</v>
      </c>
      <c r="F31" s="54">
        <f>'201301466_ET'!AB58</f>
        <v>168300</v>
      </c>
      <c r="G31" s="54">
        <f>'201301466_ET'!L58</f>
        <v>168300</v>
      </c>
      <c r="H31" s="281">
        <f>G31-'201301466_ET'!X58</f>
        <v>0</v>
      </c>
      <c r="I31" s="54">
        <f>'201301466_ET'!N58</f>
        <v>7620</v>
      </c>
      <c r="J31" s="650">
        <f>I31-'201301466_ET'!Y58</f>
        <v>0</v>
      </c>
      <c r="K31" s="54">
        <f>'201301466_ET'!P58</f>
        <v>0</v>
      </c>
      <c r="L31" s="54">
        <f>K31-'201301466_ET'!Z58</f>
        <v>0</v>
      </c>
      <c r="M31" s="54">
        <f>'201301466_ET'!R58</f>
        <v>0</v>
      </c>
      <c r="N31" s="54">
        <f>M31-'201301466_ET'!AA58</f>
        <v>0</v>
      </c>
      <c r="O31" s="651">
        <f>'201301466_ET'!T58</f>
        <v>0</v>
      </c>
      <c r="P31" s="1491"/>
      <c r="Q31" s="54">
        <f>'201301466_ET'!D4</f>
        <v>0</v>
      </c>
      <c r="R31" s="55" t="str">
        <f>'201301466_ET'!G3</f>
        <v>Oussama KHOMSI</v>
      </c>
      <c r="T31" s="221">
        <f>'201301466_ET'!E1</f>
        <v>42369</v>
      </c>
      <c r="V31" s="57">
        <f>'201301466_ET'!A58</f>
        <v>0</v>
      </c>
      <c r="AZ31" s="570"/>
    </row>
    <row r="32" spans="1:52" s="56" customFormat="1" ht="33.75" customHeight="1">
      <c r="A32" s="2389">
        <v>201301121</v>
      </c>
      <c r="B32" s="53" t="str">
        <f>UPPER('201301121_ET'!B2)</f>
        <v>PLAN DE DEPLACEMENTS URBAINS DE LA VILLE DE TIFLET (PROVINCE KHEMISSET)</v>
      </c>
      <c r="C32" s="218" t="str">
        <f>'201301121_ET'!B4</f>
        <v>AGENCE URBAINE DE KHEMISSET</v>
      </c>
      <c r="D32" s="54">
        <f>'201301121_ET'!F57</f>
        <v>588000</v>
      </c>
      <c r="E32" s="54">
        <f>'201301121_ET'!W57</f>
        <v>588000</v>
      </c>
      <c r="F32" s="54">
        <f>'201301121_ET'!AB57</f>
        <v>588000</v>
      </c>
      <c r="G32" s="54">
        <f>'201301121_ET'!L57</f>
        <v>452760</v>
      </c>
      <c r="H32" s="281">
        <f>G32-'201301121_ET'!X57</f>
        <v>188160</v>
      </c>
      <c r="I32" s="54">
        <f>'201301121_ET'!N57</f>
        <v>77760</v>
      </c>
      <c r="J32" s="650">
        <f>I32-'201301121_ET'!Y57</f>
        <v>0</v>
      </c>
      <c r="K32" s="54">
        <f>'201301121_ET'!P57</f>
        <v>264600</v>
      </c>
      <c r="L32" s="54">
        <f>K32-'201301121_ET'!Z57</f>
        <v>264600</v>
      </c>
      <c r="M32" s="54">
        <f>'201301121_ET'!R57</f>
        <v>277190</v>
      </c>
      <c r="N32" s="54">
        <f>M32-'201301121_ET'!AA57</f>
        <v>277190</v>
      </c>
      <c r="O32" s="651">
        <f>'201301121_ET'!T57</f>
        <v>135240</v>
      </c>
      <c r="P32" s="1491"/>
      <c r="Q32" s="54">
        <f>'201301121_ET'!D4</f>
        <v>0</v>
      </c>
      <c r="R32" s="55" t="str">
        <f>'201301121_ET'!G3</f>
        <v>MOUSTAID</v>
      </c>
      <c r="T32" s="221">
        <f>'201301121_ET'!E1</f>
        <v>42369</v>
      </c>
      <c r="V32" s="57" t="str">
        <f>'201301121_ET'!A57</f>
        <v>Dépassement des quantités</v>
      </c>
      <c r="AZ32" s="570"/>
    </row>
    <row r="33" spans="1:52" s="56" customFormat="1" ht="33.75" customHeight="1">
      <c r="A33" s="2389">
        <v>201301087</v>
      </c>
      <c r="B33" s="53" t="str">
        <f>UPPER('201301087_ET'!B2)</f>
        <v>RER DE CASABLANCA : ETUDE DE TRAFIC ET DE RENTABILITE ECONOMIQUE ET FINANCIERE</v>
      </c>
      <c r="C33" s="218" t="str">
        <f>'201301087_ET'!B4</f>
        <v>ONCF</v>
      </c>
      <c r="D33" s="54">
        <f>'201301087_ET'!F58</f>
        <v>493200</v>
      </c>
      <c r="E33" s="54">
        <f>'201301087_ET'!W58</f>
        <v>493200</v>
      </c>
      <c r="F33" s="54">
        <f>'201301087_ET'!AB58</f>
        <v>493200</v>
      </c>
      <c r="G33" s="54">
        <f>'201301087_ET'!L58</f>
        <v>0</v>
      </c>
      <c r="H33" s="281">
        <f>G33-'201301087_ET'!X58</f>
        <v>0</v>
      </c>
      <c r="I33" s="54">
        <f>'201301087_ET'!N58</f>
        <v>0</v>
      </c>
      <c r="J33" s="650">
        <f>I33-'201301087_ET'!Y58</f>
        <v>0</v>
      </c>
      <c r="K33" s="54">
        <f>'201301087_ET'!P58</f>
        <v>0</v>
      </c>
      <c r="L33" s="54">
        <f>K33-'201301087_ET'!Z58</f>
        <v>0</v>
      </c>
      <c r="M33" s="54">
        <f>'201301087_ET'!R58</f>
        <v>0</v>
      </c>
      <c r="N33" s="54">
        <f>M33-'201301087_ET'!AA58</f>
        <v>0</v>
      </c>
      <c r="O33" s="651">
        <f>'201301087_ET'!T58</f>
        <v>493200</v>
      </c>
      <c r="P33" s="1491"/>
      <c r="Q33" s="54">
        <f>'201301087_ET'!D4</f>
        <v>0</v>
      </c>
      <c r="R33" s="55" t="str">
        <f>'201301087_ET'!G3</f>
        <v>Oussama KHOMSI</v>
      </c>
      <c r="T33" s="221">
        <f>'201301087_ET'!E1</f>
        <v>42369</v>
      </c>
      <c r="V33" s="57">
        <f>'201301087_ET'!A58</f>
        <v>0</v>
      </c>
      <c r="AZ33" s="570"/>
    </row>
    <row r="34" spans="1:52" s="56" customFormat="1" ht="33.75" customHeight="1">
      <c r="A34" s="2389">
        <v>201300767</v>
      </c>
      <c r="B34" s="53" t="str">
        <f>UPPER('201300767_ET'!B2)</f>
        <v>ETUDE RELATIVES A L'ETABLISSEMENT DU PLAN DE DEPLACEMENTS URBAINS DE L'AGGLOMERATION DE KENITRA</v>
      </c>
      <c r="C34" s="218" t="str">
        <f>'201300767_ET'!B4</f>
        <v>COMMUNE URBAINE DE KENITRA</v>
      </c>
      <c r="D34" s="54">
        <f>'201300767_ET'!F58</f>
        <v>3621024</v>
      </c>
      <c r="E34" s="54">
        <f>'201300767_ET'!W58</f>
        <v>3621024</v>
      </c>
      <c r="F34" s="54">
        <f>'201300767_ET'!AB58</f>
        <v>3621024</v>
      </c>
      <c r="G34" s="54">
        <f>'201300767_ET'!L58</f>
        <v>2286504</v>
      </c>
      <c r="H34" s="281">
        <f>G34-'201300767_ET'!X58</f>
        <v>417067.19999999995</v>
      </c>
      <c r="I34" s="54">
        <f>'201300767_ET'!N58</f>
        <v>477883</v>
      </c>
      <c r="J34" s="650">
        <f>I34-'201300767_ET'!Y58</f>
        <v>0</v>
      </c>
      <c r="K34" s="54">
        <f>'201300767_ET'!P58</f>
        <v>201168</v>
      </c>
      <c r="L34" s="54">
        <f>K34-'201300767_ET'!Z58</f>
        <v>201168</v>
      </c>
      <c r="M34" s="54">
        <f>'201300767_ET'!R58</f>
        <v>0</v>
      </c>
      <c r="N34" s="54">
        <f>M34-'201300767_ET'!AA58</f>
        <v>0</v>
      </c>
      <c r="O34" s="651">
        <f>'201300767_ET'!T58</f>
        <v>1334520</v>
      </c>
      <c r="P34" s="1491"/>
      <c r="Q34" s="54">
        <f>'201300767_ET'!D4</f>
        <v>0</v>
      </c>
      <c r="R34" s="55" t="str">
        <f>'201300767_ET'!G3</f>
        <v>Oussama KHOMSI</v>
      </c>
      <c r="T34" s="221">
        <f>'201300767_ET'!E1</f>
        <v>42369</v>
      </c>
      <c r="V34" s="57">
        <f>'201300767_ET'!A58</f>
        <v>0</v>
      </c>
      <c r="AZ34" s="570"/>
    </row>
    <row r="35" spans="1:52" s="56" customFormat="1" ht="33.75" customHeight="1">
      <c r="A35" s="2389">
        <v>201200568</v>
      </c>
      <c r="B35" s="53" t="str">
        <f>UPPER('201200568_ET'!B2)</f>
        <v>MISSION D'ACCOMPAGNEMENT DE LA DIRECTION DES ROUTES POUR LA DEFINITION DU 3EME PROGRAMME DES ROUTES RURALES</v>
      </c>
      <c r="C35" s="218" t="str">
        <f>'201200568_ET'!B4</f>
        <v>DIRECTION DES ROUTES</v>
      </c>
      <c r="D35" s="54">
        <f>'201200568_ET'!F57</f>
        <v>1776000</v>
      </c>
      <c r="E35" s="54">
        <f>'201200568_ET'!W57</f>
        <v>1776000</v>
      </c>
      <c r="F35" s="54">
        <f>'201200568_ET'!AB57</f>
        <v>1776000</v>
      </c>
      <c r="G35" s="54">
        <f>'201200568_ET'!L57</f>
        <v>1243200</v>
      </c>
      <c r="H35" s="281">
        <f>G35-'201200568_ET'!X57</f>
        <v>67200</v>
      </c>
      <c r="I35" s="54">
        <f>'201200568_ET'!N57</f>
        <v>330000</v>
      </c>
      <c r="J35" s="650">
        <f>I35-'201200568_ET'!Y57</f>
        <v>0</v>
      </c>
      <c r="K35" s="54">
        <f>'201200568_ET'!P57</f>
        <v>1176000</v>
      </c>
      <c r="L35" s="54">
        <f>K35-'201200568_ET'!Z57</f>
        <v>0</v>
      </c>
      <c r="M35" s="54">
        <f>'201200568_ET'!R57</f>
        <v>1423698</v>
      </c>
      <c r="N35" s="54">
        <f>M35-'201200568_ET'!AA57</f>
        <v>1423698</v>
      </c>
      <c r="O35" s="651">
        <f>'201200568_ET'!T57</f>
        <v>532800</v>
      </c>
      <c r="P35" s="1491"/>
      <c r="Q35" s="54">
        <f>'201200568_ET'!D4</f>
        <v>0</v>
      </c>
      <c r="R35" s="55" t="str">
        <f>'201200568_ET'!G3</f>
        <v>Abdelghani MOUSTAID</v>
      </c>
      <c r="T35" s="221">
        <f>'201200568_ET'!E1</f>
        <v>42369</v>
      </c>
      <c r="V35" s="57">
        <f>'201200568_ET'!A57</f>
        <v>0</v>
      </c>
      <c r="AZ35" s="570"/>
    </row>
    <row r="36" spans="1:52" s="56" customFormat="1" ht="33.75" customHeight="1">
      <c r="A36" s="2389">
        <v>201200552</v>
      </c>
      <c r="B36" s="53" t="str">
        <f>UPPER('201200552_ET'!B2)</f>
        <v>ETUDE DE PROXIMITE POUR L'AMELIORATION DES CONDITIONS DE TRANSPORT DANS LES COMMUNES RURALES RELEVANT DES PROVINCES DE TINGHIR ET SIDI IFNI</v>
      </c>
      <c r="C36" s="218" t="str">
        <f>'201200552_ET'!B4</f>
        <v>DRE SOUSS MASSA</v>
      </c>
      <c r="D36" s="54">
        <f>'201200552_ET'!F49</f>
        <v>1249980</v>
      </c>
      <c r="E36" s="54">
        <f>'201200552_ET'!W49</f>
        <v>1249980</v>
      </c>
      <c r="F36" s="54">
        <f>'201200552_ET'!AB49</f>
        <v>1249980</v>
      </c>
      <c r="G36" s="54">
        <f>'201200552_ET'!L49</f>
        <v>1200864</v>
      </c>
      <c r="H36" s="281">
        <f>G36-'201200552_ET'!X49</f>
        <v>196464</v>
      </c>
      <c r="I36" s="54">
        <f>'201200552_ET'!N49</f>
        <v>137914.28571428571</v>
      </c>
      <c r="J36" s="650">
        <f>I36-'201200552_ET'!Y49</f>
        <v>0</v>
      </c>
      <c r="K36" s="54">
        <f>'201200552_ET'!P49</f>
        <v>1004400</v>
      </c>
      <c r="L36" s="54">
        <f>K36-'201200552_ET'!Z49</f>
        <v>0</v>
      </c>
      <c r="M36" s="54">
        <f>'201200552_ET'!R49</f>
        <v>462000</v>
      </c>
      <c r="N36" s="54">
        <f>M36-'201200552_ET'!AA49</f>
        <v>0</v>
      </c>
      <c r="O36" s="651">
        <f>'201200552_ET'!T49</f>
        <v>49116</v>
      </c>
      <c r="P36" s="1491"/>
      <c r="Q36" s="54">
        <f>'201200552_ET'!D4</f>
        <v>0</v>
      </c>
      <c r="R36" s="55" t="str">
        <f>'201200552_ET'!G3</f>
        <v>Abdelghani MOUSTAID</v>
      </c>
      <c r="T36" s="221">
        <f>'201200552_ET'!E1</f>
        <v>42369</v>
      </c>
      <c r="V36" s="57">
        <f>'201200552_ET'!A49</f>
        <v>0</v>
      </c>
      <c r="AZ36" s="570"/>
    </row>
    <row r="37" spans="1:52" s="56" customFormat="1" ht="33.75" customHeight="1">
      <c r="A37" s="2389">
        <v>201200551</v>
      </c>
      <c r="B37" s="53" t="str">
        <f>UPPER('201200551_ET'!B2)</f>
        <v>ETUDE DE PROXIMITE POUR L'AMELIORATION DES CONDITIONS DE TRANSPORT DANS LES COMMUNES RURALES RELEVANT DE LA PROVINCE DE GUERCIF</v>
      </c>
      <c r="C37" s="218" t="str">
        <f>'201200551_ET'!B4</f>
        <v>DRE TAZA-AL HOCEIMA-TAOUNATE</v>
      </c>
      <c r="D37" s="54">
        <f>'201200551_ET'!F57</f>
        <v>468000</v>
      </c>
      <c r="E37" s="54">
        <f>'201200551_ET'!W57</f>
        <v>468000</v>
      </c>
      <c r="F37" s="54">
        <f>'201200551_ET'!AB57</f>
        <v>468000</v>
      </c>
      <c r="G37" s="54">
        <f>'201200551_ET'!L57</f>
        <v>124800</v>
      </c>
      <c r="H37" s="281">
        <f>G37-'201200551_ET'!X57</f>
        <v>0</v>
      </c>
      <c r="I37" s="54">
        <f>'201200551_ET'!N57</f>
        <v>4600</v>
      </c>
      <c r="J37" s="650">
        <f>I37-'201200551_ET'!Y57</f>
        <v>0</v>
      </c>
      <c r="K37" s="54">
        <f>'201200551_ET'!P57</f>
        <v>0</v>
      </c>
      <c r="L37" s="54">
        <f>K37-'201200551_ET'!Z57</f>
        <v>0</v>
      </c>
      <c r="M37" s="54">
        <f>'201200551_ET'!R57</f>
        <v>0</v>
      </c>
      <c r="N37" s="54">
        <f>M37-'201200551_ET'!AA57</f>
        <v>0</v>
      </c>
      <c r="O37" s="651">
        <f>'201200551_ET'!T57</f>
        <v>343200</v>
      </c>
      <c r="P37" s="1491"/>
      <c r="Q37" s="54">
        <f>'201200551_ET'!D4</f>
        <v>0</v>
      </c>
      <c r="R37" s="55" t="str">
        <f>'201200551_ET'!G3</f>
        <v>Oussama KHOMSI</v>
      </c>
      <c r="T37" s="221">
        <f>'201200551_ET'!E1</f>
        <v>42369</v>
      </c>
      <c r="V37" s="57">
        <f>'201200551_ET'!A57</f>
        <v>0</v>
      </c>
      <c r="AZ37" s="570"/>
    </row>
    <row r="38" spans="1:52" s="56" customFormat="1" ht="33.75" customHeight="1">
      <c r="A38" s="2389">
        <v>201200365</v>
      </c>
      <c r="B38" s="53" t="str">
        <f>UPPER('201200365_ET'!B2)</f>
        <v>ETUDE RELATIVE A L'IDENTIFICATION DES ZONES D'ACCUMULATION DES ACCIDENTS DE LA CIRCULATION SURVENUS DANS LA VILLE DE TETOUAN</v>
      </c>
      <c r="C38" s="218" t="str">
        <f>'201200365_ET'!B4</f>
        <v>CNPAC</v>
      </c>
      <c r="D38" s="54">
        <f>'201200365_ET'!F57</f>
        <v>720000</v>
      </c>
      <c r="E38" s="54">
        <f>'201200365_ET'!W57</f>
        <v>720000</v>
      </c>
      <c r="F38" s="54">
        <f>'201200365_ET'!AB57</f>
        <v>600000</v>
      </c>
      <c r="G38" s="54">
        <f>'201200365_ET'!L57</f>
        <v>525600</v>
      </c>
      <c r="H38" s="281">
        <f>G38-'201200365_ET'!X57</f>
        <v>0</v>
      </c>
      <c r="I38" s="54">
        <f>'201200365_ET'!N57</f>
        <v>139080</v>
      </c>
      <c r="J38" s="650">
        <f>I38-'201200365_ET'!Y57</f>
        <v>5880</v>
      </c>
      <c r="K38" s="54">
        <f>'201200365_ET'!P57</f>
        <v>525600</v>
      </c>
      <c r="L38" s="54">
        <f>K38-'201200365_ET'!Z57</f>
        <v>0</v>
      </c>
      <c r="M38" s="54">
        <f>'201200365_ET'!R57</f>
        <v>0</v>
      </c>
      <c r="N38" s="54">
        <f>M38-'201200365_ET'!AA57</f>
        <v>0</v>
      </c>
      <c r="O38" s="651">
        <f>'201200365_ET'!T57</f>
        <v>194400</v>
      </c>
      <c r="P38" s="1491"/>
      <c r="Q38" s="54">
        <f>'201200365_ET'!D4</f>
        <v>0</v>
      </c>
      <c r="R38" s="55" t="str">
        <f>'201200365_ET'!G3</f>
        <v>Oussama KHOMSI</v>
      </c>
      <c r="T38" s="221">
        <f>'201200365_ET'!E1</f>
        <v>42369</v>
      </c>
      <c r="V38" s="57" t="str">
        <f>'201200365_ET'!A57</f>
        <v>Dépassement des quantités</v>
      </c>
      <c r="AZ38" s="570"/>
    </row>
    <row r="39" spans="1:52" s="56" customFormat="1" ht="33.75" customHeight="1">
      <c r="A39" s="2389">
        <v>201200364</v>
      </c>
      <c r="B39" s="53" t="str">
        <f>UPPER('201200364_ET'!B2)</f>
        <v>ETUDE RELATIVE A L'IDENTIFICATION DES ZONES D'ACCUMULATION DES ACCIDENTS DE LA CIRCULATION SURVENUS DANS LA VILLE DE TANGER</v>
      </c>
      <c r="C39" s="218" t="str">
        <f>'201200364_ET'!B4</f>
        <v>CNPAC</v>
      </c>
      <c r="D39" s="54">
        <f>'201200364_ET'!F57</f>
        <v>780000</v>
      </c>
      <c r="E39" s="54">
        <f>'201200364_ET'!W57</f>
        <v>780000</v>
      </c>
      <c r="F39" s="54">
        <f>'201200364_ET'!AB57</f>
        <v>600000</v>
      </c>
      <c r="G39" s="54">
        <f>'201200364_ET'!L57</f>
        <v>564000</v>
      </c>
      <c r="H39" s="281">
        <f>G39-'201200364_ET'!X57</f>
        <v>0</v>
      </c>
      <c r="I39" s="54">
        <f>'201200364_ET'!N57</f>
        <v>197880</v>
      </c>
      <c r="J39" s="650">
        <f>I39-'201200364_ET'!Y57</f>
        <v>5880</v>
      </c>
      <c r="K39" s="54">
        <f>'201200364_ET'!P57</f>
        <v>564000</v>
      </c>
      <c r="L39" s="54">
        <f>K39-'201200364_ET'!Z57</f>
        <v>0</v>
      </c>
      <c r="M39" s="54">
        <f>'201200364_ET'!R57</f>
        <v>0</v>
      </c>
      <c r="N39" s="54">
        <f>M39-'201200364_ET'!AA57</f>
        <v>0</v>
      </c>
      <c r="O39" s="651">
        <f>'201200364_ET'!T57</f>
        <v>216000</v>
      </c>
      <c r="P39" s="1491"/>
      <c r="Q39" s="54">
        <f>'201200364_ET'!D4</f>
        <v>0</v>
      </c>
      <c r="R39" s="55" t="str">
        <f>'201200364_ET'!G3</f>
        <v>Oussama KHOMSI</v>
      </c>
      <c r="T39" s="221">
        <f>'201200364_ET'!E1</f>
        <v>42369</v>
      </c>
      <c r="V39" s="57" t="str">
        <f>'201200364_ET'!A57</f>
        <v>Dépassement des quantités</v>
      </c>
      <c r="AZ39" s="570"/>
    </row>
    <row r="40" spans="1:52" s="56" customFormat="1" ht="33.75" customHeight="1">
      <c r="A40" s="2389">
        <v>201200077</v>
      </c>
      <c r="B40" s="53" t="str">
        <f>UPPER('201200077_ET'!B2)</f>
        <v>CONSULTATION POUR LA REALISATION DE L'ETUDE DE CIRCULATION A L'INTERIEUR ET AUX ALENTOURS DU SITE LES ARENES DE CASABLANCA</v>
      </c>
      <c r="C40" s="218" t="str">
        <f>'201200077_ET'!B4</f>
        <v>ALLIANCES  SA</v>
      </c>
      <c r="D40" s="54">
        <f>'201200077_ET'!F57</f>
        <v>450000</v>
      </c>
      <c r="E40" s="54">
        <f>'201200077_ET'!W57</f>
        <v>450000</v>
      </c>
      <c r="F40" s="54">
        <f>'201200077_ET'!AB57</f>
        <v>450000</v>
      </c>
      <c r="G40" s="54">
        <f>'201200077_ET'!L57</f>
        <v>360720</v>
      </c>
      <c r="H40" s="281">
        <f>G40-'201200077_ET'!X57</f>
        <v>0</v>
      </c>
      <c r="I40" s="54">
        <f>'201200077_ET'!N57</f>
        <v>14100</v>
      </c>
      <c r="J40" s="650">
        <f>I40-'201200077_ET'!Y57</f>
        <v>0</v>
      </c>
      <c r="K40" s="54">
        <f>'201200077_ET'!P57</f>
        <v>300600</v>
      </c>
      <c r="L40" s="54">
        <f>K40-'201200077_ET'!Z57</f>
        <v>0</v>
      </c>
      <c r="M40" s="54">
        <f>'201200077_ET'!R57</f>
        <v>250200</v>
      </c>
      <c r="N40" s="54">
        <f>M40-'201200077_ET'!AA57</f>
        <v>250200</v>
      </c>
      <c r="O40" s="651">
        <f>'201200077_ET'!T57</f>
        <v>89280</v>
      </c>
      <c r="P40" s="1491"/>
      <c r="Q40" s="54">
        <f>'201200077_ET'!D4</f>
        <v>0</v>
      </c>
      <c r="R40" s="55" t="str">
        <f>'201200077_ET'!G3</f>
        <v>Oussama KHOMSI</v>
      </c>
      <c r="T40" s="221">
        <f>'201200077_ET'!E1</f>
        <v>42369</v>
      </c>
      <c r="V40" s="57" t="str">
        <f>'201200077_ET'!A57</f>
        <v>Dépassement des quantités</v>
      </c>
      <c r="AZ40" s="570"/>
    </row>
    <row r="41" spans="1:52" s="56" customFormat="1" ht="33.75" customHeight="1">
      <c r="A41" s="2389">
        <v>201101296</v>
      </c>
      <c r="B41" s="53" t="str">
        <f>UPPER('201101296_ET'!B2)</f>
        <v>ETUDE D'AMENAGEMENT ET DE CONSTRUCTION D'UN ACCES AU PARKING DES POIDS LOURDS A PARTIR DE LA PLATEFORME LOGISTIQUE DE ZENATA.</v>
      </c>
      <c r="C41" s="218" t="str">
        <f>'201101296_ET'!B4</f>
        <v>DPE MOHAMMEDIA</v>
      </c>
      <c r="D41" s="54">
        <f>'201101296_ET'!F57</f>
        <v>1356000</v>
      </c>
      <c r="E41" s="54">
        <f>'201101296_ET'!W57</f>
        <v>282000</v>
      </c>
      <c r="F41" s="54">
        <f>'201101296_ET'!AB57</f>
        <v>282000</v>
      </c>
      <c r="G41" s="54">
        <f>'201101296_ET'!L57</f>
        <v>282000</v>
      </c>
      <c r="H41" s="281">
        <f>G41-'201101296_ET'!X57</f>
        <v>28200</v>
      </c>
      <c r="I41" s="54">
        <f>'201101296_ET'!N57</f>
        <v>10914</v>
      </c>
      <c r="J41" s="650">
        <f>I41-'201101296_ET'!Y57</f>
        <v>0</v>
      </c>
      <c r="K41" s="54">
        <f>'201101296_ET'!P57</f>
        <v>112800</v>
      </c>
      <c r="L41" s="54">
        <f>K41-'201101296_ET'!Z57</f>
        <v>0</v>
      </c>
      <c r="M41" s="54">
        <f>'201101296_ET'!R57</f>
        <v>0</v>
      </c>
      <c r="N41" s="54">
        <f>M41-'201101296_ET'!AA57</f>
        <v>0</v>
      </c>
      <c r="O41" s="651">
        <f>'201101296_ET'!T57</f>
        <v>0</v>
      </c>
      <c r="P41" s="1491"/>
      <c r="Q41" s="54" t="str">
        <f>'201101296_ET'!D4</f>
        <v>ROUTES + DAO</v>
      </c>
      <c r="R41" s="55" t="str">
        <f>'201101296_ET'!G3</f>
        <v>Oussama KHOMSI</v>
      </c>
      <c r="T41" s="221">
        <f>'201101296_ET'!E1</f>
        <v>42369</v>
      </c>
      <c r="V41" s="57" t="str">
        <f>'201101296_ET'!A57</f>
        <v>Dépassement des quantités</v>
      </c>
      <c r="AZ41" s="570"/>
    </row>
    <row r="42" spans="1:52" s="56" customFormat="1" ht="33.75" customHeight="1">
      <c r="A42" s="2389">
        <v>201101061</v>
      </c>
      <c r="B42" s="53" t="str">
        <f>UPPER('201101061_ET'!B2)</f>
        <v>ETUDE DE PROXIMITE POUR L'AMELIORATION DES CONDITIONS DE TRANSPORT DANS LES COMMUNES RURALES RELEVANT DES PROVINCES DE NOUACEUR ET MEDIOUNA</v>
      </c>
      <c r="C42" s="218" t="str">
        <f>'201101061_ET'!B4</f>
        <v>DRET CASABLANCA</v>
      </c>
      <c r="D42" s="54">
        <f>'201101061_ET'!F49</f>
        <v>294000</v>
      </c>
      <c r="E42" s="54">
        <f>'201101061_ET'!W49</f>
        <v>294000</v>
      </c>
      <c r="F42" s="54">
        <f>'201101061_ET'!AB49</f>
        <v>294000</v>
      </c>
      <c r="G42" s="54">
        <f>'201101061_ET'!L49</f>
        <v>294000</v>
      </c>
      <c r="H42" s="281">
        <f>G42-'201101061_ET'!X49</f>
        <v>12000</v>
      </c>
      <c r="I42" s="54">
        <f>'201101061_ET'!N49</f>
        <v>30000</v>
      </c>
      <c r="J42" s="650">
        <f>I42-'201101061_ET'!Y49</f>
        <v>0</v>
      </c>
      <c r="K42" s="54">
        <f>'201101061_ET'!P49</f>
        <v>234000</v>
      </c>
      <c r="L42" s="54">
        <f>K42-'201101061_ET'!Z49</f>
        <v>0</v>
      </c>
      <c r="M42" s="54">
        <f>'201101061_ET'!R49</f>
        <v>204600</v>
      </c>
      <c r="N42" s="54">
        <f>M42-'201101061_ET'!AA49</f>
        <v>204600</v>
      </c>
      <c r="O42" s="651">
        <f>'201101061_ET'!T49</f>
        <v>0</v>
      </c>
      <c r="P42" s="1491"/>
      <c r="Q42" s="54">
        <f>'201101061_ET'!D4</f>
        <v>0</v>
      </c>
      <c r="R42" s="55" t="str">
        <f>'201101061_ET'!G3</f>
        <v>Abdelghani MOUSTAID</v>
      </c>
      <c r="T42" s="221">
        <f>'201101061_ET'!E1</f>
        <v>42369</v>
      </c>
      <c r="V42" s="57">
        <f>'201101061_ET'!A49</f>
        <v>0</v>
      </c>
      <c r="AZ42" s="570"/>
    </row>
    <row r="43" spans="1:52" s="56" customFormat="1" ht="33.75" customHeight="1">
      <c r="A43" s="2389">
        <v>201100884</v>
      </c>
      <c r="B43" s="53" t="str">
        <f>UPPER('201100884_ET '!B2)</f>
        <v>ETUDE DE PROXIMITE POUR L'AMELIORATION DES CONDITIONS DE TRANSPORT DANS LES COMMUNES RURALES RELEVANT DE LA PROVINCE DE KHEMISSET</v>
      </c>
      <c r="C43" s="218" t="str">
        <f>'201100884_ET '!B4</f>
        <v>DRE RSZZ</v>
      </c>
      <c r="D43" s="54">
        <f>'201100884_ET '!F49</f>
        <v>552000</v>
      </c>
      <c r="E43" s="54">
        <f>'201100884_ET '!W49</f>
        <v>552000</v>
      </c>
      <c r="F43" s="54">
        <f>'201100884_ET '!AB49</f>
        <v>552000</v>
      </c>
      <c r="G43" s="54">
        <f>'201100884_ET '!L49</f>
        <v>336000</v>
      </c>
      <c r="H43" s="281">
        <f>G43-'201100884_ET '!X49</f>
        <v>75600</v>
      </c>
      <c r="I43" s="54">
        <f>'201100884_ET '!N49</f>
        <v>67920</v>
      </c>
      <c r="J43" s="650">
        <f>I43-'201100884_ET '!Y49</f>
        <v>60720</v>
      </c>
      <c r="K43" s="54">
        <f>'201100884_ET '!P49</f>
        <v>210000</v>
      </c>
      <c r="L43" s="54">
        <f>K43-'201100884_ET '!Z49</f>
        <v>0</v>
      </c>
      <c r="M43" s="54">
        <f>'201100884_ET '!R49</f>
        <v>0</v>
      </c>
      <c r="N43" s="54">
        <f>M43-'201100884_ET '!AA49</f>
        <v>0</v>
      </c>
      <c r="O43" s="651">
        <f>'201100884_ET '!T49</f>
        <v>216000</v>
      </c>
      <c r="P43" s="1491"/>
      <c r="Q43" s="54">
        <f>'201100884_ET '!D4</f>
        <v>0</v>
      </c>
      <c r="R43" s="55" t="str">
        <f>'201100884_ET '!G3</f>
        <v>Abdelghani MOUSTAID</v>
      </c>
      <c r="T43" s="221">
        <f>'201100884_ET '!E1</f>
        <v>42369</v>
      </c>
      <c r="V43" s="57">
        <f>'201100884_ET '!A49</f>
        <v>0</v>
      </c>
      <c r="AZ43" s="570"/>
    </row>
    <row r="44" spans="1:52" s="56" customFormat="1" ht="33.75" customHeight="1">
      <c r="A44" s="2389">
        <v>201100883</v>
      </c>
      <c r="B44" s="53" t="str">
        <f>UPPER('201100883_ET'!B2)</f>
        <v>ETUDE DE PROXIMITE POUR L'AMELIORATION DES CONDITIONS DE TRANSPORT DANS LES COMMUNES RURALES RELEVANT DE LA PROVINCE DE SALE</v>
      </c>
      <c r="C44" s="218" t="str">
        <f>'201100883_ET'!B4</f>
        <v>DRE RSZZ</v>
      </c>
      <c r="D44" s="54">
        <f>'201100883_ET'!F49</f>
        <v>204000</v>
      </c>
      <c r="E44" s="54">
        <f>'201100883_ET'!W49</f>
        <v>204000</v>
      </c>
      <c r="F44" s="54">
        <f>'201100883_ET'!AB49</f>
        <v>204000</v>
      </c>
      <c r="G44" s="54">
        <f>'201100883_ET'!L49</f>
        <v>72000</v>
      </c>
      <c r="H44" s="281">
        <f>G44-'201100883_ET'!X49</f>
        <v>21600</v>
      </c>
      <c r="I44" s="54">
        <f>'201100883_ET'!N49</f>
        <v>0</v>
      </c>
      <c r="J44" s="650">
        <f>I44-'201100883_ET'!Y49</f>
        <v>0</v>
      </c>
      <c r="K44" s="54">
        <f>'201100883_ET'!P49</f>
        <v>0</v>
      </c>
      <c r="L44" s="54">
        <f>K44-'201100883_ET'!Z49</f>
        <v>0</v>
      </c>
      <c r="M44" s="54">
        <f>'201100883_ET'!R49</f>
        <v>0</v>
      </c>
      <c r="N44" s="54">
        <f>M44-'201100883_ET'!AA49</f>
        <v>0</v>
      </c>
      <c r="O44" s="651">
        <f>'201100883_ET'!T49</f>
        <v>132000</v>
      </c>
      <c r="P44" s="1491"/>
      <c r="Q44" s="54">
        <f>'201100883_ET'!D4</f>
        <v>0</v>
      </c>
      <c r="R44" s="55" t="str">
        <f>'201100883_ET'!G3</f>
        <v>Abdelghani MOUSTAID</v>
      </c>
      <c r="T44" s="221">
        <f>'201100883_ET'!E1</f>
        <v>42369</v>
      </c>
      <c r="V44" s="57">
        <f>'201100883_ET'!A49</f>
        <v>0</v>
      </c>
      <c r="AZ44" s="570"/>
    </row>
    <row r="45" spans="1:52" s="56" customFormat="1" ht="33.75" customHeight="1">
      <c r="A45" s="2389">
        <v>201100882</v>
      </c>
      <c r="B45" s="53" t="str">
        <f>UPPER('201100882_ET'!B2)</f>
        <v>ETUDE DE PROXIMITE POUR L'AMELIORATION DES CONDITIONS DE TRANSPORT DANS LES COMMUNES RURALES RELEVANT DE LA PROVINCE DE SKHIRAT-TEMARA</v>
      </c>
      <c r="C45" s="218" t="str">
        <f>'201100882_ET'!B4</f>
        <v>DRE RSZZ</v>
      </c>
      <c r="D45" s="54">
        <f>'201100882_ET'!F57</f>
        <v>276000</v>
      </c>
      <c r="E45" s="54">
        <f>'201100882_ET'!W57</f>
        <v>276000</v>
      </c>
      <c r="F45" s="54">
        <f>'201100882_ET'!AB57</f>
        <v>276000</v>
      </c>
      <c r="G45" s="54">
        <f>'201100882_ET'!L57</f>
        <v>90000</v>
      </c>
      <c r="H45" s="281">
        <f>G45-'201100882_ET'!X57</f>
        <v>18000</v>
      </c>
      <c r="I45" s="54">
        <f>'201100882_ET'!N57</f>
        <v>0</v>
      </c>
      <c r="J45" s="650">
        <f>I45-'201100882_ET'!Y57</f>
        <v>0</v>
      </c>
      <c r="K45" s="54">
        <f>'201100882_ET'!P57</f>
        <v>0</v>
      </c>
      <c r="L45" s="54">
        <f>K45-'201100882_ET'!Z57</f>
        <v>0</v>
      </c>
      <c r="M45" s="54">
        <f>'201100882_ET'!R57</f>
        <v>0</v>
      </c>
      <c r="N45" s="54">
        <f>M45-'201100882_ET'!AA57</f>
        <v>0</v>
      </c>
      <c r="O45" s="651">
        <f>'201100882_ET'!T57</f>
        <v>186000</v>
      </c>
      <c r="P45" s="1491"/>
      <c r="Q45" s="54">
        <f>'201100882_ET'!D4</f>
        <v>0</v>
      </c>
      <c r="R45" s="55" t="str">
        <f>'201100882_ET'!G3</f>
        <v>Oussama KHOMSI</v>
      </c>
      <c r="T45" s="221">
        <f>'201100882_ET'!E1</f>
        <v>42369</v>
      </c>
      <c r="V45" s="57">
        <f>'201100882_ET'!A57</f>
        <v>0</v>
      </c>
      <c r="AZ45" s="570"/>
    </row>
    <row r="46" spans="1:52" s="56" customFormat="1" ht="33.75" customHeight="1">
      <c r="A46" s="2389">
        <v>201100790</v>
      </c>
      <c r="B46" s="53" t="str">
        <f>UPPER('201100790_ET'!B2)</f>
        <v>ETUDE DE PROXIMITE POUR L'AMELIORATION DES CONDITIONS DE TRANSPORT DANS LES COMMUNES RURALES RELEVANT DE LA PROVINCE DE FES</v>
      </c>
      <c r="C46" s="218" t="str">
        <f>'201100790_ET'!B4</f>
        <v>DRET FES BOULEMANE</v>
      </c>
      <c r="D46" s="54">
        <f>'201100790_ET'!F49</f>
        <v>204000</v>
      </c>
      <c r="E46" s="54">
        <f>'201100790_ET'!W49</f>
        <v>204000</v>
      </c>
      <c r="F46" s="54">
        <f>'201100790_ET'!AB49</f>
        <v>204000</v>
      </c>
      <c r="G46" s="54">
        <f>'201100790_ET'!L49</f>
        <v>204000</v>
      </c>
      <c r="H46" s="281">
        <f>G46-'201100790_ET'!X49</f>
        <v>0</v>
      </c>
      <c r="I46" s="54">
        <f>'201100790_ET'!N49</f>
        <v>61599.15</v>
      </c>
      <c r="J46" s="650">
        <f>I46-'201100790_ET'!Y49</f>
        <v>0</v>
      </c>
      <c r="K46" s="54">
        <f>'201100790_ET'!P49</f>
        <v>204000</v>
      </c>
      <c r="L46" s="54">
        <f>K46-'201100790_ET'!Z49</f>
        <v>0</v>
      </c>
      <c r="M46" s="54">
        <f>'201100790_ET'!R49</f>
        <v>0</v>
      </c>
      <c r="N46" s="54">
        <f>M46-'201100790_ET'!AA49</f>
        <v>0</v>
      </c>
      <c r="O46" s="651">
        <f>'201100790_ET'!T49</f>
        <v>0</v>
      </c>
      <c r="P46" s="1491"/>
      <c r="Q46" s="54">
        <f>'201100790_ET'!D4</f>
        <v>0</v>
      </c>
      <c r="R46" s="55" t="str">
        <f>'201100790_ET'!G3</f>
        <v>Abdelghani MOUSTAID</v>
      </c>
      <c r="T46" s="221">
        <f>'201100790_ET'!E1</f>
        <v>42369</v>
      </c>
      <c r="V46" s="57">
        <f>'201100790_ET'!A49</f>
        <v>0</v>
      </c>
      <c r="AZ46" s="570"/>
    </row>
    <row r="47" spans="1:52" s="56" customFormat="1" ht="33.75" customHeight="1">
      <c r="A47" s="2389">
        <v>201100789</v>
      </c>
      <c r="B47" s="53" t="str">
        <f>UPPER('201100789_ET'!B2)</f>
        <v>ETUDE DE PROXIMITE POUR L'AMELIORATION DES CONDITIONS DE TRANSPORT DANS LES COMMUNES RURALES RELEVANT DE LA PROVINCE DE SEFROU</v>
      </c>
      <c r="C47" s="218" t="str">
        <f>'201100789_ET'!B4</f>
        <v>DRET FES BOULEMANE</v>
      </c>
      <c r="D47" s="54">
        <f>'201100789_ET'!F49</f>
        <v>450000</v>
      </c>
      <c r="E47" s="54">
        <f>'201100789_ET'!W49</f>
        <v>450000</v>
      </c>
      <c r="F47" s="54">
        <f>'201100789_ET'!AB49</f>
        <v>450000</v>
      </c>
      <c r="G47" s="54">
        <f>'201100789_ET'!L49</f>
        <v>450000</v>
      </c>
      <c r="H47" s="281">
        <f>G47-'201100789_ET'!X49</f>
        <v>18000</v>
      </c>
      <c r="I47" s="54">
        <f>'201100789_ET'!N49</f>
        <v>138000</v>
      </c>
      <c r="J47" s="650">
        <f>I47-'201100789_ET'!Y49</f>
        <v>0</v>
      </c>
      <c r="K47" s="54">
        <f>'201100789_ET'!P49</f>
        <v>450000</v>
      </c>
      <c r="L47" s="54">
        <f>K47-'201100789_ET'!Z49</f>
        <v>86768.18</v>
      </c>
      <c r="M47" s="54">
        <f>'201100789_ET'!R49</f>
        <v>453231.82</v>
      </c>
      <c r="N47" s="54">
        <f>M47-'201100789_ET'!AA49</f>
        <v>453231.82</v>
      </c>
      <c r="O47" s="651">
        <f>'201100789_ET'!T49</f>
        <v>0</v>
      </c>
      <c r="P47" s="1491"/>
      <c r="Q47" s="54">
        <f>'201100789_ET'!D4</f>
        <v>0</v>
      </c>
      <c r="R47" s="55" t="str">
        <f>'201100789_ET'!G3</f>
        <v>Abdelghani MOUSTAID</v>
      </c>
      <c r="T47" s="221">
        <f>'201100789_ET'!E1</f>
        <v>42369</v>
      </c>
      <c r="V47" s="57">
        <f>'201100789_ET'!A49</f>
        <v>0</v>
      </c>
      <c r="AZ47" s="570"/>
    </row>
    <row r="48" spans="1:52" s="56" customFormat="1" ht="33.75" customHeight="1">
      <c r="A48" s="2389">
        <v>201100788</v>
      </c>
      <c r="B48" s="53" t="str">
        <f>UPPER('201100788_ET'!B2)</f>
        <v>ETUDE DE PROXIMITE POUR L'AMELIORATION DES CONDITIONS DE TRANSPORT DANS LES COMMUNES RURALES RELEVANT DE LA PROVINCE DE BOULEMANE</v>
      </c>
      <c r="C48" s="218" t="str">
        <f>'201100788_ET'!B4</f>
        <v>DRET FES BOULEMANE</v>
      </c>
      <c r="D48" s="54">
        <f>'201100788_ET'!F57</f>
        <v>499200</v>
      </c>
      <c r="E48" s="54">
        <f>'201100788_ET'!W57</f>
        <v>499200</v>
      </c>
      <c r="F48" s="54">
        <f>'201100788_ET'!AB57</f>
        <v>499200</v>
      </c>
      <c r="G48" s="54">
        <f>'201100788_ET'!L57</f>
        <v>499200</v>
      </c>
      <c r="H48" s="281">
        <f>G48-'201100788_ET'!X57</f>
        <v>0</v>
      </c>
      <c r="I48" s="54">
        <f>'201100788_ET'!N57</f>
        <v>84116</v>
      </c>
      <c r="J48" s="650">
        <f>I48-'201100788_ET'!Y57</f>
        <v>0</v>
      </c>
      <c r="K48" s="54">
        <f>'201100788_ET'!P57</f>
        <v>499200</v>
      </c>
      <c r="L48" s="54">
        <f>K48-'201100788_ET'!Z57</f>
        <v>108000</v>
      </c>
      <c r="M48" s="54">
        <f>'201100788_ET'!R57</f>
        <v>344775.78</v>
      </c>
      <c r="N48" s="54">
        <f>M48-'201100788_ET'!AA57</f>
        <v>344775.78</v>
      </c>
      <c r="O48" s="651">
        <f>'201100788_ET'!T57</f>
        <v>0</v>
      </c>
      <c r="P48" s="1491"/>
      <c r="Q48" s="54">
        <f>'201100788_ET'!D4</f>
        <v>0</v>
      </c>
      <c r="R48" s="55" t="str">
        <f>'201100788_ET'!G3</f>
        <v>Abdelghani MOUSTAID</v>
      </c>
      <c r="T48" s="221">
        <f>'201100788_ET'!E1</f>
        <v>42369</v>
      </c>
      <c r="V48" s="57">
        <f>'201100788_ET'!A57</f>
        <v>0</v>
      </c>
      <c r="AZ48" s="570"/>
    </row>
    <row r="49" spans="1:52" s="56" customFormat="1" ht="33.75" customHeight="1">
      <c r="A49" s="2389">
        <v>201100787</v>
      </c>
      <c r="B49" s="53" t="str">
        <f>UPPER('201100787_ET'!B2)</f>
        <v>ETUDE DE PROXIMITE POUR L'AMELIORATION DES CONDITIONS DE TRANSPORT DANS LES COMMUNES RURALES RELEVANT DE LA PROVINCE DE MOULAY YACOUB</v>
      </c>
      <c r="C49" s="218" t="str">
        <f>'201100787_ET'!B4</f>
        <v>DRET FES BOULEMANE</v>
      </c>
      <c r="D49" s="54">
        <f>'201100787_ET'!F49</f>
        <v>300000</v>
      </c>
      <c r="E49" s="54">
        <f>'201100787_ET'!W49</f>
        <v>300000</v>
      </c>
      <c r="F49" s="54">
        <f>'201100787_ET'!AB49</f>
        <v>300000</v>
      </c>
      <c r="G49" s="54">
        <f>'201100787_ET'!L49</f>
        <v>300000</v>
      </c>
      <c r="H49" s="281">
        <f>G49-'201100787_ET'!X49</f>
        <v>0</v>
      </c>
      <c r="I49" s="54">
        <f>'201100787_ET'!N49</f>
        <v>68926.570000000007</v>
      </c>
      <c r="J49" s="650">
        <f>I49-'201100787_ET'!Y49</f>
        <v>0</v>
      </c>
      <c r="K49" s="54">
        <f>'201100787_ET'!P49</f>
        <v>300000</v>
      </c>
      <c r="L49" s="54">
        <f>K49-'201100787_ET'!Z49</f>
        <v>0</v>
      </c>
      <c r="M49" s="54">
        <f>'201100787_ET'!R49</f>
        <v>0</v>
      </c>
      <c r="N49" s="54">
        <f>M49-'201100787_ET'!AA49</f>
        <v>0</v>
      </c>
      <c r="O49" s="651">
        <f>'201100787_ET'!T49</f>
        <v>0</v>
      </c>
      <c r="P49" s="1491"/>
      <c r="Q49" s="54">
        <f>'201100787_ET'!D4</f>
        <v>0</v>
      </c>
      <c r="R49" s="55" t="str">
        <f>'201100787_ET'!G3</f>
        <v>Abdelghani MOUSTAID</v>
      </c>
      <c r="T49" s="221">
        <f>'201100787_ET'!E1</f>
        <v>42369</v>
      </c>
      <c r="V49" s="57">
        <f>'201100787_ET'!A49</f>
        <v>0</v>
      </c>
      <c r="AZ49" s="570"/>
    </row>
    <row r="50" spans="1:52" s="56" customFormat="1" ht="33.75" customHeight="1">
      <c r="A50" s="2389">
        <v>201100722</v>
      </c>
      <c r="B50" s="53" t="str">
        <f>UPPER('201100722_ET'!B2)</f>
        <v>PLAN DIRECTEUR DE LA MOBILITE URBAINE DE LA VILLE D'OUJDA</v>
      </c>
      <c r="C50" s="218" t="str">
        <f>'201100722_ET'!B4</f>
        <v>COMMUNE URBAINE D'OUJDA</v>
      </c>
      <c r="D50" s="54">
        <f>'201100722_ET'!F49</f>
        <v>2440799.4119999995</v>
      </c>
      <c r="E50" s="54">
        <f>'201100722_ET'!W49</f>
        <v>2440799.4119999995</v>
      </c>
      <c r="F50" s="54">
        <f>'201100722_ET'!AB49</f>
        <v>2440799.4119999995</v>
      </c>
      <c r="G50" s="54">
        <f>'201100722_ET'!L49</f>
        <v>1519099.6279199999</v>
      </c>
      <c r="H50" s="281">
        <f>G50-'201100722_ET'!X49</f>
        <v>122039.97120000003</v>
      </c>
      <c r="I50" s="54">
        <f>'201100722_ET'!N49</f>
        <v>182159.99142857143</v>
      </c>
      <c r="J50" s="650">
        <f>I50-'201100722_ET'!Y49</f>
        <v>0</v>
      </c>
      <c r="K50" s="54">
        <f>'201100722_ET'!P49</f>
        <v>1333639.6600000001</v>
      </c>
      <c r="L50" s="54">
        <f>K50-'201100722_ET'!Z49</f>
        <v>0</v>
      </c>
      <c r="M50" s="54">
        <f>'201100722_ET'!R49</f>
        <v>872927.78176799999</v>
      </c>
      <c r="N50" s="54">
        <f>M50-'201100722_ET'!AA49</f>
        <v>872927.78176799999</v>
      </c>
      <c r="O50" s="651">
        <f>'201100722_ET'!T49</f>
        <v>921699.78407999966</v>
      </c>
      <c r="P50" s="1491"/>
      <c r="Q50" s="54" t="str">
        <f>'201100722_ET'!D4</f>
        <v xml:space="preserve"> ITEM</v>
      </c>
      <c r="R50" s="55" t="str">
        <f>'201100722_ET'!G3</f>
        <v>Abdelghani MOUSTAID</v>
      </c>
      <c r="T50" s="221">
        <f>'201100722_ET'!E1</f>
        <v>42369</v>
      </c>
      <c r="V50" s="57">
        <f>'201100722_ET'!A49</f>
        <v>0</v>
      </c>
      <c r="AZ50" s="570"/>
    </row>
    <row r="51" spans="1:52" s="56" customFormat="1" ht="33.75" customHeight="1">
      <c r="A51" s="2389">
        <v>201100650</v>
      </c>
      <c r="B51" s="53" t="str">
        <f>UPPER('201100650_ET '!B2)</f>
        <v>TRAFFIC STUDY FOR HOUARA COASTAL RESORT PROJECT</v>
      </c>
      <c r="C51" s="218" t="str">
        <f>'201100650_ET '!B4</f>
        <v>QATARI DIAR</v>
      </c>
      <c r="D51" s="54">
        <f>'201100650_ET '!F57</f>
        <v>648000</v>
      </c>
      <c r="E51" s="54">
        <f>'201100650_ET '!W57</f>
        <v>648000</v>
      </c>
      <c r="F51" s="54">
        <f>'201100650_ET '!AB57</f>
        <v>648000</v>
      </c>
      <c r="G51" s="54">
        <f>'201100650_ET '!L57</f>
        <v>621000</v>
      </c>
      <c r="H51" s="281">
        <f>G51-'201100650_ET '!X57</f>
        <v>0</v>
      </c>
      <c r="I51" s="54">
        <f>'201100650_ET '!N57</f>
        <v>0</v>
      </c>
      <c r="J51" s="650">
        <f>I51-'201100650_ET '!Y57</f>
        <v>0</v>
      </c>
      <c r="K51" s="54">
        <f>'201100650_ET '!P57</f>
        <v>381360</v>
      </c>
      <c r="L51" s="54">
        <f>K51-'201100650_ET '!Z57</f>
        <v>0</v>
      </c>
      <c r="M51" s="54">
        <f>'201100650_ET '!R57</f>
        <v>381360</v>
      </c>
      <c r="N51" s="54">
        <f>M51-'201100650_ET '!AA57</f>
        <v>381360</v>
      </c>
      <c r="O51" s="651">
        <f>'201100650_ET '!T57</f>
        <v>27000</v>
      </c>
      <c r="P51" s="1491"/>
      <c r="Q51" s="54">
        <f>'201100650_ET '!D4</f>
        <v>0</v>
      </c>
      <c r="R51" s="55" t="str">
        <f>'201100650_ET '!G3</f>
        <v>Oussama KHOMSI</v>
      </c>
      <c r="T51" s="221">
        <f>'201100650_ET '!E1</f>
        <v>42369</v>
      </c>
      <c r="V51" s="57">
        <f>'201100650_ET '!A57</f>
        <v>0</v>
      </c>
      <c r="AZ51" s="570"/>
    </row>
    <row r="52" spans="1:52" s="56" customFormat="1" ht="33.75" customHeight="1">
      <c r="A52" s="2389">
        <v>201100576</v>
      </c>
      <c r="B52" s="53" t="str">
        <f>UPPER('201100576_ET'!B2)</f>
        <v>ETABLISSEMENT DU COMPTE TRANSPORT ET EVALUATION DES COUTS DE DYSFONCTIONNEMENT DES TRANSPORTS URBAINS A NOUAKCHOTT - MAURITANIE</v>
      </c>
      <c r="C52" s="218" t="str">
        <f>'201100576_ET'!B4</f>
        <v>MINISTERE DU DEVLOPPEMENT RURAL  ET DE L'ENVIRONNEMENT - MAURITANIE</v>
      </c>
      <c r="D52" s="54">
        <f>'201100576_ET'!F50</f>
        <v>1937522.54</v>
      </c>
      <c r="E52" s="54">
        <f>'201100576_ET'!W50</f>
        <v>1851720.63</v>
      </c>
      <c r="F52" s="54">
        <f>'201100576_ET'!AB50</f>
        <v>1937522.54</v>
      </c>
      <c r="G52" s="54">
        <f>'201100576_ET'!L50</f>
        <v>1851720.63</v>
      </c>
      <c r="H52" s="281">
        <f>G52-'201100576_ET'!X50</f>
        <v>0</v>
      </c>
      <c r="I52" s="54">
        <f>'201100576_ET'!N50</f>
        <v>429925</v>
      </c>
      <c r="J52" s="650">
        <f>I52-'201100576_ET'!Y50</f>
        <v>0</v>
      </c>
      <c r="K52" s="54">
        <f>'201100576_ET'!P50</f>
        <v>1851720.6400000001</v>
      </c>
      <c r="L52" s="54">
        <f>K52-'201100576_ET'!Z50</f>
        <v>85801.910000000149</v>
      </c>
      <c r="M52" s="54">
        <f>'201100576_ET'!R50</f>
        <v>1127618.81</v>
      </c>
      <c r="N52" s="54">
        <f>M52-'201100576_ET'!AA50</f>
        <v>0</v>
      </c>
      <c r="O52" s="651">
        <f>'201100576_ET'!T50</f>
        <v>0</v>
      </c>
      <c r="P52" s="1491"/>
      <c r="Q52" s="54">
        <f>'201100576_ET'!D4</f>
        <v>0</v>
      </c>
      <c r="R52" s="55" t="str">
        <f>'201100576_ET'!G3</f>
        <v>Abdelghani MOUSTAID</v>
      </c>
      <c r="T52" s="221">
        <f>'201100576_ET'!E1</f>
        <v>42369</v>
      </c>
      <c r="V52" s="57">
        <f>'201100576_ET'!A50</f>
        <v>0</v>
      </c>
      <c r="AZ52" s="570"/>
    </row>
    <row r="53" spans="1:52" s="56" customFormat="1" ht="33.75" customHeight="1">
      <c r="A53" s="2389">
        <v>201100504</v>
      </c>
      <c r="B53" s="53" t="str">
        <f>UPPER('201100504_ET'!B2)</f>
        <v>ETUDE DE PROXIMITE POUR L'AMELIORATION DES CONDITIONS DE TRANSPORT DANS LES COMMUNES RURALES RELEVANT DE LA PROVINCE DE TETOUAN</v>
      </c>
      <c r="C53" s="218" t="str">
        <f>'201100504_ET'!B4</f>
        <v>DRET TANGER TETOUAN</v>
      </c>
      <c r="D53" s="54">
        <f>'201100504_ET'!F57</f>
        <v>588000</v>
      </c>
      <c r="E53" s="54">
        <f>'201100504_ET'!W57</f>
        <v>588000</v>
      </c>
      <c r="F53" s="54">
        <f>'201100504_ET'!AB57</f>
        <v>588000</v>
      </c>
      <c r="G53" s="54">
        <f>'201100504_ET'!L57</f>
        <v>342000</v>
      </c>
      <c r="H53" s="281">
        <f>G53-'201100504_ET'!X57</f>
        <v>126000</v>
      </c>
      <c r="I53" s="54">
        <f>'201100504_ET'!N57</f>
        <v>92537.35</v>
      </c>
      <c r="J53" s="650">
        <f>I53-'201100504_ET'!Y57</f>
        <v>64800.000000000007</v>
      </c>
      <c r="K53" s="54">
        <f>'201100504_ET'!P57</f>
        <v>216000</v>
      </c>
      <c r="L53" s="54">
        <f>K53-'201100504_ET'!Z57</f>
        <v>0</v>
      </c>
      <c r="M53" s="54">
        <f>'201100504_ET'!R57</f>
        <v>0</v>
      </c>
      <c r="N53" s="54">
        <f>M53-'201100504_ET'!AA57</f>
        <v>0</v>
      </c>
      <c r="O53" s="651">
        <f>'201100504_ET'!T57</f>
        <v>246000</v>
      </c>
      <c r="P53" s="1491"/>
      <c r="Q53" s="54">
        <f>'201100504_ET'!D4</f>
        <v>0</v>
      </c>
      <c r="R53" s="55" t="str">
        <f>'201100504_ET'!G3</f>
        <v>Oussama KHOMSI</v>
      </c>
      <c r="T53" s="221">
        <f>'201100504_ET'!E1</f>
        <v>42369</v>
      </c>
      <c r="V53" s="57">
        <f>'201100504_ET'!A57</f>
        <v>0</v>
      </c>
      <c r="AZ53" s="570"/>
    </row>
    <row r="54" spans="1:52" s="56" customFormat="1" ht="33.75" customHeight="1">
      <c r="A54" s="2389">
        <v>201100484</v>
      </c>
      <c r="B54" s="53" t="str">
        <f>UPPER('201100484_ET'!B2)</f>
        <v>ETUDE DE PROXIMITE POUR L'AMELIORATION DES CONDITIONS DE TRANSPORT DANS LES COMMUNES RURALES RELEVANT DE LA PREFECTURE D'OUJDA ANGAD</v>
      </c>
      <c r="C54" s="218" t="str">
        <f>'201100484_ET'!B4</f>
        <v>DRET DE L'ORIENTAL</v>
      </c>
      <c r="D54" s="54">
        <f>'201100484_ET'!F49</f>
        <v>588000</v>
      </c>
      <c r="E54" s="54">
        <f>'201100484_ET'!W49</f>
        <v>588000</v>
      </c>
      <c r="F54" s="54">
        <f>'201100484_ET'!AB49</f>
        <v>588000</v>
      </c>
      <c r="G54" s="54">
        <f>'201100484_ET'!L49</f>
        <v>588000</v>
      </c>
      <c r="H54" s="281">
        <f>G54-'201100484_ET'!X49</f>
        <v>24000</v>
      </c>
      <c r="I54" s="54">
        <f>'201100484_ET'!N49</f>
        <v>234000</v>
      </c>
      <c r="J54" s="650">
        <f>I54-'201100484_ET'!Y49</f>
        <v>0</v>
      </c>
      <c r="K54" s="54">
        <f>'201100484_ET'!P49</f>
        <v>588000</v>
      </c>
      <c r="L54" s="54">
        <f>K54-'201100484_ET'!Z49</f>
        <v>120000</v>
      </c>
      <c r="M54" s="54">
        <f>'201100484_ET'!R49</f>
        <v>0</v>
      </c>
      <c r="N54" s="54">
        <f>M54-'201100484_ET'!AA49</f>
        <v>0</v>
      </c>
      <c r="O54" s="651">
        <f>'201100484_ET'!T49</f>
        <v>0</v>
      </c>
      <c r="P54" s="1491"/>
      <c r="Q54" s="54">
        <f>'201100484_ET'!D4</f>
        <v>0</v>
      </c>
      <c r="R54" s="55" t="str">
        <f>'201100484_ET'!G3</f>
        <v>Abdelghani MOUSTAID</v>
      </c>
      <c r="T54" s="221">
        <f>'201100484_ET'!E1</f>
        <v>42369</v>
      </c>
      <c r="V54" s="57">
        <f>'201100484_ET'!A49</f>
        <v>0</v>
      </c>
      <c r="AZ54" s="570"/>
    </row>
    <row r="55" spans="1:52" s="56" customFormat="1" ht="33.75" customHeight="1">
      <c r="A55" s="2389">
        <v>201100483</v>
      </c>
      <c r="B55" s="53" t="str">
        <f>UPPER('201100483_ET'!B2)</f>
        <v>ETUDE DE PROXIMITE POUR L'AMELIORATION DES CONDITIONS DE TRANSPORT DANS LES COMMUNES RURALES RELEVANT DE LA PROVINCE DE TAOURIRT</v>
      </c>
      <c r="C55" s="218" t="str">
        <f>'201100483_ET'!B4</f>
        <v>DRET DE L'ORIENTAL</v>
      </c>
      <c r="D55" s="54">
        <f>'201100483_ET'!F57</f>
        <v>588000</v>
      </c>
      <c r="E55" s="54">
        <f>'201100483_ET'!W57</f>
        <v>588000</v>
      </c>
      <c r="F55" s="54">
        <f>'201100483_ET'!AB57</f>
        <v>588000</v>
      </c>
      <c r="G55" s="54">
        <f>'201100483_ET'!L57</f>
        <v>588000</v>
      </c>
      <c r="H55" s="281">
        <f>G55-'201100483_ET'!X57</f>
        <v>48000</v>
      </c>
      <c r="I55" s="54">
        <f>'201100483_ET'!N57</f>
        <v>297360</v>
      </c>
      <c r="J55" s="650">
        <f>I55-'201100483_ET'!Y57</f>
        <v>0</v>
      </c>
      <c r="K55" s="54">
        <f>'201100483_ET'!P57</f>
        <v>588000</v>
      </c>
      <c r="L55" s="54">
        <f>K55-'201100483_ET'!Z57</f>
        <v>120000</v>
      </c>
      <c r="M55" s="54">
        <f>'201100483_ET'!R57</f>
        <v>216000</v>
      </c>
      <c r="N55" s="54">
        <f>M55-'201100483_ET'!AA57</f>
        <v>216000</v>
      </c>
      <c r="O55" s="651">
        <f>'201100483_ET'!T57</f>
        <v>0</v>
      </c>
      <c r="P55" s="1491"/>
      <c r="Q55" s="54">
        <f>'201100483_ET'!D4</f>
        <v>0</v>
      </c>
      <c r="R55" s="55" t="str">
        <f>'201100483_ET'!G3</f>
        <v>Salim I2S-KHOMSI</v>
      </c>
      <c r="T55" s="221">
        <f>'201100483_ET'!E1</f>
        <v>42369</v>
      </c>
      <c r="V55" s="57">
        <f>'201100483_ET'!A57</f>
        <v>0</v>
      </c>
      <c r="AZ55" s="570"/>
    </row>
    <row r="56" spans="1:52" s="56" customFormat="1" ht="33.75" customHeight="1">
      <c r="A56" s="2389">
        <v>201100482</v>
      </c>
      <c r="B56" s="53" t="str">
        <f>UPPER('201100482_ET '!B2)</f>
        <v>ETUDE DE PROXIMITE POUR L'AMELIORATION DES CONDITIONS DE TRANSPORT DANS LES COMMUNES RURALES RELEVANT DE LA PROVINCE DE FIGUIG</v>
      </c>
      <c r="C56" s="218" t="str">
        <f>'201100482_ET '!B4</f>
        <v>DRET DE L'ORIENTAL</v>
      </c>
      <c r="D56" s="54">
        <f>'201100482_ET '!F57</f>
        <v>588000</v>
      </c>
      <c r="E56" s="54">
        <f>'201100482_ET '!W57</f>
        <v>588000</v>
      </c>
      <c r="F56" s="54">
        <f>'201100482_ET '!AB57</f>
        <v>588000</v>
      </c>
      <c r="G56" s="54">
        <f>'201100482_ET '!L57</f>
        <v>588000</v>
      </c>
      <c r="H56" s="281">
        <f>G56-'201100482_ET '!X57</f>
        <v>48000</v>
      </c>
      <c r="I56" s="54">
        <f>'201100482_ET '!N57</f>
        <v>324000</v>
      </c>
      <c r="J56" s="650">
        <f>I56-'201100482_ET '!Y57</f>
        <v>0</v>
      </c>
      <c r="K56" s="54">
        <f>'201100482_ET '!P57</f>
        <v>468000</v>
      </c>
      <c r="L56" s="54">
        <f>K56-'201100482_ET '!Z57</f>
        <v>0</v>
      </c>
      <c r="M56" s="54">
        <f>'201100482_ET '!R57</f>
        <v>216000</v>
      </c>
      <c r="N56" s="54">
        <f>M56-'201100482_ET '!AA57</f>
        <v>216000</v>
      </c>
      <c r="O56" s="651">
        <f>'201100482_ET '!T57</f>
        <v>0</v>
      </c>
      <c r="P56" s="1491"/>
      <c r="Q56" s="54">
        <f>'201100482_ET '!D4</f>
        <v>0</v>
      </c>
      <c r="R56" s="55" t="str">
        <f>'201100482_ET '!G3</f>
        <v>Salim I2S-KHOMSI</v>
      </c>
      <c r="T56" s="221">
        <f>'201100482_ET '!E1</f>
        <v>42369</v>
      </c>
      <c r="V56" s="57">
        <f>'201100482_ET '!A57</f>
        <v>0</v>
      </c>
      <c r="AZ56" s="570"/>
    </row>
    <row r="57" spans="1:52" s="56" customFormat="1" ht="33.75" customHeight="1">
      <c r="A57" s="2389">
        <v>201100435</v>
      </c>
      <c r="B57" s="53" t="str">
        <f>UPPER('201100435_ET'!B2)</f>
        <v>ETUDE DE PROXIMITE POUR L'AMELIORATION DES CONDITIONS DE TRANSPORT DANS LES COMMUNES RURALES RELEVANT DES PROVINCES DE TIZNIT ET CHTOUKA AIT BAHA</v>
      </c>
      <c r="C57" s="218" t="str">
        <f>'201100435_ET'!B4</f>
        <v>DRE SOUSS-MASSA-DRAA</v>
      </c>
      <c r="D57" s="54">
        <f>'201100435_ET'!F49</f>
        <v>1404000</v>
      </c>
      <c r="E57" s="54">
        <f>'201100435_ET'!W49</f>
        <v>1404000</v>
      </c>
      <c r="F57" s="54">
        <f>'201100435_ET'!AB49</f>
        <v>1404000</v>
      </c>
      <c r="G57" s="54">
        <f>'201100435_ET'!L49</f>
        <v>1323029.8599999999</v>
      </c>
      <c r="H57" s="281">
        <f>G57-'201100435_ET'!X49</f>
        <v>0</v>
      </c>
      <c r="I57" s="54">
        <f>'201100435_ET'!N49</f>
        <v>134400</v>
      </c>
      <c r="J57" s="650">
        <f>I57-'201100435_ET'!Y49</f>
        <v>0</v>
      </c>
      <c r="K57" s="54">
        <f>'201100435_ET'!P49</f>
        <v>1121429</v>
      </c>
      <c r="L57" s="54">
        <f>K57-'201100435_ET'!Z49</f>
        <v>0</v>
      </c>
      <c r="M57" s="54">
        <f>'201100435_ET'!R49</f>
        <v>492000</v>
      </c>
      <c r="N57" s="54">
        <f>M57-'201100435_ET'!AA49</f>
        <v>0</v>
      </c>
      <c r="O57" s="651">
        <f>'201100435_ET'!T49</f>
        <v>80970.14000000013</v>
      </c>
      <c r="P57" s="1491"/>
      <c r="Q57" s="54">
        <f>'201100435_ET'!D4</f>
        <v>0</v>
      </c>
      <c r="R57" s="55" t="str">
        <f>'201100435_ET'!G3</f>
        <v>Abdelghani MOUSTAID</v>
      </c>
      <c r="T57" s="221">
        <f>'201100435_ET'!E1</f>
        <v>42369</v>
      </c>
      <c r="V57" s="57" t="str">
        <f>'201100435_ET'!A49</f>
        <v>Dépassement des quantités</v>
      </c>
      <c r="AZ57" s="570"/>
    </row>
    <row r="58" spans="1:52" s="56" customFormat="1" ht="33.75" customHeight="1">
      <c r="A58" s="2389">
        <v>201100350</v>
      </c>
      <c r="B58" s="53" t="str">
        <f>UPPER('201100350_ET'!B2)</f>
        <v xml:space="preserve">LA REALISATION DE L'ETUDE DE CIRCULATION ET D'ACCESSIBILITE AU PROJET SINDIBAD </v>
      </c>
      <c r="C58" s="218" t="str">
        <f>'201100350_ET'!B4</f>
        <v>STE SINDIBAD BEACH RESORT</v>
      </c>
      <c r="D58" s="54">
        <f>'201100350_ET'!F57</f>
        <v>551862</v>
      </c>
      <c r="E58" s="54">
        <f>'201100350_ET'!W57</f>
        <v>551862</v>
      </c>
      <c r="F58" s="54">
        <f>'201100350_ET'!AB57</f>
        <v>390600</v>
      </c>
      <c r="G58" s="54">
        <f>'201100350_ET'!L57</f>
        <v>551862</v>
      </c>
      <c r="H58" s="281">
        <f>G58-'201100350_ET'!X57</f>
        <v>0</v>
      </c>
      <c r="I58" s="54">
        <f>'201100350_ET'!N57</f>
        <v>35742.57</v>
      </c>
      <c r="J58" s="650">
        <f>I58-'201100350_ET'!Y57</f>
        <v>0</v>
      </c>
      <c r="K58" s="54">
        <f>'201100350_ET'!P57</f>
        <v>551862</v>
      </c>
      <c r="L58" s="54">
        <f>K58-'201100350_ET'!Z57</f>
        <v>0</v>
      </c>
      <c r="M58" s="54">
        <f>'201100350_ET'!R57</f>
        <v>362700</v>
      </c>
      <c r="N58" s="54">
        <f>M58-'201100350_ET'!AA57</f>
        <v>362700</v>
      </c>
      <c r="O58" s="651">
        <f>'201100350_ET'!T57</f>
        <v>0</v>
      </c>
      <c r="P58" s="1491"/>
      <c r="Q58" s="54">
        <f>'201100350_ET'!D4</f>
        <v>0</v>
      </c>
      <c r="R58" s="55" t="str">
        <f>'201100350_ET'!G3</f>
        <v>Oussama KHOMSI</v>
      </c>
      <c r="T58" s="221">
        <f>'201100350_ET'!E1</f>
        <v>42369</v>
      </c>
      <c r="V58" s="57">
        <f>'201100350_ET'!A57</f>
        <v>0</v>
      </c>
      <c r="AZ58" s="570"/>
    </row>
    <row r="59" spans="1:52" s="56" customFormat="1" ht="33.75" customHeight="1">
      <c r="A59" s="2389">
        <v>201100187</v>
      </c>
      <c r="B59" s="53" t="str">
        <f>UPPER('201100187_ET'!B2)</f>
        <v>ETUDE DE PROXIMITE  POUR L'AMELIORATION DES CONDITIONS DE TRANSPORT DANS LES COMMUNES RURALES RELEVANT DES  PROVINCES  DE SETTAT, BERRECHID,  KHOURIBGA ET BENSLIMANE</v>
      </c>
      <c r="C59" s="218" t="str">
        <f>'201100187_ET'!B4</f>
        <v>DRET DE LA CHAOUIA-OUARDIGHA</v>
      </c>
      <c r="D59" s="54">
        <f>'201100187_ET'!F57</f>
        <v>3000000</v>
      </c>
      <c r="E59" s="54">
        <f>'201100187_ET'!W57</f>
        <v>3000000</v>
      </c>
      <c r="F59" s="54">
        <f>'201100187_ET'!AB57</f>
        <v>3000000</v>
      </c>
      <c r="G59" s="54">
        <f>'201100187_ET'!L57</f>
        <v>2193103.7999999998</v>
      </c>
      <c r="H59" s="281">
        <f>G59-'201100187_ET'!X57</f>
        <v>0</v>
      </c>
      <c r="I59" s="54">
        <f>'201100187_ET'!N57</f>
        <v>321695.82</v>
      </c>
      <c r="J59" s="650">
        <f>I59-'201100187_ET'!Y57</f>
        <v>0</v>
      </c>
      <c r="K59" s="54">
        <f>'201100187_ET'!P57</f>
        <v>1034482.77</v>
      </c>
      <c r="L59" s="54">
        <f>K59-'201100187_ET'!Z57</f>
        <v>0</v>
      </c>
      <c r="M59" s="54">
        <f>'201100187_ET'!R57</f>
        <v>1034482.77</v>
      </c>
      <c r="N59" s="54">
        <f>M59-'201100187_ET'!AA57</f>
        <v>1034482.77</v>
      </c>
      <c r="O59" s="651">
        <f>'201100187_ET'!T57</f>
        <v>806896.20000000019</v>
      </c>
      <c r="P59" s="1491"/>
      <c r="Q59" s="54">
        <f>'201100187_ET'!D4</f>
        <v>0</v>
      </c>
      <c r="R59" s="55" t="str">
        <f>'201100187_ET'!G3</f>
        <v>Driss Lasfar-KHOMSI</v>
      </c>
      <c r="T59" s="221">
        <f>'201100187_ET'!E1</f>
        <v>42369</v>
      </c>
      <c r="V59" s="57">
        <f>'201100187_ET'!A57</f>
        <v>0</v>
      </c>
      <c r="AZ59" s="570"/>
    </row>
    <row r="60" spans="1:52" s="56" customFormat="1" ht="33.75" customHeight="1">
      <c r="A60" s="2389">
        <v>201001080</v>
      </c>
      <c r="B60" s="53" t="str">
        <f>UPPER('201001080_ET'!B2)</f>
        <v>MINE VERTE DE KHOURIBGA MAITRISE D'ŒUVRE VRD-TRANSPORT- ETUDES D'IMPACT ENVIRONNEMENTAL</v>
      </c>
      <c r="C60" s="218" t="str">
        <f>'201001080_ET'!B4</f>
        <v>JESA</v>
      </c>
      <c r="D60" s="54">
        <f>'201001080_ET'!F57</f>
        <v>28770330</v>
      </c>
      <c r="E60" s="54">
        <f>'201001080_ET'!W57</f>
        <v>1668000</v>
      </c>
      <c r="F60" s="54">
        <f>'201001080_ET'!AB57</f>
        <v>1668000</v>
      </c>
      <c r="G60" s="54">
        <f>'201001080_ET'!L57</f>
        <v>729516</v>
      </c>
      <c r="H60" s="281">
        <f>G60-'201001080_ET'!X57</f>
        <v>0</v>
      </c>
      <c r="I60" s="54">
        <f>'201001080_ET'!N57</f>
        <v>49500</v>
      </c>
      <c r="J60" s="650">
        <f>I60-'201001080_ET'!Y57</f>
        <v>0</v>
      </c>
      <c r="K60" s="54">
        <f>'201001080_ET'!P57</f>
        <v>729516</v>
      </c>
      <c r="L60" s="54">
        <f>K60-'201001080_ET'!Z57</f>
        <v>0</v>
      </c>
      <c r="M60" s="54">
        <f>'201001080_ET'!R57</f>
        <v>729516</v>
      </c>
      <c r="N60" s="54">
        <f>M60-'201001080_ET'!AA57</f>
        <v>729516</v>
      </c>
      <c r="O60" s="651">
        <f>'201001080_ET'!T57</f>
        <v>938484</v>
      </c>
      <c r="P60" s="1491"/>
      <c r="Q60" s="54" t="str">
        <f>'201001080_ET'!D4</f>
        <v>BVP+AEE</v>
      </c>
      <c r="R60" s="55" t="str">
        <f>'201001080_ET'!G3</f>
        <v>Oussama KHOMSI</v>
      </c>
      <c r="T60" s="221">
        <f>'201001080_ET'!E1</f>
        <v>42369</v>
      </c>
      <c r="V60" s="57">
        <f>'201001080_ET'!A57</f>
        <v>0</v>
      </c>
      <c r="AZ60" s="570"/>
    </row>
    <row r="61" spans="1:52" s="56" customFormat="1" ht="33.75" customHeight="1">
      <c r="A61" s="2389">
        <v>201001028</v>
      </c>
      <c r="B61" s="53" t="str">
        <f>UPPER('201001028_ET'!B2)</f>
        <v>ETUDE DE PROXIMITE DES CONDITIONS DE TRANSPORT DANS LES COMMUNES RURALES RELEVANT DE LA PROVINCE DE KENITRA, SIDI SLIMANE, SIDI KACEM</v>
      </c>
      <c r="C61" s="218" t="str">
        <f>'201001028_ET'!B4</f>
        <v>DRET GHARB CHRARDA BNI HSSEN</v>
      </c>
      <c r="D61" s="54">
        <f>'201001028_ET'!F57</f>
        <v>1440000</v>
      </c>
      <c r="E61" s="54">
        <f>'201001028_ET'!W57</f>
        <v>1440000</v>
      </c>
      <c r="F61" s="54">
        <f>'201001028_ET'!AB57</f>
        <v>1440000</v>
      </c>
      <c r="G61" s="54">
        <f>'201001028_ET'!L57</f>
        <v>1344000</v>
      </c>
      <c r="H61" s="281">
        <f>G61-'201001028_ET'!X57</f>
        <v>0</v>
      </c>
      <c r="I61" s="54">
        <f>'201001028_ET'!N57</f>
        <v>945779.71</v>
      </c>
      <c r="J61" s="650">
        <f>I61-'201001028_ET'!Y57</f>
        <v>0</v>
      </c>
      <c r="K61" s="54">
        <f>'201001028_ET'!P57</f>
        <v>1200000</v>
      </c>
      <c r="L61" s="54">
        <f>K61-'201001028_ET'!Z57</f>
        <v>0</v>
      </c>
      <c r="M61" s="54">
        <f>'201001028_ET'!R57</f>
        <v>1200000</v>
      </c>
      <c r="N61" s="54">
        <f>M61-'201001028_ET'!AA57</f>
        <v>1200000</v>
      </c>
      <c r="O61" s="651">
        <f>'201001028_ET'!T57</f>
        <v>96000</v>
      </c>
      <c r="P61" s="1491"/>
      <c r="Q61" s="54">
        <f>'201001028_ET'!D4</f>
        <v>0</v>
      </c>
      <c r="R61" s="55" t="str">
        <f>'201001028_ET'!G3</f>
        <v>LASFAR Driss-KHOMSI</v>
      </c>
      <c r="T61" s="221">
        <f>'201001028_ET'!E1</f>
        <v>42369</v>
      </c>
      <c r="V61" s="57">
        <f>'201001028_ET'!A57</f>
        <v>0</v>
      </c>
      <c r="AZ61" s="570"/>
    </row>
    <row r="62" spans="1:52" s="56" customFormat="1" ht="33.75" customHeight="1">
      <c r="A62" s="2389">
        <v>201000973</v>
      </c>
      <c r="B62" s="53" t="str">
        <f>UPPER('201000973_ET'!B2)</f>
        <v>ETUDE DE PROXIMITE POUR L'AMELIORATION DES CONDITIONS DE TRANSPORT DANS LES COMMUNES RURALES RELEVANT DE LA PROVINCE TAZA</v>
      </c>
      <c r="C62" s="218" t="str">
        <f>'201000973_ET'!B4</f>
        <v>DRE TAZA-AL HOCEIMA-TAOUNATE</v>
      </c>
      <c r="D62" s="54">
        <f>'201000973_ET'!F57</f>
        <v>636000</v>
      </c>
      <c r="E62" s="54">
        <f>'201000973_ET'!W57</f>
        <v>636000</v>
      </c>
      <c r="F62" s="54">
        <f>'201000973_ET'!AB57</f>
        <v>636000</v>
      </c>
      <c r="G62" s="54">
        <f>'201000973_ET'!L57</f>
        <v>573600</v>
      </c>
      <c r="H62" s="281">
        <f>G62-'201000973_ET'!X57</f>
        <v>0</v>
      </c>
      <c r="I62" s="54">
        <f>'201000973_ET'!N57</f>
        <v>235364</v>
      </c>
      <c r="J62" s="650">
        <f>I62-'201000973_ET'!Y57</f>
        <v>21046.859999999986</v>
      </c>
      <c r="K62" s="54">
        <f>'201000973_ET'!P57</f>
        <v>573600</v>
      </c>
      <c r="L62" s="54">
        <f>K62-'201000973_ET'!Z57</f>
        <v>345600</v>
      </c>
      <c r="M62" s="54">
        <f>'201000973_ET'!R57</f>
        <v>228000</v>
      </c>
      <c r="N62" s="54">
        <f>M62-'201000973_ET'!AA57</f>
        <v>228000</v>
      </c>
      <c r="O62" s="651">
        <f>'201000973_ET'!T57</f>
        <v>62400</v>
      </c>
      <c r="P62" s="1491"/>
      <c r="Q62" s="54">
        <f>'201000973_ET'!D4</f>
        <v>0</v>
      </c>
      <c r="R62" s="55" t="str">
        <f>'201000973_ET'!G3</f>
        <v>Rmili-KHOMSI</v>
      </c>
      <c r="T62" s="221">
        <f>'201000973_ET'!E1</f>
        <v>42369</v>
      </c>
      <c r="V62" s="57">
        <f>'201000973_ET'!A57</f>
        <v>0</v>
      </c>
      <c r="AZ62" s="570"/>
    </row>
    <row r="63" spans="1:52" s="56" customFormat="1" ht="33.75" customHeight="1">
      <c r="A63" s="2389">
        <v>201000951</v>
      </c>
      <c r="B63" s="53" t="str">
        <f>UPPER('201000951_ET'!B2)</f>
        <v>ETUDE DE PROXIMITE POUR L'AMELIORATION DES CONDITIONS DE TRANSPORT DANS LES COMMUNES RURALES RELEVANT DE LA PROVINCE D'AL HOCEIMA</v>
      </c>
      <c r="C63" s="218" t="str">
        <f>'201000951_ET'!B4</f>
        <v>DRE TAZA-AL HOCEIMA-TAOUNATE</v>
      </c>
      <c r="D63" s="54">
        <f>'201000951_ET'!F57</f>
        <v>636000</v>
      </c>
      <c r="E63" s="54">
        <f>'201000951_ET'!W57</f>
        <v>636000</v>
      </c>
      <c r="F63" s="54">
        <f>'201000951_ET'!AB57</f>
        <v>636000</v>
      </c>
      <c r="G63" s="54">
        <f>'201000951_ET'!L57</f>
        <v>573600</v>
      </c>
      <c r="H63" s="281">
        <f>G63-'201000951_ET'!X57</f>
        <v>0</v>
      </c>
      <c r="I63" s="54">
        <f>'201000951_ET'!N57</f>
        <v>212872</v>
      </c>
      <c r="J63" s="650">
        <f>I63-'201000951_ET'!Y57</f>
        <v>0</v>
      </c>
      <c r="K63" s="54">
        <f>'201000951_ET'!P57</f>
        <v>636000</v>
      </c>
      <c r="L63" s="54">
        <f>K63-'201000951_ET'!Z57</f>
        <v>62400</v>
      </c>
      <c r="M63" s="54">
        <f>'201000951_ET'!R57</f>
        <v>480000</v>
      </c>
      <c r="N63" s="54">
        <f>M63-'201000951_ET'!AA57</f>
        <v>480000</v>
      </c>
      <c r="O63" s="651">
        <f>'201000951_ET'!T57</f>
        <v>62400</v>
      </c>
      <c r="P63" s="1491"/>
      <c r="Q63" s="54">
        <f>'201000951_ET'!D4</f>
        <v>0</v>
      </c>
      <c r="R63" s="55" t="str">
        <f>'201000951_ET'!G3</f>
        <v>Rmili-KHOMSI</v>
      </c>
      <c r="T63" s="221">
        <f>'201000951_ET'!E1</f>
        <v>42369</v>
      </c>
      <c r="V63" s="57">
        <f>'201000951_ET'!A57</f>
        <v>0</v>
      </c>
      <c r="AZ63" s="570"/>
    </row>
    <row r="64" spans="1:52" s="56" customFormat="1" ht="33.75" customHeight="1">
      <c r="A64" s="2389">
        <v>201000949</v>
      </c>
      <c r="B64" s="53" t="str">
        <f>UPPER('201000949_ET'!B2)</f>
        <v>ETUDE DE PROXIMITE POUR L'AMELIORATION DES CONDITIONS DE TRANSPORT DANS LES COMMUNES RURALES REVELANT DES PROVINCES DE : ZAGORA, TAROUDANNT ET OURZAZATE</v>
      </c>
      <c r="C64" s="218" t="str">
        <f>'201000949_ET'!B4</f>
        <v>DRE SOUSS MASSA DARAA - AGADIR -</v>
      </c>
      <c r="D64" s="54">
        <f>'201000949_ET'!F50</f>
        <v>1800000</v>
      </c>
      <c r="E64" s="54">
        <f>'201000949_ET'!W50</f>
        <v>1800000</v>
      </c>
      <c r="F64" s="54">
        <f>'201000949_ET'!AB50</f>
        <v>1800000</v>
      </c>
      <c r="G64" s="54">
        <f>'201000949_ET'!L50</f>
        <v>1800000</v>
      </c>
      <c r="H64" s="281">
        <f>G64-'201000949_ET'!X50</f>
        <v>0</v>
      </c>
      <c r="I64" s="54">
        <f>'201000949_ET'!N50</f>
        <v>1440000</v>
      </c>
      <c r="J64" s="650">
        <f>I64-'201000949_ET'!Y50</f>
        <v>0</v>
      </c>
      <c r="K64" s="54">
        <f>'201000949_ET'!P50</f>
        <v>1803240</v>
      </c>
      <c r="L64" s="54">
        <f>K64-'201000949_ET'!Z50</f>
        <v>0</v>
      </c>
      <c r="M64" s="54">
        <f>'201000949_ET'!R50</f>
        <v>1443240</v>
      </c>
      <c r="N64" s="54">
        <f>M64-'201000949_ET'!AA50</f>
        <v>0</v>
      </c>
      <c r="O64" s="651">
        <f>'201000949_ET'!T50</f>
        <v>0</v>
      </c>
      <c r="P64" s="1491"/>
      <c r="Q64" s="54">
        <f>'201000949_ET'!D4</f>
        <v>0</v>
      </c>
      <c r="R64" s="55" t="str">
        <f>'201000949_ET'!G3</f>
        <v>Abdelghani MOUSTAID</v>
      </c>
      <c r="T64" s="221">
        <f>'201000949_ET'!E1</f>
        <v>42369</v>
      </c>
      <c r="V64" s="57" t="str">
        <f>'201000949_ET'!A50</f>
        <v>Dépassement des quantités</v>
      </c>
      <c r="AZ64" s="570"/>
    </row>
    <row r="65" spans="1:52" s="56" customFormat="1" ht="33.75" customHeight="1">
      <c r="A65" s="2389">
        <v>201000941</v>
      </c>
      <c r="B65" s="53" t="str">
        <f>UPPER('201000941_ET'!B2)</f>
        <v>ETUDE DE PROXIMITE POUR L'AMELIORATION DES CONDITIONS DE TRANSPORT DANS LES COMMUNES RURALES RELEVANT DE LA PROVINCE D'EL KELAA DES SRAGHNA</v>
      </c>
      <c r="C65" s="218" t="str">
        <f>'201000941_ET'!B4</f>
        <v>DRE MARRAKECH-TANSIFT-AL HAOUZ</v>
      </c>
      <c r="D65" s="54">
        <f>'201000941_ET'!F49</f>
        <v>636000</v>
      </c>
      <c r="E65" s="54">
        <f>'201000941_ET'!W49</f>
        <v>636000</v>
      </c>
      <c r="F65" s="54">
        <f>'201000941_ET'!AB49</f>
        <v>636000</v>
      </c>
      <c r="G65" s="54">
        <f>'201000941_ET'!L49</f>
        <v>480000</v>
      </c>
      <c r="H65" s="281">
        <f>G65-'201000941_ET'!X49</f>
        <v>0</v>
      </c>
      <c r="I65" s="54">
        <f>'201000941_ET'!N49</f>
        <v>139812.79</v>
      </c>
      <c r="J65" s="650">
        <f>I65-'201000941_ET'!Y49</f>
        <v>0</v>
      </c>
      <c r="K65" s="54">
        <f>'201000941_ET'!P49</f>
        <v>480000</v>
      </c>
      <c r="L65" s="54">
        <f>K65-'201000941_ET'!Z49</f>
        <v>0</v>
      </c>
      <c r="M65" s="54">
        <f>'201000941_ET'!R49</f>
        <v>164400</v>
      </c>
      <c r="N65" s="54">
        <f>M65-'201000941_ET'!AA49</f>
        <v>0</v>
      </c>
      <c r="O65" s="651">
        <f>'201000941_ET'!T49</f>
        <v>156000</v>
      </c>
      <c r="P65" s="1491"/>
      <c r="Q65" s="54">
        <f>'201000941_ET'!D4</f>
        <v>0</v>
      </c>
      <c r="R65" s="55" t="str">
        <f>'201000941_ET'!G3</f>
        <v>Abdelghani MOUSTAID</v>
      </c>
      <c r="T65" s="221">
        <f>'201000941_ET'!E1</f>
        <v>42369</v>
      </c>
      <c r="V65" s="57">
        <f>'201000941_ET'!A49</f>
        <v>0</v>
      </c>
      <c r="AZ65" s="570"/>
    </row>
    <row r="66" spans="1:52" s="56" customFormat="1" ht="33.75" customHeight="1">
      <c r="A66" s="2389">
        <v>201000890</v>
      </c>
      <c r="B66" s="53" t="str">
        <f>UPPER('201000890_ET'!B2)</f>
        <v>ETUDE DE PROXIMITE POUR L'AMELIORATION DES CONDITIONS DE TRANSPORT DANS LES COMMUNES RURALES RELEVENT DE LA PROVINCE DE NADOR</v>
      </c>
      <c r="C66" s="218" t="str">
        <f>'201000890_ET'!B4</f>
        <v>DRE OUJDA</v>
      </c>
      <c r="D66" s="54">
        <f>'201000890_ET'!F50</f>
        <v>624000</v>
      </c>
      <c r="E66" s="54">
        <f>'201000890_ET'!W50</f>
        <v>624000</v>
      </c>
      <c r="F66" s="54">
        <f>'201000890_ET'!AB50</f>
        <v>624000</v>
      </c>
      <c r="G66" s="54">
        <f>'201000890_ET'!L50</f>
        <v>624000</v>
      </c>
      <c r="H66" s="281">
        <f>G66-'201000890_ET'!X50</f>
        <v>0</v>
      </c>
      <c r="I66" s="54">
        <f>'201000890_ET'!N50</f>
        <v>420000</v>
      </c>
      <c r="J66" s="650">
        <f>I66-'201000890_ET'!Y50</f>
        <v>0</v>
      </c>
      <c r="K66" s="54">
        <f>'201000890_ET'!P50</f>
        <v>624000</v>
      </c>
      <c r="L66" s="54">
        <f>K66-'201000890_ET'!Z50</f>
        <v>0</v>
      </c>
      <c r="M66" s="54">
        <f>'201000890_ET'!R50</f>
        <v>216000</v>
      </c>
      <c r="N66" s="54">
        <f>M66-'201000890_ET'!AA50</f>
        <v>0</v>
      </c>
      <c r="O66" s="651">
        <f>'201000890_ET'!T50</f>
        <v>0</v>
      </c>
      <c r="P66" s="1491"/>
      <c r="Q66" s="54">
        <f>'201000890_ET'!D4</f>
        <v>0</v>
      </c>
      <c r="R66" s="55" t="str">
        <f>'201000890_ET'!G3</f>
        <v>Abdelghani MOUSTAID</v>
      </c>
      <c r="T66" s="221">
        <f>'201000890_ET'!E1</f>
        <v>42369</v>
      </c>
      <c r="V66" s="57">
        <f>'201000890_ET'!A50</f>
        <v>0</v>
      </c>
      <c r="AZ66" s="570"/>
    </row>
    <row r="67" spans="1:52" s="56" customFormat="1" ht="33.75" customHeight="1">
      <c r="A67" s="2389">
        <v>201000825</v>
      </c>
      <c r="B67" s="53" t="str">
        <f>UPPER('201000825_ET'!B2)</f>
        <v>ETUDE DU PLAN DIRECTEUR DE CIRCULATION ET DE TRANSPORT DE LA VILLE DE TAZA</v>
      </c>
      <c r="C67" s="218" t="str">
        <f>'201000825_ET'!B4</f>
        <v>AGENCE URBAINE DE TAZA</v>
      </c>
      <c r="D67" s="54">
        <f>'201000825_ET'!F49</f>
        <v>860000.39999999991</v>
      </c>
      <c r="E67" s="54">
        <f>'201000825_ET'!W49</f>
        <v>860000.39999999991</v>
      </c>
      <c r="F67" s="54">
        <f>'201000825_ET'!AB49</f>
        <v>860000.4</v>
      </c>
      <c r="G67" s="54">
        <f>'201000825_ET'!L49</f>
        <v>860000.39999999991</v>
      </c>
      <c r="H67" s="281">
        <f>G67-'201000825_ET'!X49</f>
        <v>0</v>
      </c>
      <c r="I67" s="54">
        <f>'201000825_ET'!N49</f>
        <v>96907.57</v>
      </c>
      <c r="J67" s="650">
        <f>I67-'201000825_ET'!Y49</f>
        <v>0</v>
      </c>
      <c r="K67" s="54">
        <f>'201000825_ET'!P49</f>
        <v>860000.39999999991</v>
      </c>
      <c r="L67" s="54">
        <f>K67-'201000825_ET'!Z49</f>
        <v>0</v>
      </c>
      <c r="M67" s="54">
        <f>'201000825_ET'!R49</f>
        <v>464400</v>
      </c>
      <c r="N67" s="54">
        <f>M67-'201000825_ET'!AA49</f>
        <v>0</v>
      </c>
      <c r="O67" s="651">
        <f>'201000825_ET'!T49</f>
        <v>0</v>
      </c>
      <c r="P67" s="1491"/>
      <c r="Q67" s="54">
        <f>'201000825_ET'!D4</f>
        <v>0</v>
      </c>
      <c r="R67" s="55" t="str">
        <f>'201000825_ET'!G3</f>
        <v>Abdelghani MOUSTAID</v>
      </c>
      <c r="T67" s="221">
        <f>'201000825_ET'!E1</f>
        <v>42369</v>
      </c>
      <c r="V67" s="57" t="str">
        <f>'201000825_ET'!A49</f>
        <v>Dépassement des quantités</v>
      </c>
      <c r="AZ67" s="570"/>
    </row>
    <row r="68" spans="1:52" s="56" customFormat="1" ht="33.75" customHeight="1">
      <c r="A68" s="2389">
        <v>201000800</v>
      </c>
      <c r="B68" s="53" t="str">
        <f>UPPER('201000800_ET'!B2)</f>
        <v>ETUDES TECHNIQUES POUR LA MISE EN OEVRE DE LA PREMIERE TRANCHE DU PDU LOT 2</v>
      </c>
      <c r="C68" s="218" t="str">
        <f>'201000800_ET'!B4</f>
        <v>COMMUNE URBAINE DE MARRAKECH</v>
      </c>
      <c r="D68" s="54">
        <f>'201000800_ET'!F57</f>
        <v>153240</v>
      </c>
      <c r="E68" s="54">
        <f>'201000800_ET'!W57</f>
        <v>153240</v>
      </c>
      <c r="F68" s="54">
        <f>'201000800_ET'!AB57</f>
        <v>153240</v>
      </c>
      <c r="G68" s="54">
        <f>'201000800_ET'!L57</f>
        <v>153240</v>
      </c>
      <c r="H68" s="281">
        <f>G68-'201000800_ET'!X57</f>
        <v>0</v>
      </c>
      <c r="I68" s="54">
        <f>'201000800_ET'!N57</f>
        <v>0</v>
      </c>
      <c r="J68" s="650">
        <f>I68-'201000800_ET'!Y57</f>
        <v>0</v>
      </c>
      <c r="K68" s="54">
        <f>'201000800_ET'!P57</f>
        <v>96000</v>
      </c>
      <c r="L68" s="54">
        <f>K68-'201000800_ET'!Z57</f>
        <v>0</v>
      </c>
      <c r="M68" s="54">
        <f>'201000800_ET'!R57</f>
        <v>0</v>
      </c>
      <c r="N68" s="54">
        <f>M68-'201000800_ET'!AA57</f>
        <v>0</v>
      </c>
      <c r="O68" s="651">
        <f>'201000800_ET'!T57</f>
        <v>0</v>
      </c>
      <c r="P68" s="1491"/>
      <c r="Q68" s="54" t="str">
        <f>'201000800_ET'!D4</f>
        <v>ROUTES</v>
      </c>
      <c r="R68" s="55" t="str">
        <f>'201000800_ET'!G3</f>
        <v>Oussama KHOMSI</v>
      </c>
      <c r="T68" s="221">
        <f>'201000800_ET'!E1</f>
        <v>42369</v>
      </c>
      <c r="V68" s="57">
        <f>'201000800_ET'!A57</f>
        <v>0</v>
      </c>
      <c r="AZ68" s="570"/>
    </row>
    <row r="69" spans="1:52" s="56" customFormat="1" ht="33.75" customHeight="1">
      <c r="A69" s="2389">
        <v>201000727</v>
      </c>
      <c r="B69" s="53" t="str">
        <f>UPPER('201000727_ET'!B2)</f>
        <v>ETUDE D'EXECUTION DE L'AUTOROUTE EL JADIDA-JORF</v>
      </c>
      <c r="C69" s="218" t="str">
        <f>'201000727_ET'!B4</f>
        <v>ADM</v>
      </c>
      <c r="D69" s="54">
        <f>'201000727_ET'!F57</f>
        <v>171000</v>
      </c>
      <c r="E69" s="54">
        <f>'201000727_ET'!W57</f>
        <v>138600</v>
      </c>
      <c r="F69" s="54">
        <f>'201000727_ET'!AB57</f>
        <v>138600</v>
      </c>
      <c r="G69" s="54">
        <f>'201000727_ET'!L57</f>
        <v>138600</v>
      </c>
      <c r="H69" s="281">
        <f>G69-'201000727_ET'!X57</f>
        <v>0</v>
      </c>
      <c r="I69" s="54">
        <f>'201000727_ET'!N57</f>
        <v>0</v>
      </c>
      <c r="J69" s="650">
        <f>I69-'201000727_ET'!Y57</f>
        <v>0</v>
      </c>
      <c r="K69" s="54">
        <f>'201000727_ET'!P57</f>
        <v>0</v>
      </c>
      <c r="L69" s="54">
        <f>K69-'201000727_ET'!Z57</f>
        <v>0</v>
      </c>
      <c r="M69" s="54">
        <f>'201000727_ET'!R57</f>
        <v>0</v>
      </c>
      <c r="N69" s="54">
        <f>M69-'201000727_ET'!AA57</f>
        <v>0</v>
      </c>
      <c r="O69" s="651">
        <f>'201000727_ET'!T57</f>
        <v>0</v>
      </c>
      <c r="P69" s="1491"/>
      <c r="Q69" s="54">
        <f>'201000727_ET'!D4</f>
        <v>0</v>
      </c>
      <c r="R69" s="55" t="str">
        <f>'201000727_ET'!G3</f>
        <v>Oussama KHOMSI</v>
      </c>
      <c r="T69" s="221">
        <f>'201000727_ET'!E1</f>
        <v>42369</v>
      </c>
      <c r="V69" s="57">
        <f>'201000727_ET'!A57</f>
        <v>0</v>
      </c>
      <c r="AZ69" s="570"/>
    </row>
    <row r="70" spans="1:52" s="56" customFormat="1" ht="33.75" customHeight="1">
      <c r="A70" s="2389">
        <v>201000713</v>
      </c>
      <c r="B70" s="53" t="str">
        <f>UPPER('201000713_ET'!B2)</f>
        <v>ETUDES DE LA MISE A NIVEAU DE LA SIGNALISATION HORIZONTALE ET VERTICALE DE LA VILLE DE FES</v>
      </c>
      <c r="C70" s="218" t="str">
        <f>'201000713_ET'!B4</f>
        <v>D.R.E.T Fés</v>
      </c>
      <c r="D70" s="54">
        <f>'201000713_ET'!F55</f>
        <v>1544400</v>
      </c>
      <c r="E70" s="54">
        <f>'201000713_ET'!W55</f>
        <v>1544400</v>
      </c>
      <c r="F70" s="54">
        <f>'201000713_ET'!AB55</f>
        <v>1544400</v>
      </c>
      <c r="G70" s="54">
        <f>'201000713_ET'!L55</f>
        <v>1544400</v>
      </c>
      <c r="H70" s="281">
        <f>G70-'201000713_ET'!X55</f>
        <v>0</v>
      </c>
      <c r="I70" s="54">
        <f>'201000713_ET'!N55</f>
        <v>373200</v>
      </c>
      <c r="J70" s="650">
        <f>I70-'201000713_ET'!Y55</f>
        <v>0</v>
      </c>
      <c r="K70" s="54">
        <f>'201000713_ET'!P55</f>
        <v>1544400</v>
      </c>
      <c r="L70" s="54">
        <f>K70-'201000713_ET'!Z55</f>
        <v>0</v>
      </c>
      <c r="M70" s="54">
        <f>'201000713_ET'!R55</f>
        <v>1442944.76</v>
      </c>
      <c r="N70" s="54">
        <f>M70-'201000713_ET'!AA55</f>
        <v>0</v>
      </c>
      <c r="O70" s="651">
        <f>'201000713_ET'!T55</f>
        <v>0</v>
      </c>
      <c r="P70" s="1491"/>
      <c r="Q70" s="54">
        <f>'201000713_ET'!D4</f>
        <v>0</v>
      </c>
      <c r="R70" s="55" t="str">
        <f>'201000713_ET'!G3</f>
        <v>Abdelghani MOUSTAID</v>
      </c>
      <c r="T70" s="221">
        <f>'201000713_ET'!E1</f>
        <v>42369</v>
      </c>
      <c r="V70" s="57">
        <f>'201000713_ET'!A55</f>
        <v>0</v>
      </c>
      <c r="AZ70" s="570"/>
    </row>
    <row r="71" spans="1:52" s="56" customFormat="1" ht="33.75" customHeight="1">
      <c r="A71" s="2389">
        <v>201000397</v>
      </c>
      <c r="B71" s="53" t="str">
        <f>UPPER('201000397_ET'!B2)</f>
        <v>ETUDE D'ELABORATION D'UN SHEMA DE CIRCULION A L'INTERIEUR DES PARKINGS SOUTERRAINS DU PROJET CASABLANCA MARINA</v>
      </c>
      <c r="C71" s="218" t="str">
        <f>'201000397_ET'!B4</f>
        <v xml:space="preserve">AL MANAR DEVLOPEMENT COMPAGNIE </v>
      </c>
      <c r="D71" s="54">
        <f>'201000397_ET'!F57</f>
        <v>516000</v>
      </c>
      <c r="E71" s="54">
        <f>'201000397_ET'!W57</f>
        <v>516000</v>
      </c>
      <c r="F71" s="54">
        <f>'201000397_ET'!AB57</f>
        <v>516000</v>
      </c>
      <c r="G71" s="54">
        <f>'201000397_ET'!L57</f>
        <v>102000</v>
      </c>
      <c r="H71" s="281">
        <f>G71-'201000397_ET'!X57</f>
        <v>0</v>
      </c>
      <c r="I71" s="54">
        <f>'201000397_ET'!N57</f>
        <v>0</v>
      </c>
      <c r="J71" s="650">
        <f>I71-'201000397_ET'!Y57</f>
        <v>0</v>
      </c>
      <c r="K71" s="54">
        <f>'201000397_ET'!P57</f>
        <v>102000</v>
      </c>
      <c r="L71" s="54">
        <f>K71-'201000397_ET'!Z57</f>
        <v>0</v>
      </c>
      <c r="M71" s="54">
        <f>'201000397_ET'!R57</f>
        <v>102000</v>
      </c>
      <c r="N71" s="54">
        <f>M71-'201000397_ET'!AA57</f>
        <v>102000</v>
      </c>
      <c r="O71" s="651">
        <f>'201000397_ET'!T57</f>
        <v>414000</v>
      </c>
      <c r="P71" s="1491"/>
      <c r="Q71" s="54">
        <f>'201000397_ET'!D4</f>
        <v>0</v>
      </c>
      <c r="R71" s="55" t="str">
        <f>'201000397_ET'!G3</f>
        <v>Oussama KHOMSI</v>
      </c>
      <c r="T71" s="221">
        <f>'201000397_ET'!E1</f>
        <v>42369</v>
      </c>
      <c r="V71" s="57">
        <f>'201000397_ET'!A57</f>
        <v>0</v>
      </c>
      <c r="AZ71" s="570"/>
    </row>
    <row r="72" spans="1:52" s="56" customFormat="1" ht="33.75" customHeight="1">
      <c r="A72" s="2389">
        <v>201000101</v>
      </c>
      <c r="B72" s="53" t="str">
        <f>UPPER('201000101_ET'!B2)</f>
        <v>ETUDE DE FONCTIONNEMENT DES PROPOSITIONS D'AMENAGEMENT DES ACCES DU PROJET ANFA PLACE</v>
      </c>
      <c r="C72" s="218" t="str">
        <f>'201000101_ET'!B4</f>
        <v>INVEREVANTE</v>
      </c>
      <c r="D72" s="54">
        <f>'201000101_ET'!F57</f>
        <v>360000</v>
      </c>
      <c r="E72" s="54">
        <f>'201000101_ET'!W57</f>
        <v>360000</v>
      </c>
      <c r="F72" s="54">
        <f>'201000101_ET'!AB57</f>
        <v>360000</v>
      </c>
      <c r="G72" s="54">
        <f>'201000101_ET'!L57</f>
        <v>360000</v>
      </c>
      <c r="H72" s="281">
        <f>G72-'201000101_ET'!X57</f>
        <v>0</v>
      </c>
      <c r="I72" s="54">
        <f>'201000101_ET'!N57</f>
        <v>0</v>
      </c>
      <c r="J72" s="650">
        <f>I72-'201000101_ET'!Y57</f>
        <v>0</v>
      </c>
      <c r="K72" s="54">
        <f>'201000101_ET'!P57</f>
        <v>360000</v>
      </c>
      <c r="L72" s="54">
        <f>K72-'201000101_ET'!Z57</f>
        <v>0</v>
      </c>
      <c r="M72" s="54">
        <f>'201000101_ET'!R57</f>
        <v>360000</v>
      </c>
      <c r="N72" s="54">
        <f>M72-'201000101_ET'!AA57</f>
        <v>90000</v>
      </c>
      <c r="O72" s="651">
        <f>'201000101_ET'!T57</f>
        <v>0</v>
      </c>
      <c r="P72" s="1491"/>
      <c r="Q72" s="54">
        <f>'201000101_ET'!D4</f>
        <v>0</v>
      </c>
      <c r="R72" s="55" t="str">
        <f>'201000101_ET'!G3</f>
        <v>Oussama KHOMSI</v>
      </c>
      <c r="T72" s="221">
        <f>'201000101_ET'!E1</f>
        <v>42369</v>
      </c>
      <c r="V72" s="57">
        <f>'201000101_ET'!A57</f>
        <v>0</v>
      </c>
      <c r="AZ72" s="570"/>
    </row>
    <row r="73" spans="1:52" s="56" customFormat="1" ht="33.75" customHeight="1">
      <c r="A73" s="2389">
        <v>201000072</v>
      </c>
      <c r="B73" s="53" t="str">
        <f>UPPER('201000072_ET'!B2)</f>
        <v>ETUDE DE DEFINITION DE L'AUTOROUTE DE CONTOURNEMENT DE FNIDEQ</v>
      </c>
      <c r="C73" s="218" t="str">
        <f>'201000072_ET'!B4</f>
        <v>DIRECTION DES ROUTES</v>
      </c>
      <c r="D73" s="54">
        <f>'201000072_ET'!F57</f>
        <v>612000</v>
      </c>
      <c r="E73" s="54">
        <f>'201000072_ET'!W57</f>
        <v>612000</v>
      </c>
      <c r="F73" s="54">
        <f>'201000072_ET'!AB57</f>
        <v>0</v>
      </c>
      <c r="G73" s="54">
        <f>'201000072_ET'!L57</f>
        <v>612000</v>
      </c>
      <c r="H73" s="281">
        <f>G73-'201000072_ET'!X57</f>
        <v>0</v>
      </c>
      <c r="I73" s="54">
        <f>'201000072_ET'!N57</f>
        <v>12176</v>
      </c>
      <c r="J73" s="650">
        <f>I73-'201000072_ET'!Y57</f>
        <v>0</v>
      </c>
      <c r="K73" s="54">
        <f>'201000072_ET'!P57</f>
        <v>612000</v>
      </c>
      <c r="L73" s="54">
        <f>K73-'201000072_ET'!Z57</f>
        <v>331200</v>
      </c>
      <c r="M73" s="54">
        <f>'201000072_ET'!R57</f>
        <v>0</v>
      </c>
      <c r="N73" s="54">
        <f>M73-'201000072_ET'!AA57</f>
        <v>0</v>
      </c>
      <c r="O73" s="651">
        <f>'201000072_ET'!T57</f>
        <v>0</v>
      </c>
      <c r="P73" s="1491"/>
      <c r="Q73" s="54" t="str">
        <f>'201000072_ET'!D4</f>
        <v>AR</v>
      </c>
      <c r="R73" s="55" t="str">
        <f>'201000072_ET'!G3</f>
        <v>Oussama KHOMSI</v>
      </c>
      <c r="T73" s="221">
        <f>'201000072_ET'!E1</f>
        <v>42369</v>
      </c>
      <c r="V73" s="57">
        <f>'201000072_ET'!A57</f>
        <v>0</v>
      </c>
      <c r="AZ73" s="570"/>
    </row>
    <row r="74" spans="1:52" s="56" customFormat="1" ht="33.75" customHeight="1">
      <c r="A74" s="2389">
        <v>201000055</v>
      </c>
      <c r="B74" s="53" t="str">
        <f>UPPER('201000055_ET'!B2)</f>
        <v>ETUDE DE CIRCULATION ET D'ACCESSIBILITE AU PROJET MOROCCO MALL</v>
      </c>
      <c r="C74" s="218" t="str">
        <f>'201000055_ET'!B4</f>
        <v>AL AMINE GESTION</v>
      </c>
      <c r="D74" s="54">
        <f>'201000055_ET'!F57</f>
        <v>612000</v>
      </c>
      <c r="E74" s="54">
        <f>'201000055_ET'!W57</f>
        <v>612000</v>
      </c>
      <c r="F74" s="54">
        <f>'201000055_ET'!AB57</f>
        <v>612000</v>
      </c>
      <c r="G74" s="54">
        <f>'201000055_ET'!L57</f>
        <v>612000</v>
      </c>
      <c r="H74" s="281">
        <f>G74-'201000055_ET'!X57</f>
        <v>0</v>
      </c>
      <c r="I74" s="54">
        <f>'201000055_ET'!N57</f>
        <v>8714.2900000000009</v>
      </c>
      <c r="J74" s="650">
        <f>I74-'201000055_ET'!Y57</f>
        <v>0</v>
      </c>
      <c r="K74" s="54">
        <f>'201000055_ET'!P57</f>
        <v>612000</v>
      </c>
      <c r="L74" s="54">
        <f>K74-'201000055_ET'!Z57</f>
        <v>0</v>
      </c>
      <c r="M74" s="54">
        <f>'201000055_ET'!R57</f>
        <v>612000</v>
      </c>
      <c r="N74" s="54">
        <f>M74-'201000055_ET'!AA57</f>
        <v>153000</v>
      </c>
      <c r="O74" s="651">
        <f>'201000055_ET'!T57</f>
        <v>0</v>
      </c>
      <c r="P74" s="1491"/>
      <c r="Q74" s="54">
        <f>'201000055_ET'!D4</f>
        <v>0</v>
      </c>
      <c r="R74" s="55" t="str">
        <f>'201000055_ET'!G3</f>
        <v>Oussama KHOMSI</v>
      </c>
      <c r="T74" s="221">
        <f>'201000055_ET'!E1</f>
        <v>42369</v>
      </c>
      <c r="V74" s="57">
        <f>'201000055_ET'!A57</f>
        <v>0</v>
      </c>
      <c r="AZ74" s="570"/>
    </row>
    <row r="75" spans="1:52" s="56" customFormat="1" ht="33.75" customHeight="1">
      <c r="A75" s="2389">
        <v>200900570</v>
      </c>
      <c r="B75" s="53" t="str">
        <f>UPPER('200900570_ET'!B2)</f>
        <v>ETUDE DEFINITION DE L'AUTOROUTE RELIANT LA PARTIE TERMINALE DE L'AUTOROUTE FES-OUJDA A L'AUTOROUTE EST-OUEST ALGERIENNE</v>
      </c>
      <c r="C75" s="218" t="str">
        <f>'200900570_ET'!B4</f>
        <v>DR</v>
      </c>
      <c r="D75" s="54">
        <f>'200900570_ET'!F57</f>
        <v>804000</v>
      </c>
      <c r="E75" s="54">
        <f>'200900570_ET'!W57</f>
        <v>480000</v>
      </c>
      <c r="F75" s="54">
        <f>'200900570_ET'!AB57</f>
        <v>480000</v>
      </c>
      <c r="G75" s="54">
        <f>'200900570_ET'!L57</f>
        <v>480000</v>
      </c>
      <c r="H75" s="281">
        <f>G75-'200900570_ET'!X57</f>
        <v>0</v>
      </c>
      <c r="I75" s="54">
        <f>'200900570_ET'!N57</f>
        <v>36206.43</v>
      </c>
      <c r="J75" s="650">
        <f>I75-'200900570_ET'!Y57</f>
        <v>0</v>
      </c>
      <c r="K75" s="54">
        <f>'200900570_ET'!P57</f>
        <v>480000</v>
      </c>
      <c r="L75" s="54">
        <f>K75-'200900570_ET'!Z57</f>
        <v>0</v>
      </c>
      <c r="M75" s="54">
        <f>'200900570_ET'!R57</f>
        <v>0</v>
      </c>
      <c r="N75" s="54">
        <f>M75-'200900570_ET'!AA57</f>
        <v>0</v>
      </c>
      <c r="O75" s="651">
        <f>'200900570_ET'!T57</f>
        <v>0</v>
      </c>
      <c r="P75" s="1491"/>
      <c r="Q75" s="54" t="str">
        <f>'200900570_ET'!D4</f>
        <v>AR</v>
      </c>
      <c r="R75" s="55" t="str">
        <f>'200900570_ET'!G3</f>
        <v>Oussama KHOMSI</v>
      </c>
      <c r="T75" s="221">
        <f>'200900570_ET'!E1</f>
        <v>42369</v>
      </c>
      <c r="V75" s="57">
        <f>'200900570_ET'!A57</f>
        <v>0</v>
      </c>
      <c r="AZ75" s="570"/>
    </row>
    <row r="76" spans="1:52" s="56" customFormat="1" ht="33.75" customHeight="1">
      <c r="A76" s="2389">
        <v>200900304</v>
      </c>
      <c r="B76" s="53" t="str">
        <f>UPPER('200900304_ET'!B2)</f>
        <v>REALISATION D'UNE ETUDE RELATIVE A L'IDENTIFICATION DES ZONES D'ACCUMULATION DES ACCIDENTS SURVENUS DANS LA VILLE DE MARRAKECH</v>
      </c>
      <c r="C76" s="218" t="str">
        <f>'200900304_ET'!B4</f>
        <v>CNPAC</v>
      </c>
      <c r="D76" s="54">
        <f>'200900304_ET'!F57</f>
        <v>995000.39999999991</v>
      </c>
      <c r="E76" s="54">
        <f>'200900304_ET'!W57</f>
        <v>995000.39999999991</v>
      </c>
      <c r="F76" s="54">
        <f>'200900304_ET'!AB57</f>
        <v>995000.39999999991</v>
      </c>
      <c r="G76" s="54">
        <f>'200900304_ET'!L57</f>
        <v>995000.39999999991</v>
      </c>
      <c r="H76" s="281">
        <f>G76-'200900304_ET'!X57</f>
        <v>0</v>
      </c>
      <c r="I76" s="54">
        <f>'200900304_ET'!N57</f>
        <v>193200</v>
      </c>
      <c r="J76" s="650">
        <f>I76-'200900304_ET'!Y57</f>
        <v>0</v>
      </c>
      <c r="K76" s="54">
        <f>'200900304_ET'!P57</f>
        <v>995000.4</v>
      </c>
      <c r="L76" s="54">
        <f>K76-'200900304_ET'!Z57</f>
        <v>0</v>
      </c>
      <c r="M76" s="54">
        <f>'200900304_ET'!R57</f>
        <v>915400.55999999994</v>
      </c>
      <c r="N76" s="54">
        <f>M76-'200900304_ET'!AA57</f>
        <v>676600.31999999995</v>
      </c>
      <c r="O76" s="651">
        <f>'200900304_ET'!T57</f>
        <v>0</v>
      </c>
      <c r="P76" s="1491"/>
      <c r="Q76" s="54">
        <f>'200900304_ET'!D4</f>
        <v>0</v>
      </c>
      <c r="R76" s="55" t="str">
        <f>'200900304_ET'!G3</f>
        <v>Oussama KHOMSI</v>
      </c>
      <c r="T76" s="221">
        <f>'200900304_ET'!E1</f>
        <v>42369</v>
      </c>
      <c r="V76" s="57">
        <f>'200900304_ET'!A57</f>
        <v>0</v>
      </c>
      <c r="AZ76" s="570"/>
    </row>
    <row r="77" spans="1:52" s="56" customFormat="1" ht="33.75" customHeight="1">
      <c r="A77" s="2389">
        <v>200900225</v>
      </c>
      <c r="B77" s="53" t="str">
        <f>UPPER('200900225_ET'!B2)</f>
        <v>ETUDE D'IMPACT DU PROJET CASABLANCA-MARINA SUR LA CIRCULATION ROUTIERE DES BDS ALMOHADES ET SMBA</v>
      </c>
      <c r="C77" s="218" t="str">
        <f>'200900225_ET'!B4</f>
        <v>CGI</v>
      </c>
      <c r="D77" s="54">
        <f>'200900225_ET'!F57</f>
        <v>600000</v>
      </c>
      <c r="E77" s="54">
        <f>'200900225_ET'!W57</f>
        <v>600000</v>
      </c>
      <c r="F77" s="54">
        <f>'200900225_ET'!AB57</f>
        <v>600000</v>
      </c>
      <c r="G77" s="54">
        <f>'200900225_ET'!L57</f>
        <v>600000</v>
      </c>
      <c r="H77" s="281">
        <f>G77-'200900225_ET'!X57</f>
        <v>0</v>
      </c>
      <c r="I77" s="54">
        <f>'200900225_ET'!N57</f>
        <v>0</v>
      </c>
      <c r="J77" s="650">
        <f>I77-'200900225_ET'!Y57</f>
        <v>0</v>
      </c>
      <c r="K77" s="54">
        <f>'200900225_ET'!P57</f>
        <v>600000</v>
      </c>
      <c r="L77" s="54">
        <f>K77-'200900225_ET'!Z57</f>
        <v>0</v>
      </c>
      <c r="M77" s="54">
        <f>'200900225_ET'!R57</f>
        <v>600000</v>
      </c>
      <c r="N77" s="54">
        <f>M77-'200900225_ET'!AA57</f>
        <v>300000</v>
      </c>
      <c r="O77" s="651">
        <f>'200900225_ET'!T57</f>
        <v>0</v>
      </c>
      <c r="P77" s="1491"/>
      <c r="Q77" s="54">
        <f>'200900225_ET'!D4</f>
        <v>0</v>
      </c>
      <c r="R77" s="55" t="str">
        <f>'200900225_ET'!G3</f>
        <v>Oussama KHOMSI</v>
      </c>
      <c r="T77" s="221">
        <f>'200900225_ET'!E1</f>
        <v>42369</v>
      </c>
      <c r="V77" s="57">
        <f>'200900225_ET'!A57</f>
        <v>0</v>
      </c>
      <c r="AZ77" s="570"/>
    </row>
    <row r="78" spans="1:52" s="56" customFormat="1" ht="33.75" customHeight="1">
      <c r="A78" s="2389">
        <v>200900179</v>
      </c>
      <c r="B78" s="53" t="str">
        <f>UPPER('200900179_ET'!B2)</f>
        <v>ETUDE DE DEFINITION DE LA DESSERTE DE LA VILLE DE NADOR</v>
      </c>
      <c r="C78" s="218" t="str">
        <f>'200900179_ET'!B4</f>
        <v>DR</v>
      </c>
      <c r="D78" s="54">
        <f>'200900179_ET'!F57</f>
        <v>696000</v>
      </c>
      <c r="E78" s="54">
        <f>'200900179_ET'!W57</f>
        <v>696000</v>
      </c>
      <c r="F78" s="54">
        <f>'200900179_ET'!AB57</f>
        <v>696000</v>
      </c>
      <c r="G78" s="54">
        <f>'200900179_ET'!L57</f>
        <v>696000</v>
      </c>
      <c r="H78" s="281">
        <f>G78-'200900179_ET'!X57</f>
        <v>0</v>
      </c>
      <c r="I78" s="54">
        <f>'200900179_ET'!N57</f>
        <v>57277.85</v>
      </c>
      <c r="J78" s="650">
        <f>I78-'200900179_ET'!Y57</f>
        <v>0</v>
      </c>
      <c r="K78" s="54">
        <f>'200900179_ET'!P57</f>
        <v>696000</v>
      </c>
      <c r="L78" s="54">
        <f>K78-'200900179_ET'!Z57</f>
        <v>0</v>
      </c>
      <c r="M78" s="54">
        <f>'200900179_ET'!R57</f>
        <v>0</v>
      </c>
      <c r="N78" s="54">
        <f>M78-'200900179_ET'!AA57</f>
        <v>0</v>
      </c>
      <c r="O78" s="651">
        <f>'200900179_ET'!T57</f>
        <v>0</v>
      </c>
      <c r="P78" s="1491"/>
      <c r="Q78" s="54" t="str">
        <f>'200900179_ET'!D4</f>
        <v>AR</v>
      </c>
      <c r="R78" s="55" t="str">
        <f>'200900179_ET'!G3</f>
        <v>Oussama KHOMSI</v>
      </c>
      <c r="T78" s="221">
        <f>'200900179_ET'!E1</f>
        <v>42369</v>
      </c>
      <c r="V78" s="57">
        <f>'200900179_ET'!A57</f>
        <v>0</v>
      </c>
      <c r="AZ78" s="570"/>
    </row>
    <row r="79" spans="1:52" s="56" customFormat="1" ht="33.75" customHeight="1">
      <c r="A79" s="2389">
        <v>200900140</v>
      </c>
      <c r="B79" s="53" t="str">
        <f>UPPER('200900140_ET'!B2)</f>
        <v>MAITRISE D'OUEVRE DE LA REALISATION  DE LA PREMIERE LIGNE DE TRAMWAY DE CASABLANCA</v>
      </c>
      <c r="C79" s="218" t="str">
        <f>'200900140_ET'!B4</f>
        <v>CASA TRANSPORTS</v>
      </c>
      <c r="D79" s="54">
        <f>'200900140_ET'!F57</f>
        <v>231658440.52404684</v>
      </c>
      <c r="E79" s="54">
        <f>'200900140_ET'!W57</f>
        <v>8046456.2537174579</v>
      </c>
      <c r="F79" s="54">
        <f>'200900140_ET'!AB57</f>
        <v>7989934.0863802833</v>
      </c>
      <c r="G79" s="54">
        <f>'200900140_ET'!L57</f>
        <v>7989934.0863802833</v>
      </c>
      <c r="H79" s="281">
        <f>G79-'200900140_ET'!X57</f>
        <v>0</v>
      </c>
      <c r="I79" s="54">
        <f>'200900140_ET'!N57</f>
        <v>4284</v>
      </c>
      <c r="J79" s="650">
        <f>I79-'200900140_ET'!Y57</f>
        <v>4284</v>
      </c>
      <c r="K79" s="54">
        <f>'200900140_ET'!P57</f>
        <v>0</v>
      </c>
      <c r="L79" s="54">
        <f>K79-'200900140_ET'!Z57</f>
        <v>0</v>
      </c>
      <c r="M79" s="54">
        <f>'200900140_ET'!R57</f>
        <v>7137982.5637174584</v>
      </c>
      <c r="N79" s="54">
        <f>M79-'200900140_ET'!AA57</f>
        <v>7137982.5637174584</v>
      </c>
      <c r="O79" s="651">
        <f>'200900140_ET'!T57</f>
        <v>0</v>
      </c>
      <c r="P79" s="1491"/>
      <c r="Q79" s="54" t="str">
        <f>'200900140_ET'!D4</f>
        <v>RT+ATCL+BVP</v>
      </c>
      <c r="R79" s="55" t="str">
        <f>'200900140_ET'!G3</f>
        <v>Oussama KHOMSI</v>
      </c>
      <c r="T79" s="221">
        <f>'200900140_ET'!E1</f>
        <v>42369</v>
      </c>
      <c r="V79" s="57" t="str">
        <f>'200900140_ET'!A57</f>
        <v>Dépassement des quantités</v>
      </c>
      <c r="AZ79" s="570"/>
    </row>
    <row r="80" spans="1:52" s="56" customFormat="1" ht="33.75" customHeight="1">
      <c r="A80" s="2389">
        <v>200900048</v>
      </c>
      <c r="B80" s="53" t="str">
        <f>UPPER('200900048-ET'!B2)</f>
        <v>RENFORCEMENT DE LA VOIE EXPRESS DE LIBREVILLE</v>
      </c>
      <c r="C80" s="218" t="str">
        <f>'200900048-ET'!B4</f>
        <v>MINISTERE DE L'EQUIPEMENT, DES INFRASTRUCTURES ET DE L'AMENAGEMENT DU TERRITOIRE - REPUBLIQUE GABONAISE</v>
      </c>
      <c r="D80" s="54">
        <f>'200900048-ET'!F69</f>
        <v>375140.85709407547</v>
      </c>
      <c r="E80" s="54">
        <f>'200900048-ET'!W69</f>
        <v>375140.85709407547</v>
      </c>
      <c r="F80" s="54">
        <f>'200900048-ET'!AB69</f>
        <v>0</v>
      </c>
      <c r="G80" s="54">
        <f>'200900048-ET'!L69</f>
        <v>375140.85709407547</v>
      </c>
      <c r="H80" s="281">
        <f>G80-'200900048-ET'!X69</f>
        <v>0</v>
      </c>
      <c r="I80" s="54">
        <f>'200900048-ET'!N69</f>
        <v>0</v>
      </c>
      <c r="J80" s="650">
        <f>I80-'200900048-ET'!Y69</f>
        <v>0</v>
      </c>
      <c r="K80" s="54">
        <f>'200900048-ET'!P69</f>
        <v>0</v>
      </c>
      <c r="L80" s="54">
        <f>K80-'200900048-ET'!Z69</f>
        <v>0</v>
      </c>
      <c r="M80" s="54">
        <f>'200900048-ET'!R69</f>
        <v>0</v>
      </c>
      <c r="N80" s="54">
        <f>M80-'200900048-ET'!AA69</f>
        <v>0</v>
      </c>
      <c r="O80" s="651">
        <f>'200900048-ET'!T69</f>
        <v>0</v>
      </c>
      <c r="P80" s="1491"/>
      <c r="Q80" s="54" t="str">
        <f>'200900048-ET'!D4</f>
        <v>RT</v>
      </c>
      <c r="R80" s="55" t="str">
        <f>'200900048-ET'!G3</f>
        <v>Abdelghani MOUSTAID</v>
      </c>
      <c r="T80" s="221">
        <f>'200900048-ET'!E1</f>
        <v>42369</v>
      </c>
      <c r="V80" s="57">
        <f>'200900048-ET'!A69</f>
        <v>0</v>
      </c>
      <c r="AZ80" s="570"/>
    </row>
    <row r="81" spans="1:52" s="56" customFormat="1" ht="33.75" customHeight="1">
      <c r="A81" s="2389">
        <v>200900027</v>
      </c>
      <c r="B81" s="53" t="str">
        <f>UPPER('200900027_ET'!B2)</f>
        <v>ETUDES DE FAISABILITE TECHNICO-ECONOMIQUE, ENVIRONNEMENTALE ET SOCIALE (APS), ETUDE D'APD ET DAO POUR L'AMENAGEMENT EN 2 X 2 VOIES DE LA ROUTE SIKASSO-ZEGOUA</v>
      </c>
      <c r="C81" s="218" t="str">
        <f>'200900027_ET'!B4</f>
        <v>DNR - MALI</v>
      </c>
      <c r="D81" s="54">
        <f>'200900027_ET'!F57</f>
        <v>1626204</v>
      </c>
      <c r="E81" s="54">
        <f>'200900027_ET'!W57</f>
        <v>1626204</v>
      </c>
      <c r="F81" s="54">
        <f>'200900027_ET'!AB57</f>
        <v>1626204</v>
      </c>
      <c r="G81" s="54">
        <f>'200900027_ET'!L57</f>
        <v>1626204</v>
      </c>
      <c r="H81" s="281">
        <f>G81-'200900027_ET'!X57</f>
        <v>0</v>
      </c>
      <c r="I81" s="54">
        <f>'200900027_ET'!N57</f>
        <v>241571.63</v>
      </c>
      <c r="J81" s="650">
        <f>I81-'200900027_ET'!Y57</f>
        <v>0</v>
      </c>
      <c r="K81" s="54">
        <f>'200900027_ET'!P57</f>
        <v>1600929.6341071138</v>
      </c>
      <c r="L81" s="54">
        <f>K81-'200900027_ET'!Z57</f>
        <v>0</v>
      </c>
      <c r="M81" s="54">
        <f>'200900027_ET'!R57</f>
        <v>1044561.812161303</v>
      </c>
      <c r="N81" s="54">
        <f>M81-'200900027_ET'!AA57</f>
        <v>0</v>
      </c>
      <c r="O81" s="651">
        <f>'200900027_ET'!T57</f>
        <v>0</v>
      </c>
      <c r="P81" s="1491"/>
      <c r="Q81" s="54">
        <f>'200900027_ET'!D4</f>
        <v>0</v>
      </c>
      <c r="R81" s="55" t="str">
        <f>'200900027_ET'!G3</f>
        <v>Abdelghani MOUSTAID</v>
      </c>
      <c r="T81" s="221">
        <f>'200900027_ET'!E1</f>
        <v>42369</v>
      </c>
      <c r="V81" s="57">
        <f>'200900027_ET'!A57</f>
        <v>0</v>
      </c>
      <c r="AZ81" s="570"/>
    </row>
    <row r="82" spans="1:52" s="56" customFormat="1" ht="33.75" customHeight="1">
      <c r="A82" s="2389">
        <v>200800724</v>
      </c>
      <c r="B82" s="53" t="str">
        <f>UPPER('200800724_ET'!B2)</f>
        <v>REALISATION D'UNE ETUDE RELATIVE A LA CONCEPTION ET LA MISE EN PLACE DE BAROMETRE "SATISFACTION ET IMAGE 2008"</v>
      </c>
      <c r="C82" s="218" t="str">
        <f>'200800724_ET'!B4</f>
        <v>DEPCT</v>
      </c>
      <c r="D82" s="54">
        <f>'200800724_ET'!F54</f>
        <v>3013360.8</v>
      </c>
      <c r="E82" s="54">
        <f>'200800724_ET'!W54</f>
        <v>3013360.8</v>
      </c>
      <c r="F82" s="54">
        <f>'200800724_ET'!AB54</f>
        <v>3013360.8</v>
      </c>
      <c r="G82" s="54">
        <f>'200800724_ET'!L54</f>
        <v>3013360.8</v>
      </c>
      <c r="H82" s="281">
        <f>G82-'200800724_ET'!X54</f>
        <v>0</v>
      </c>
      <c r="I82" s="54">
        <f>'200800724_ET'!N54</f>
        <v>1064000</v>
      </c>
      <c r="J82" s="650">
        <f>I82-'200800724_ET'!Y54</f>
        <v>0</v>
      </c>
      <c r="K82" s="54">
        <f>'200800724_ET'!P54</f>
        <v>3007069.1999999997</v>
      </c>
      <c r="L82" s="54">
        <f>K82-'200800724_ET'!Z54</f>
        <v>0</v>
      </c>
      <c r="M82" s="54">
        <f>'200800724_ET'!R54</f>
        <v>3005616.8899999997</v>
      </c>
      <c r="N82" s="54">
        <f>M82-'200800724_ET'!AA54</f>
        <v>591936.33999999985</v>
      </c>
      <c r="O82" s="651">
        <f>'200800724_ET'!T54</f>
        <v>0</v>
      </c>
      <c r="P82" s="1491"/>
      <c r="Q82" s="54">
        <f>'200800724_ET'!D4</f>
        <v>0</v>
      </c>
      <c r="R82" s="55" t="str">
        <f>'200800724_ET'!G3</f>
        <v>Abdelghani MOUSTAID</v>
      </c>
      <c r="T82" s="221">
        <f>'200800724_ET'!E1</f>
        <v>42369</v>
      </c>
      <c r="V82" s="57">
        <f>'200800724_ET'!A54</f>
        <v>0</v>
      </c>
      <c r="AZ82" s="570"/>
    </row>
    <row r="83" spans="1:52" s="56" customFormat="1" ht="33.75" customHeight="1">
      <c r="A83" s="2389">
        <v>200800500</v>
      </c>
      <c r="B83" s="53" t="str">
        <f>UPPER('200800500_ET'!B2)</f>
        <v>ETUDE DE TARIFICATION DE L'AUTOROUTE BERRECHID BENI MELLAL</v>
      </c>
      <c r="C83" s="218" t="str">
        <f>'200800500_ET'!B4</f>
        <v>ADM</v>
      </c>
      <c r="D83" s="54">
        <f>'200800500_ET'!F57</f>
        <v>180000</v>
      </c>
      <c r="E83" s="54">
        <f>'200800500_ET'!W57</f>
        <v>180000</v>
      </c>
      <c r="F83" s="54">
        <f>'200800500_ET'!AB57</f>
        <v>180000</v>
      </c>
      <c r="G83" s="54">
        <f>'200800500_ET'!L57</f>
        <v>180000</v>
      </c>
      <c r="H83" s="281">
        <f>G83-'200800500_ET'!X57</f>
        <v>0</v>
      </c>
      <c r="I83" s="54">
        <f>'200800500_ET'!N57</f>
        <v>0</v>
      </c>
      <c r="J83" s="650">
        <f>I83-'200800500_ET'!Y57</f>
        <v>0</v>
      </c>
      <c r="K83" s="54">
        <f>'200800500_ET'!P57</f>
        <v>180000</v>
      </c>
      <c r="L83" s="54">
        <f>K83-'200800500_ET'!Z57</f>
        <v>0</v>
      </c>
      <c r="M83" s="54">
        <f>'200800500_ET'!R57</f>
        <v>180000</v>
      </c>
      <c r="N83" s="54">
        <f>M83-'200800500_ET'!AA57</f>
        <v>180000</v>
      </c>
      <c r="O83" s="651">
        <f>'200800500_ET'!T57</f>
        <v>0</v>
      </c>
      <c r="P83" s="1491"/>
      <c r="Q83" s="54">
        <f>'200800500_ET'!D4</f>
        <v>0</v>
      </c>
      <c r="R83" s="55" t="str">
        <f>'200800500_ET'!G3</f>
        <v>Oussama KHOMSI</v>
      </c>
      <c r="T83" s="221">
        <f>'200800500_ET'!E1</f>
        <v>42369</v>
      </c>
      <c r="V83" s="57">
        <f>'200800500_ET'!A57</f>
        <v>0</v>
      </c>
      <c r="AZ83" s="570"/>
    </row>
    <row r="84" spans="1:52" s="56" customFormat="1" ht="33.75" customHeight="1">
      <c r="A84" s="2389">
        <v>200800365</v>
      </c>
      <c r="B84" s="53" t="str">
        <f>UPPER('200800365_ET'!B2)</f>
        <v>ETUDE DE TRAFIC ET DE RENTABILITE ECONOMIQUE DE L'AUTOROUTE TIT MELLIL - BERRECHID</v>
      </c>
      <c r="C84" s="218" t="str">
        <f>'200800365_ET'!B4</f>
        <v>ADM</v>
      </c>
      <c r="D84" s="54">
        <f>'200800365_ET'!F57</f>
        <v>432360</v>
      </c>
      <c r="E84" s="54">
        <f>'200800365_ET'!W57</f>
        <v>432360</v>
      </c>
      <c r="F84" s="54">
        <f>'200800365_ET'!AB57</f>
        <v>432360</v>
      </c>
      <c r="G84" s="54">
        <f>'200800365_ET'!L57</f>
        <v>432360</v>
      </c>
      <c r="H84" s="281">
        <f>G84-'200800365_ET'!X57</f>
        <v>0</v>
      </c>
      <c r="I84" s="54">
        <f>'200800365_ET'!N57</f>
        <v>10100</v>
      </c>
      <c r="J84" s="650">
        <f>I84-'200800365_ET'!Y57</f>
        <v>0</v>
      </c>
      <c r="K84" s="54">
        <f>'200800365_ET'!P57</f>
        <v>432360</v>
      </c>
      <c r="L84" s="54">
        <f>K84-'200800365_ET'!Z57</f>
        <v>0</v>
      </c>
      <c r="M84" s="54">
        <f>'200800365_ET'!R57</f>
        <v>0</v>
      </c>
      <c r="N84" s="54">
        <f>M84-'200800365_ET'!AA57</f>
        <v>0</v>
      </c>
      <c r="O84" s="651">
        <f>'200800365_ET'!T57</f>
        <v>0</v>
      </c>
      <c r="P84" s="1491"/>
      <c r="Q84" s="54">
        <f>'200800365_ET'!D4</f>
        <v>0</v>
      </c>
      <c r="R84" s="55" t="str">
        <f>'200800365_ET'!G3</f>
        <v>Oussama KHOMSI</v>
      </c>
      <c r="T84" s="221">
        <f>'200800365_ET'!E1</f>
        <v>42369</v>
      </c>
      <c r="V84" s="57">
        <f>'200800365_ET'!A57</f>
        <v>0</v>
      </c>
      <c r="AZ84" s="570"/>
    </row>
    <row r="85" spans="1:52" s="56" customFormat="1" ht="33.75" customHeight="1">
      <c r="A85" s="2389">
        <v>200600317</v>
      </c>
      <c r="B85" s="53" t="str">
        <f>UPPER('200600317_ET'!B2)</f>
        <v xml:space="preserve">ETUDE DE DEFINITION DE LA LIAISON AUTOROUTIERE TANGER - TETOUAN  </v>
      </c>
      <c r="C85" s="218" t="str">
        <f>'200600317_ET'!B4</f>
        <v>DRCR</v>
      </c>
      <c r="D85" s="54">
        <f>'200600317_ET'!F57</f>
        <v>2483400</v>
      </c>
      <c r="E85" s="54">
        <f>'200600317_ET'!W57</f>
        <v>627600</v>
      </c>
      <c r="F85" s="54">
        <f>'200600317_ET'!AB57</f>
        <v>627600</v>
      </c>
      <c r="G85" s="54">
        <f>'200600317_ET'!L57</f>
        <v>627600</v>
      </c>
      <c r="H85" s="281">
        <f>G85-'200600317_ET'!X57</f>
        <v>0</v>
      </c>
      <c r="I85" s="54">
        <f>'200600317_ET'!N57</f>
        <v>0</v>
      </c>
      <c r="J85" s="650">
        <f>I85-'200600317_ET'!Y57</f>
        <v>0</v>
      </c>
      <c r="K85" s="54">
        <f>'200600317_ET'!P57</f>
        <v>627600</v>
      </c>
      <c r="L85" s="54">
        <f>K85-'200600317_ET'!Z57</f>
        <v>0</v>
      </c>
      <c r="M85" s="54">
        <f>'200600317_ET'!R57</f>
        <v>627600</v>
      </c>
      <c r="N85" s="54">
        <f>M85-'200600317_ET'!AA57</f>
        <v>0</v>
      </c>
      <c r="O85" s="651">
        <f>'200600317_ET'!T57</f>
        <v>0</v>
      </c>
      <c r="P85" s="1491"/>
      <c r="Q85" s="54" t="str">
        <f>'200600317_ET'!D4</f>
        <v>AR</v>
      </c>
      <c r="R85" s="55" t="str">
        <f>'200600317_ET'!G3</f>
        <v>Oussama KHOMSI</v>
      </c>
      <c r="T85" s="221">
        <f>'200600317_ET'!E1</f>
        <v>42369</v>
      </c>
      <c r="V85" s="57">
        <f>'200600317_ET'!A57</f>
        <v>0</v>
      </c>
      <c r="AZ85" s="570"/>
    </row>
    <row r="86" spans="1:52" s="56" customFormat="1" ht="33.75" customHeight="1">
      <c r="A86" s="2389"/>
      <c r="B86" s="53"/>
      <c r="C86" s="218" t="s">
        <v>17</v>
      </c>
      <c r="D86" s="58">
        <f>SUM(D4:D85)</f>
        <v>398807967.5400579</v>
      </c>
      <c r="E86" s="58">
        <f t="shared" ref="E86:P86" si="0">SUM(E4:E85)</f>
        <v>90506337.544205531</v>
      </c>
      <c r="F86" s="58">
        <f t="shared" si="0"/>
        <v>65082425.638380274</v>
      </c>
      <c r="G86" s="58">
        <f t="shared" si="0"/>
        <v>59761042.010967031</v>
      </c>
      <c r="H86" s="58">
        <f t="shared" si="0"/>
        <v>11004490.687199999</v>
      </c>
      <c r="I86" s="58">
        <f t="shared" si="0"/>
        <v>10886913.964142857</v>
      </c>
      <c r="J86" s="58">
        <f t="shared" si="0"/>
        <v>1265044.8169999998</v>
      </c>
      <c r="K86" s="58">
        <f t="shared" si="0"/>
        <v>39721503.417679802</v>
      </c>
      <c r="L86" s="58">
        <f t="shared" si="0"/>
        <v>6914692.0899999999</v>
      </c>
      <c r="M86" s="58">
        <f t="shared" si="0"/>
        <v>31548443.547646761</v>
      </c>
      <c r="N86" s="58">
        <f t="shared" si="0"/>
        <v>20382197.375485461</v>
      </c>
      <c r="O86" s="58">
        <f t="shared" si="0"/>
        <v>30688773.36590131</v>
      </c>
      <c r="P86" s="58">
        <f t="shared" si="0"/>
        <v>0</v>
      </c>
      <c r="Q86" s="54"/>
      <c r="R86" s="55"/>
      <c r="T86" s="221"/>
      <c r="V86" s="57"/>
      <c r="AZ86" s="570"/>
    </row>
    <row r="87" spans="1:52" customFormat="1" ht="33.75" customHeight="1"/>
    <row r="88" spans="1:52" customFormat="1" ht="33.75" customHeight="1">
      <c r="H88">
        <f>H86/1.2</f>
        <v>9170408.9059999995</v>
      </c>
      <c r="J88">
        <f>J86/1.2</f>
        <v>1054204.0141666667</v>
      </c>
    </row>
    <row r="89" spans="1:52" customFormat="1" ht="33.75" customHeight="1">
      <c r="H89" s="2524">
        <f>H88/11000000</f>
        <v>0.83367353690909085</v>
      </c>
      <c r="J89" s="2525">
        <f>J86/H86</f>
        <v>0.11495714367512268</v>
      </c>
    </row>
    <row r="90" spans="1:52" customFormat="1" ht="33.75" customHeight="1"/>
    <row r="91" spans="1:52" customFormat="1" ht="33.75" customHeight="1"/>
    <row r="92" spans="1:52" customFormat="1" ht="33.75" customHeight="1"/>
    <row r="93" spans="1:52" customFormat="1" ht="33.75" customHeight="1"/>
    <row r="94" spans="1:52" customFormat="1" ht="33.75" customHeight="1"/>
    <row r="95" spans="1:52" customFormat="1" ht="33.75" customHeight="1"/>
    <row r="96" spans="1:52" customFormat="1" ht="33.75" customHeight="1"/>
    <row r="97" customFormat="1" ht="33.75" customHeight="1"/>
    <row r="98" customFormat="1" ht="33.75" customHeight="1"/>
    <row r="99" customFormat="1" ht="33.75" customHeight="1"/>
    <row r="100" customFormat="1" ht="33.75" customHeight="1"/>
    <row r="101" customFormat="1" ht="33.75" customHeight="1"/>
    <row r="102" customFormat="1" ht="33.75" customHeight="1"/>
    <row r="103" customFormat="1" ht="33.75" customHeight="1"/>
    <row r="104" customFormat="1" ht="33.75" customHeight="1"/>
    <row r="105" customFormat="1" ht="33.75" customHeight="1"/>
    <row r="106" customFormat="1" ht="33.75" customHeight="1"/>
    <row r="107" customFormat="1" ht="33.75" customHeight="1"/>
    <row r="108" customFormat="1" ht="33.75" customHeight="1"/>
    <row r="109" customFormat="1" ht="33.75" customHeight="1"/>
    <row r="110" customFormat="1" ht="33.75" customHeight="1"/>
    <row r="111" customFormat="1" ht="33.75" customHeight="1"/>
    <row r="112" customFormat="1" ht="33.75" customHeight="1"/>
    <row r="113" customFormat="1" ht="33.75" customHeight="1"/>
    <row r="114" customFormat="1" ht="33.75" customHeight="1"/>
    <row r="115" customFormat="1" ht="33.75" customHeight="1"/>
    <row r="116" customFormat="1" ht="33.75" customHeight="1"/>
    <row r="117" customFormat="1" ht="33.75" customHeight="1"/>
    <row r="118" customFormat="1" ht="33.75" customHeight="1"/>
    <row r="119" customFormat="1" ht="33.75" customHeight="1"/>
    <row r="120" customFormat="1" ht="33.75" customHeight="1"/>
    <row r="121" customFormat="1" ht="33.75" customHeight="1"/>
    <row r="122" customFormat="1" ht="33.75" customHeight="1"/>
    <row r="123" customFormat="1" ht="33.75" customHeight="1"/>
    <row r="124" customFormat="1" ht="33.75" customHeight="1"/>
    <row r="125" customFormat="1" ht="33.75" customHeight="1"/>
    <row r="126" customFormat="1" ht="33.75" customHeight="1"/>
    <row r="127" customFormat="1" ht="33.75" customHeight="1"/>
    <row r="128" customFormat="1" ht="33.75" customHeight="1"/>
    <row r="129" customFormat="1" ht="33.75" customHeight="1"/>
    <row r="130" customFormat="1" ht="33.75" customHeight="1"/>
    <row r="131" customFormat="1" ht="33.75" customHeight="1"/>
    <row r="132" customFormat="1" ht="33.75" customHeight="1"/>
    <row r="133" customFormat="1" ht="33.75" customHeight="1"/>
    <row r="134" customFormat="1" ht="33.75" customHeight="1"/>
    <row r="135" customFormat="1" ht="33.75" customHeight="1"/>
    <row r="136" customFormat="1" ht="33.75" customHeight="1"/>
    <row r="137" customFormat="1" ht="33.75" customHeight="1"/>
    <row r="138" customFormat="1" ht="33.75" customHeight="1"/>
    <row r="139" customFormat="1" ht="33.75" customHeight="1"/>
    <row r="140" customFormat="1" ht="33.75" customHeight="1"/>
    <row r="141" customFormat="1" ht="33.75" customHeight="1"/>
    <row r="142" customFormat="1" ht="33.75" customHeight="1"/>
    <row r="143" customFormat="1" ht="33.75" customHeight="1"/>
    <row r="144" customFormat="1" ht="33.75" customHeight="1"/>
    <row r="145" customFormat="1" ht="33.75" customHeight="1"/>
    <row r="146" customFormat="1" ht="33.75" customHeight="1"/>
    <row r="147" customFormat="1" ht="33.75" customHeight="1"/>
    <row r="148" customFormat="1" ht="33.75" customHeight="1"/>
    <row r="149" customFormat="1" ht="33.75" customHeight="1"/>
    <row r="150" customFormat="1" ht="33.75" customHeight="1"/>
    <row r="151" customFormat="1" ht="33.75" customHeight="1"/>
    <row r="152" customFormat="1" ht="33.75" customHeight="1"/>
    <row r="153" customFormat="1" ht="33.75" customHeight="1"/>
    <row r="154" customFormat="1" ht="33.75" customHeight="1"/>
    <row r="155" customFormat="1" ht="33.75" customHeight="1"/>
    <row r="156" customFormat="1" ht="33.75" customHeight="1"/>
    <row r="157" customFormat="1" ht="33.75" customHeight="1"/>
    <row r="158" customFormat="1" ht="33.75" customHeight="1"/>
    <row r="159" customFormat="1" ht="33.75" customHeight="1"/>
    <row r="160" customFormat="1" ht="33.75" customHeight="1"/>
    <row r="161" customFormat="1" ht="33.75" customHeight="1"/>
    <row r="162" customFormat="1" ht="33.75" customHeight="1"/>
    <row r="163" customFormat="1" ht="33.75" customHeight="1"/>
    <row r="164" customFormat="1" ht="33.75" customHeight="1"/>
    <row r="165" customFormat="1" ht="33.75" customHeight="1"/>
    <row r="166" customFormat="1" ht="33.75" customHeight="1"/>
    <row r="167" customFormat="1" ht="33.75" customHeight="1"/>
    <row r="168" customFormat="1" ht="33.75" customHeight="1"/>
    <row r="169" customFormat="1" ht="33.75" customHeight="1"/>
    <row r="170" customFormat="1" ht="33.75" customHeight="1"/>
    <row r="171" customFormat="1" ht="33.75" customHeight="1"/>
    <row r="172" customFormat="1" ht="33.75" customHeight="1"/>
    <row r="173" customFormat="1" ht="33.75" customHeight="1"/>
    <row r="174" customFormat="1" ht="33.75" customHeight="1"/>
    <row r="175" customFormat="1" ht="33.75" customHeight="1"/>
    <row r="176" customFormat="1" ht="33.75" customHeight="1"/>
    <row r="177" customFormat="1" ht="33.75" customHeight="1"/>
    <row r="178" customFormat="1" ht="33.75" customHeight="1"/>
    <row r="179" customFormat="1" ht="33.75" customHeight="1"/>
    <row r="180" customFormat="1" ht="33.75" customHeight="1"/>
    <row r="181" customFormat="1" ht="33.75" customHeight="1"/>
    <row r="182" customFormat="1" ht="33.75" customHeight="1"/>
    <row r="183" customFormat="1" ht="33.75" customHeight="1"/>
    <row r="184" customFormat="1" ht="33.75" customHeight="1"/>
    <row r="185" customFormat="1" ht="33.75" customHeight="1"/>
    <row r="186" customFormat="1" ht="33.75" customHeight="1"/>
    <row r="187" customFormat="1" ht="33.75" customHeight="1"/>
    <row r="188" customFormat="1" ht="33.75" customHeight="1"/>
    <row r="189" customFormat="1" ht="33.75" customHeight="1"/>
    <row r="190" customFormat="1" ht="33.75" customHeight="1"/>
    <row r="191" customFormat="1" ht="33.75" customHeight="1"/>
    <row r="192" customFormat="1" ht="33.75" customHeight="1"/>
    <row r="193" customFormat="1" ht="33.75" customHeight="1"/>
    <row r="194" customFormat="1" ht="33.75" customHeight="1"/>
    <row r="195" customFormat="1" ht="33.75" customHeight="1"/>
    <row r="196" customFormat="1" ht="33.75" customHeight="1"/>
    <row r="197" customFormat="1" ht="33.75" customHeight="1"/>
    <row r="198" customFormat="1" ht="33.75" customHeight="1"/>
    <row r="199" customFormat="1" ht="33.75" customHeight="1"/>
    <row r="200" customFormat="1" ht="33.75" customHeight="1"/>
    <row r="201" customFormat="1" ht="33.75" customHeight="1"/>
    <row r="202" customFormat="1" ht="33.75" customHeight="1"/>
    <row r="203" customFormat="1" ht="33.75" customHeight="1"/>
    <row r="204" customFormat="1" ht="33.75" customHeight="1"/>
    <row r="205" customFormat="1" ht="33.75" customHeight="1"/>
    <row r="206" customFormat="1" ht="33.75" customHeight="1"/>
    <row r="207" customFormat="1" ht="33.75" customHeight="1"/>
    <row r="208" customFormat="1" ht="33.75" customHeight="1"/>
    <row r="209" customFormat="1" ht="33.75" customHeight="1"/>
    <row r="210" customFormat="1" ht="33.75" customHeight="1"/>
    <row r="211" customFormat="1" ht="33.75" customHeight="1"/>
    <row r="212" customFormat="1" ht="33.75" customHeight="1"/>
    <row r="213" customFormat="1" ht="33.75" customHeight="1"/>
    <row r="214" customFormat="1" ht="33.75" customHeight="1"/>
    <row r="215" customFormat="1" ht="33.75" customHeight="1"/>
    <row r="216" customFormat="1" ht="33.75" customHeight="1"/>
    <row r="217" customFormat="1" ht="33.75" customHeight="1"/>
    <row r="218" customFormat="1" ht="33.75" customHeight="1"/>
    <row r="219" customFormat="1" ht="33.75" customHeight="1"/>
    <row r="220" customFormat="1" ht="33.75" customHeight="1"/>
    <row r="221" customFormat="1" ht="33.75" customHeight="1"/>
    <row r="222" customFormat="1" ht="33.75" customHeight="1"/>
    <row r="223" customFormat="1" ht="33.75" customHeight="1"/>
    <row r="224" customFormat="1" ht="33.75" customHeight="1"/>
    <row r="225" customFormat="1" ht="33.75" customHeight="1"/>
    <row r="226" customFormat="1" ht="33.75" customHeight="1"/>
    <row r="227" customFormat="1" ht="33.75" customHeight="1"/>
    <row r="228" customFormat="1" ht="33.75" customHeight="1"/>
    <row r="229" customFormat="1" ht="33.75" customHeight="1"/>
    <row r="230" customFormat="1" ht="33.75" customHeight="1"/>
    <row r="231" customFormat="1" ht="33.75" customHeight="1"/>
    <row r="232" customFormat="1" ht="33.75" customHeight="1"/>
    <row r="233" customFormat="1" ht="33.75" customHeight="1"/>
    <row r="234" customFormat="1" ht="33.75" customHeight="1"/>
    <row r="235" customFormat="1" ht="33.75" customHeight="1"/>
    <row r="236" customFormat="1" ht="33.75" customHeight="1"/>
    <row r="237" customFormat="1" ht="33.75" customHeight="1"/>
    <row r="238" customFormat="1" ht="33.75" customHeight="1"/>
    <row r="239" customFormat="1" ht="33.75" customHeight="1"/>
    <row r="240" customFormat="1" ht="33.75" customHeight="1"/>
    <row r="241" customFormat="1" ht="33.75" customHeight="1"/>
    <row r="242" customFormat="1" ht="33.75" customHeight="1"/>
    <row r="243" customFormat="1" ht="33.75" customHeight="1"/>
    <row r="244" customFormat="1" ht="33.75" customHeight="1"/>
    <row r="245" customFormat="1" ht="33.75" customHeight="1"/>
    <row r="246" customFormat="1" ht="33.75" customHeight="1"/>
    <row r="247" customFormat="1" ht="33.75" customHeight="1"/>
    <row r="248" customFormat="1" ht="33.75" customHeight="1"/>
    <row r="249" customFormat="1" ht="33.75" customHeight="1"/>
    <row r="250" customFormat="1" ht="33.75" customHeight="1"/>
    <row r="251" customFormat="1" ht="33.75" customHeight="1"/>
    <row r="252" customFormat="1" ht="33.75" customHeight="1"/>
    <row r="253" customFormat="1" ht="33.75" customHeight="1"/>
    <row r="254" customFormat="1" ht="33.75" customHeight="1"/>
    <row r="255" customFormat="1" ht="33.75" customHeight="1"/>
    <row r="256" customFormat="1" ht="33.75" customHeight="1"/>
    <row r="257" customFormat="1" ht="33.75" customHeight="1"/>
    <row r="258" customFormat="1" ht="33.75" customHeight="1"/>
    <row r="259" customFormat="1" ht="33.75" customHeight="1"/>
    <row r="260" customFormat="1" ht="33.75" customHeight="1"/>
    <row r="261" customFormat="1" ht="33.75" customHeight="1"/>
    <row r="262" customFormat="1" ht="33.75" customHeight="1"/>
    <row r="263" customFormat="1" ht="33.75" customHeight="1"/>
    <row r="264" customFormat="1" ht="33.75" customHeight="1"/>
    <row r="265" customFormat="1" ht="33.75" customHeight="1"/>
    <row r="266" customFormat="1" ht="33.75" customHeight="1"/>
    <row r="267" customFormat="1" ht="33.75" customHeight="1"/>
    <row r="268" customFormat="1" ht="33.75" customHeight="1"/>
    <row r="269" customFormat="1" ht="33.75" customHeight="1"/>
    <row r="270" customFormat="1" ht="33.75" customHeight="1"/>
    <row r="271" customFormat="1" ht="33.75" customHeight="1"/>
    <row r="272" customFormat="1" ht="33.75" customHeight="1"/>
    <row r="273" customFormat="1" ht="33.75" customHeight="1"/>
    <row r="274" customFormat="1" ht="33.75" customHeight="1"/>
    <row r="275" customFormat="1" ht="33.75" customHeight="1"/>
    <row r="276" customFormat="1" ht="33.75" customHeight="1"/>
    <row r="277" customFormat="1" ht="33.75" customHeight="1"/>
    <row r="278" customFormat="1" ht="33.75" customHeight="1"/>
    <row r="279" customFormat="1" ht="33.75" customHeight="1"/>
    <row r="280" customFormat="1" ht="33.75" customHeight="1"/>
    <row r="281" customFormat="1" ht="33.75" customHeight="1"/>
    <row r="282" customFormat="1" ht="33.75" customHeight="1"/>
    <row r="283" customFormat="1" ht="33.75" customHeight="1"/>
    <row r="284" customFormat="1" ht="33.75" customHeight="1"/>
    <row r="285" customFormat="1" ht="33.75" customHeight="1"/>
    <row r="286" customFormat="1" ht="33.75" customHeight="1"/>
    <row r="287" customFormat="1" ht="33.75" customHeight="1"/>
    <row r="288" customFormat="1" ht="33.75" customHeight="1"/>
    <row r="289" customFormat="1" ht="33.75" customHeight="1"/>
    <row r="290" customFormat="1" ht="33.75" customHeight="1"/>
    <row r="291" customFormat="1" ht="33.75" customHeight="1"/>
    <row r="292" customFormat="1" ht="33.75" customHeight="1"/>
    <row r="293" customFormat="1" ht="33.75" customHeight="1"/>
    <row r="294" customFormat="1" ht="33.75" customHeight="1"/>
    <row r="295" customFormat="1" ht="33.75" customHeight="1"/>
    <row r="296" customFormat="1" ht="33.75" customHeight="1"/>
    <row r="297" customFormat="1" ht="33.75" customHeight="1"/>
    <row r="298" customFormat="1" ht="33.75" customHeight="1"/>
    <row r="299" customFormat="1" ht="33.75" customHeight="1"/>
    <row r="300" customFormat="1" ht="33.75" customHeight="1"/>
    <row r="301" customFormat="1" ht="33.75" customHeight="1"/>
    <row r="302" customFormat="1" ht="33.75" customHeight="1"/>
    <row r="303" customFormat="1" ht="33.75" customHeight="1"/>
    <row r="304" customFormat="1" ht="33.75" customHeight="1"/>
    <row r="305" customFormat="1" ht="33.75" customHeight="1"/>
    <row r="306" customFormat="1" ht="33.75" customHeight="1"/>
    <row r="307" customFormat="1" ht="33.75" customHeight="1"/>
    <row r="308" customFormat="1" ht="33.75" customHeight="1"/>
    <row r="309" customFormat="1" ht="33.75" customHeight="1"/>
    <row r="310" customFormat="1" ht="33.75" customHeight="1"/>
    <row r="311" customFormat="1" ht="33.75" customHeight="1"/>
    <row r="312" customFormat="1" ht="33.75" customHeight="1"/>
    <row r="313" customFormat="1" ht="33.75" customHeight="1"/>
    <row r="314" customFormat="1" ht="33.75" customHeight="1"/>
    <row r="315" customFormat="1" ht="33.75" customHeight="1"/>
    <row r="316" customFormat="1" ht="33.75" customHeight="1"/>
    <row r="317" customFormat="1" ht="33.75" customHeight="1"/>
    <row r="318" customFormat="1" ht="33.75" customHeight="1"/>
    <row r="319" customFormat="1" ht="33.75" customHeight="1"/>
    <row r="320" customFormat="1" ht="33.75" customHeight="1"/>
    <row r="321" customFormat="1" ht="33.75" customHeight="1"/>
    <row r="322" customFormat="1" ht="33.75" customHeight="1"/>
    <row r="323" customFormat="1" ht="33.75" customHeight="1"/>
    <row r="324" customFormat="1" ht="33.75" customHeight="1"/>
    <row r="325" customFormat="1" ht="33.75" customHeight="1"/>
    <row r="326" customFormat="1" ht="33.75" customHeight="1"/>
    <row r="327" customFormat="1" ht="33.75" customHeight="1"/>
    <row r="328" customFormat="1" ht="33.75" customHeight="1"/>
    <row r="329" customFormat="1" ht="33.75" customHeight="1"/>
    <row r="330" customFormat="1" ht="33.75" customHeight="1"/>
    <row r="331" customFormat="1" ht="33.75" customHeight="1"/>
    <row r="332" customFormat="1" ht="33.75" customHeight="1"/>
    <row r="333" customFormat="1" ht="33.75" customHeight="1"/>
    <row r="334" customFormat="1" ht="33.75" customHeight="1"/>
    <row r="335" customFormat="1" ht="33.75" customHeight="1"/>
    <row r="336" customFormat="1" ht="33.75" customHeight="1"/>
    <row r="337" customFormat="1" ht="33.75" customHeight="1"/>
    <row r="338" customFormat="1" ht="33.75" customHeight="1"/>
    <row r="339" customFormat="1" ht="33.75" customHeight="1"/>
    <row r="340" customFormat="1" ht="33.75" customHeight="1"/>
    <row r="341" customFormat="1" ht="33.75" customHeight="1"/>
    <row r="342" customFormat="1" ht="33.75" customHeight="1"/>
    <row r="343" customFormat="1" ht="33.75" customHeight="1"/>
    <row r="344" customFormat="1" ht="33.75" customHeight="1"/>
    <row r="345" customFormat="1" ht="33.75" customHeight="1"/>
    <row r="346" customFormat="1" ht="33.75" customHeight="1"/>
    <row r="347" customFormat="1" ht="33.75" customHeight="1"/>
    <row r="348" customFormat="1" ht="33.75" customHeight="1"/>
    <row r="349" customFormat="1" ht="33.75" customHeight="1"/>
    <row r="350" customFormat="1" ht="33.75" customHeight="1"/>
    <row r="351" customFormat="1" ht="33.75" customHeight="1"/>
    <row r="352" customFormat="1" ht="33.75" customHeight="1"/>
    <row r="353" customFormat="1" ht="33.75" customHeight="1"/>
    <row r="354" customFormat="1" ht="33.75" customHeight="1"/>
    <row r="355" customFormat="1" ht="33.75" customHeight="1"/>
    <row r="356" customFormat="1" ht="33.75" customHeight="1"/>
    <row r="357" customFormat="1" ht="33.75" customHeight="1"/>
    <row r="358" customFormat="1" ht="33.75" customHeight="1"/>
    <row r="359" customFormat="1" ht="33.75" customHeight="1"/>
    <row r="360" customFormat="1" ht="33.75" customHeight="1"/>
    <row r="361" customFormat="1" ht="33.75" customHeight="1"/>
    <row r="362" customFormat="1" ht="33.75" customHeight="1"/>
    <row r="363" customFormat="1" ht="33.75" customHeight="1"/>
    <row r="364" customFormat="1" ht="33.75" customHeight="1"/>
    <row r="365" customFormat="1" ht="33.75" customHeight="1"/>
    <row r="366" customFormat="1" ht="33.75" customHeight="1"/>
    <row r="367" customFormat="1" ht="33.75" customHeight="1"/>
    <row r="368" customFormat="1" ht="33.75" customHeight="1"/>
    <row r="369" customFormat="1" ht="33.75" customHeight="1"/>
    <row r="370" customFormat="1" ht="33.75" customHeight="1"/>
    <row r="371" customFormat="1" ht="33.75" customHeight="1"/>
    <row r="372" customFormat="1" ht="33.75" customHeight="1"/>
    <row r="373" customFormat="1" ht="33.75" customHeight="1"/>
    <row r="374" customFormat="1" ht="33.75" customHeight="1"/>
    <row r="375" customFormat="1" ht="33.75" customHeight="1"/>
    <row r="376" customFormat="1" ht="33.75" customHeight="1"/>
    <row r="377" customFormat="1" ht="33.75" customHeight="1"/>
    <row r="378" customFormat="1" ht="33.75" customHeight="1"/>
    <row r="379" customFormat="1" ht="33.75" customHeight="1"/>
    <row r="380" customFormat="1" ht="33.75" customHeight="1"/>
    <row r="381" customFormat="1" ht="33.75" customHeight="1"/>
    <row r="382" customFormat="1" ht="33.75" customHeight="1"/>
    <row r="383" customFormat="1" ht="33.75" customHeight="1"/>
    <row r="384" customFormat="1" ht="33.75" customHeight="1"/>
    <row r="385" customFormat="1" ht="33.75" customHeight="1"/>
    <row r="386" customFormat="1" ht="33.75" customHeight="1"/>
    <row r="387" customFormat="1" ht="33.75" customHeight="1"/>
    <row r="388" customFormat="1" ht="33.75" customHeight="1"/>
    <row r="389" customFormat="1" ht="33.75" customHeight="1"/>
    <row r="390" customFormat="1" ht="33.75" customHeight="1"/>
    <row r="391" customFormat="1" ht="33.75" customHeight="1"/>
    <row r="392" customFormat="1" ht="33.75" customHeight="1"/>
    <row r="393" customFormat="1" ht="33.75" customHeight="1"/>
    <row r="394" customFormat="1" ht="33.75" customHeight="1"/>
    <row r="395" customFormat="1" ht="33.75" customHeight="1"/>
    <row r="396" customFormat="1" ht="33.75" customHeight="1"/>
    <row r="397" customFormat="1" ht="33.75" customHeight="1"/>
    <row r="398" customFormat="1" ht="33.75" customHeight="1"/>
    <row r="399" customFormat="1" ht="33.75" customHeight="1"/>
    <row r="400" customFormat="1" ht="33.75" customHeight="1"/>
    <row r="401" customFormat="1" ht="33.75" customHeight="1"/>
    <row r="402" customFormat="1" ht="33.75" customHeight="1"/>
    <row r="403" customFormat="1" ht="33.75" customHeight="1"/>
    <row r="404" customFormat="1" ht="33.75" customHeight="1"/>
    <row r="405" customFormat="1" ht="33.75" customHeight="1"/>
    <row r="406" customFormat="1" ht="33.75" customHeight="1"/>
    <row r="407" customFormat="1" ht="33.75" customHeight="1"/>
    <row r="408" customFormat="1" ht="33.75" customHeight="1"/>
    <row r="409" customFormat="1" ht="33.75" customHeight="1"/>
    <row r="410" customFormat="1" ht="33.75" customHeight="1"/>
    <row r="411" customFormat="1" ht="33.75" customHeight="1"/>
    <row r="412" customFormat="1" ht="33.75" customHeight="1"/>
    <row r="413" customFormat="1" ht="33.75" customHeight="1"/>
    <row r="414" customFormat="1" ht="33.75" customHeight="1"/>
    <row r="415" customFormat="1" ht="33.75" customHeight="1"/>
    <row r="416" customFormat="1" ht="33.75" customHeight="1"/>
    <row r="417" customFormat="1" ht="33.75" customHeight="1"/>
    <row r="418" customFormat="1" ht="33.75" customHeight="1"/>
    <row r="419" customFormat="1" ht="33.75" customHeight="1"/>
    <row r="420" customFormat="1" ht="33.75" customHeight="1"/>
    <row r="421" customFormat="1" ht="33.75" customHeight="1"/>
    <row r="422" customFormat="1" ht="33.75" customHeight="1"/>
    <row r="423" customFormat="1" ht="33.75" customHeight="1"/>
    <row r="424" customFormat="1" ht="33.75" customHeight="1"/>
    <row r="425" customFormat="1" ht="33.75" customHeight="1"/>
    <row r="426" customFormat="1" ht="33.75" customHeight="1"/>
    <row r="427" customFormat="1" ht="33.75" customHeight="1"/>
    <row r="428" customFormat="1" ht="33.75" customHeight="1"/>
    <row r="429" customFormat="1" ht="33.75" customHeight="1"/>
    <row r="430" customFormat="1" ht="33.75" customHeight="1"/>
    <row r="431" customFormat="1" ht="33.75" customHeight="1"/>
    <row r="432" customFormat="1" ht="33.75" customHeight="1"/>
    <row r="433" customFormat="1" ht="33.75" customHeight="1"/>
    <row r="434" customFormat="1" ht="33.75" customHeight="1"/>
    <row r="435" customFormat="1" ht="33.75" customHeight="1"/>
    <row r="436" customFormat="1" ht="33.75" customHeight="1"/>
    <row r="437" customFormat="1" ht="33.75" customHeight="1"/>
    <row r="438" customFormat="1" ht="33.75" customHeight="1"/>
    <row r="439" customFormat="1" ht="33.75" customHeight="1"/>
    <row r="440" customFormat="1" ht="33.75" customHeight="1"/>
    <row r="441" customFormat="1" ht="33.75" customHeight="1"/>
    <row r="442" customFormat="1" ht="33.75" customHeight="1"/>
    <row r="443" customFormat="1" ht="33.75" customHeight="1"/>
    <row r="444" customFormat="1" ht="33.75" customHeight="1"/>
    <row r="445" customFormat="1" ht="33.75" customHeight="1"/>
    <row r="446" customFormat="1" ht="33.75" customHeight="1"/>
    <row r="447" customFormat="1" ht="33.75" customHeight="1"/>
    <row r="448" customFormat="1" ht="33.75" customHeight="1"/>
    <row r="449" customFormat="1" ht="33.75" customHeight="1"/>
    <row r="450" customFormat="1" ht="33.75" customHeight="1"/>
    <row r="451" customFormat="1" ht="33.75" customHeight="1"/>
    <row r="452" customFormat="1" ht="33.75" customHeight="1"/>
    <row r="453" customFormat="1" ht="33.75" customHeight="1"/>
    <row r="454" customFormat="1" ht="33.75" customHeight="1"/>
    <row r="455" customFormat="1" ht="33.75" customHeight="1"/>
    <row r="456" customFormat="1" ht="33.75" customHeight="1"/>
    <row r="457" customFormat="1" ht="33.75" customHeight="1"/>
    <row r="458" customFormat="1" ht="33.75" customHeight="1"/>
    <row r="459" customFormat="1" ht="33.75" customHeight="1"/>
    <row r="460" customFormat="1" ht="33.75" customHeight="1"/>
    <row r="461" customFormat="1" ht="33.75" customHeight="1"/>
    <row r="462" customFormat="1" ht="33.75" customHeight="1"/>
    <row r="463" customFormat="1" ht="33.75" customHeight="1"/>
    <row r="464" customFormat="1" ht="33.75" customHeight="1"/>
    <row r="465" customFormat="1" ht="33.75" customHeight="1"/>
    <row r="466" customFormat="1" ht="33.75" customHeight="1"/>
    <row r="467" customFormat="1" ht="33.75" customHeight="1"/>
    <row r="468" customFormat="1" ht="33.75" customHeight="1"/>
    <row r="469" customFormat="1" ht="33.75" customHeight="1"/>
    <row r="470" customFormat="1" ht="33.75" customHeight="1"/>
    <row r="471" customFormat="1" ht="33.75" customHeight="1"/>
    <row r="472" customFormat="1" ht="33.75" customHeight="1"/>
    <row r="473" customFormat="1" ht="33.75" customHeight="1"/>
    <row r="474" customFormat="1" ht="33.75" customHeight="1"/>
    <row r="475" customFormat="1" ht="33.75" customHeight="1"/>
    <row r="476" customFormat="1" ht="33.75" customHeight="1"/>
    <row r="477" customFormat="1" ht="33.75" customHeight="1"/>
    <row r="478" customFormat="1" ht="33.75" customHeight="1"/>
    <row r="479" customFormat="1" ht="33.75" customHeight="1"/>
    <row r="480" customFormat="1" ht="33.75" customHeight="1"/>
    <row r="481" customFormat="1" ht="33.75" customHeight="1"/>
    <row r="482" customFormat="1" ht="33.75" customHeight="1"/>
    <row r="483" customFormat="1" ht="33.75" customHeight="1"/>
    <row r="484" customFormat="1" ht="33.75" customHeight="1"/>
    <row r="485" customFormat="1" ht="33.75" customHeight="1"/>
    <row r="486" customFormat="1" ht="33.75" customHeight="1"/>
    <row r="487" customFormat="1" ht="33.75" customHeight="1"/>
    <row r="488" customFormat="1" ht="33.75" customHeight="1"/>
    <row r="489" customFormat="1" ht="33.75" customHeight="1"/>
    <row r="490" customFormat="1" ht="33.75" customHeight="1"/>
    <row r="491" customFormat="1" ht="33.75" customHeight="1"/>
    <row r="492" customFormat="1" ht="33.75" customHeight="1"/>
    <row r="493" customFormat="1" ht="33.75" customHeight="1"/>
    <row r="494" customFormat="1" ht="33.75" customHeight="1"/>
    <row r="495" customFormat="1" ht="33.75" customHeight="1"/>
    <row r="496" customFormat="1" ht="33.75" customHeight="1"/>
    <row r="497" spans="1:16" customFormat="1" ht="33.75" customHeight="1"/>
    <row r="498" spans="1:16" customFormat="1" ht="33.75" customHeight="1"/>
    <row r="499" spans="1:16" customFormat="1" ht="33.75" customHeight="1"/>
    <row r="500" spans="1:16" customFormat="1" ht="33.75" customHeight="1"/>
    <row r="501" spans="1:16" customFormat="1" ht="33.75" customHeight="1">
      <c r="A501" s="2383"/>
      <c r="P501" s="1500"/>
    </row>
  </sheetData>
  <sortState ref="AZ1:AZ501">
    <sortCondition ref="AZ1"/>
  </sortState>
  <phoneticPr fontId="2" type="noConversion"/>
  <conditionalFormatting sqref="A1:XFD4 A502:XFD65537">
    <cfRule type="cellIs" dxfId="79" priority="50" stopIfTrue="1" operator="equal">
      <formula>0</formula>
    </cfRule>
  </conditionalFormatting>
  <conditionalFormatting sqref="A5:XFD86">
    <cfRule type="cellIs" dxfId="0" priority="1" stopIfTrue="1" operator="equal">
      <formula>0</formula>
    </cfRule>
  </conditionalFormatting>
  <hyperlinks>
    <hyperlink ref="A4" location="'201502000_ET'!A1" display="'201502000_ET'!A1"/>
    <hyperlink ref="A5" location="'201501292_ET'!A1" display="'201501292_ET'!A1"/>
    <hyperlink ref="A6" location="'201501266_ET'!A1" display="'201501266_ET'!A1"/>
    <hyperlink ref="A7" location="'201500563_ET'!A1" display="'201500563_ET'!A1"/>
    <hyperlink ref="A8" location="'201500445-DET'!A1" display="'201500445-DET'!A1"/>
    <hyperlink ref="A9" location="'201500468_ET'!A1" display="'201500468_ET'!A1"/>
    <hyperlink ref="A10" location="'201500266_ET'!A1" display="'201500266_ET'!A1"/>
    <hyperlink ref="A11" location="'201401401 _ET'!A1" display="'201401401 _ET'!A1"/>
    <hyperlink ref="A12" location="'201401400_ET'!A1" display="'201401400_ET'!A1"/>
    <hyperlink ref="A13" location="'201401290_ET'!A1" display="'201401290_ET'!A1"/>
    <hyperlink ref="A14" location="'201401289_ET'!A1" display="'201401289_ET'!A1"/>
    <hyperlink ref="A15" location="'201401183_ET'!A1" display="'201401183_ET'!A1"/>
    <hyperlink ref="A16" location="'201401079_ET'!A1" display="'201401079_ET'!A1"/>
    <hyperlink ref="A17" location="'201400966_ET'!A1" display="'201400966_ET'!A1"/>
    <hyperlink ref="A18" location="'201400652_ET'!A1" display="'201400652_ET'!A1"/>
    <hyperlink ref="A19" location="'201400520_ET'!A1" display="'201400520_ET'!A1"/>
    <hyperlink ref="A20" location="'201400400_ET'!A1" display="'201400400_ET'!A1"/>
    <hyperlink ref="A21" location="'201400285_ET'!A1" display="'201400285_ET'!A1"/>
    <hyperlink ref="A22" location="'201400270-ET'!A1" display="'201400270-ET'!A1"/>
    <hyperlink ref="A23" location="'201400269-ET'!A1" display="'201400269-ET'!A1"/>
    <hyperlink ref="A24" location="'201400193_ET'!A1" display="'201400193_ET'!A1"/>
    <hyperlink ref="A25" location="'201400181_ET'!A1" display="'201400181_ET'!A1"/>
    <hyperlink ref="A26" location="'201400116_ET'!A1" display="'201400116_ET'!A1"/>
    <hyperlink ref="A27" location="'201400097_ET'!A1" display="'201400097_ET'!A1"/>
    <hyperlink ref="A28" location="'201400015_ET'!A1" display="'201400015_ET'!A1"/>
    <hyperlink ref="A29" location="'201400007_ET'!A1" display="'201400007_ET'!A1"/>
    <hyperlink ref="A30" location="'201301585_ET'!A1" display="'201301585_ET'!A1"/>
    <hyperlink ref="A31" location="'201301466_ET'!A1" display="'201301466_ET'!A1"/>
    <hyperlink ref="A32" location="'201301121_ET'!A1" display="'201301121_ET'!A1"/>
    <hyperlink ref="A33" location="'201301087_ET'!A1" display="'201301087_ET'!A1"/>
    <hyperlink ref="A34" location="'201300767_ET'!A1" display="'201300767_ET'!A1"/>
    <hyperlink ref="A35" location="'201200568_ET'!A1" display="'201200568_ET'!A1"/>
    <hyperlink ref="A36" location="'201200552_ET'!A1" display="'201200552_ET'!A1"/>
    <hyperlink ref="A37" location="'201200551_ET'!A1" display="'201200551_ET'!A1"/>
    <hyperlink ref="A38" location="'201200365_ET'!A1" display="'201200365_ET'!A1"/>
    <hyperlink ref="A39" location="'201200364_ET'!A1" display="'201200364_ET'!A1"/>
    <hyperlink ref="A40" location="'201200077_ET'!A1" display="'201200077_ET'!A1"/>
    <hyperlink ref="A41" location="'201101296_ET'!A1" display="'201101296_ET'!A1"/>
    <hyperlink ref="A42" location="'201101061_ET'!A1" display="'201101061_ET'!A1"/>
    <hyperlink ref="A43" location="'201100884_ET '!A1" display="'201100884_ET '!A1"/>
    <hyperlink ref="A44" location="'201100883_ET'!A1" display="'201100883_ET'!A1"/>
    <hyperlink ref="A45" location="'201100882_ET'!A1" display="'201100882_ET'!A1"/>
    <hyperlink ref="A46" location="'201100790_ET'!A1" display="'201100790_ET'!A1"/>
    <hyperlink ref="A47" location="'201100789_ET'!A1" display="'201100789_ET'!A1"/>
    <hyperlink ref="A48" location="'201100788_ET'!A1" display="'201100788_ET'!A1"/>
    <hyperlink ref="A49" location="'201100787_ET'!A1" display="'201100787_ET'!A1"/>
    <hyperlink ref="A50" location="'201100722_ET'!A1" display="'201100722_ET'!A1"/>
    <hyperlink ref="A51" location="'201100650_ET '!A1" display="'201100650_ET '!A1"/>
    <hyperlink ref="A52" location="'201100576_ET'!A1" display="'201100576_ET'!A1"/>
    <hyperlink ref="A53" location="'201100504_ET'!A1" display="'201100504_ET'!A1"/>
    <hyperlink ref="A54" location="'201100484_ET'!A1" display="'201100484_ET'!A1"/>
    <hyperlink ref="A55" location="'201100483_ET'!A1" display="'201100483_ET'!A1"/>
    <hyperlink ref="A56" location="'201100482_ET '!A1" display="'201100482_ET '!A1"/>
    <hyperlink ref="A57" location="'201100435_ET'!A1" display="'201100435_ET'!A1"/>
    <hyperlink ref="A58" location="'201100350_ET'!A1" display="'201100350_ET'!A1"/>
    <hyperlink ref="A59" location="'201100187_ET'!A1" display="'201100187_ET'!A1"/>
    <hyperlink ref="A60" location="'201001080_ET'!A1" display="'201001080_ET'!A1"/>
    <hyperlink ref="A61" location="'201001028_ET'!A1" display="'201001028_ET'!A1"/>
    <hyperlink ref="A62" location="'201000973_ET'!A1" display="'201000973_ET'!A1"/>
    <hyperlink ref="A63" location="'201000951_ET'!A1" display="'201000951_ET'!A1"/>
    <hyperlink ref="A64" location="'201000949_ET'!A1" display="'201000949_ET'!A1"/>
    <hyperlink ref="A65" location="'201000941_ET'!A1" display="'201000941_ET'!A1"/>
    <hyperlink ref="A66" location="'201000890_ET'!A1" display="'201000890_ET'!A1"/>
    <hyperlink ref="A67" location="'201000825_ET'!A1" display="'201000825_ET'!A1"/>
    <hyperlink ref="A68" location="'201000800_ET'!A1" display="'201000800_ET'!A1"/>
    <hyperlink ref="A69" location="'201000727_ET'!A1" display="'201000727_ET'!A1"/>
    <hyperlink ref="A70" location="'201000713_ET'!A1" display="'201000713_ET'!A1"/>
    <hyperlink ref="A71" location="'201000397_ET'!A1" display="'201000397_ET'!A1"/>
    <hyperlink ref="A72" location="'201000101_ET'!A1" display="'201000101_ET'!A1"/>
    <hyperlink ref="A73" location="'201000072_ET'!A1" display="'201000072_ET'!A1"/>
    <hyperlink ref="A74" location="'201000055_ET'!A1" display="'201000055_ET'!A1"/>
    <hyperlink ref="A75" location="'200900570_ET'!A1" display="'200900570_ET'!A1"/>
    <hyperlink ref="A76" location="'200900304_ET'!A1" display="'200900304_ET'!A1"/>
    <hyperlink ref="A77" location="'200900225_ET'!A1" display="'200900225_ET'!A1"/>
    <hyperlink ref="A78" location="'200900179_ET'!A1" display="'200900179_ET'!A1"/>
    <hyperlink ref="A79" location="'200900140_ET'!A1" display="'200900140_ET'!A1"/>
    <hyperlink ref="A80" location="'200900048-ET'!A1" display="'200900048-ET'!A1"/>
    <hyperlink ref="A81" location="'200900027_ET'!A1" display="'200900027_ET'!A1"/>
    <hyperlink ref="A82" location="'200800724_ET'!A1" display="'200800724_ET'!A1"/>
    <hyperlink ref="A83" location="'200800500_ET'!A1" display="'200800500_ET'!A1"/>
    <hyperlink ref="A84" location="'200800365_ET'!A1" display="'200800365_ET'!A1"/>
    <hyperlink ref="A85" location="'200600317_ET'!A1" display="'200600317_ET'!A1"/>
  </hyperlinks>
  <printOptions horizontalCentered="1" verticalCentered="1"/>
  <pageMargins left="0.39370078740157483" right="0.39370078740157483" top="0.39370078740157483" bottom="0.39370078740157483" header="0" footer="0"/>
  <pageSetup paperSize="8" scale="3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2706" r:id="rId4" name="CommandButton2">
          <controlPr defaultSize="0" autoLine="0" r:id="rId5">
            <anchor moveWithCells="1">
              <from>
                <xdr:col>0</xdr:col>
                <xdr:colOff>0</xdr:colOff>
                <xdr:row>0</xdr:row>
                <xdr:rowOff>66675</xdr:rowOff>
              </from>
              <to>
                <xdr:col>1</xdr:col>
                <xdr:colOff>171450</xdr:colOff>
                <xdr:row>0</xdr:row>
                <xdr:rowOff>476250</xdr:rowOff>
              </to>
            </anchor>
          </controlPr>
        </control>
      </mc:Choice>
      <mc:Fallback>
        <control shapeId="72706" r:id="rId4" name="CommandButton2"/>
      </mc:Fallback>
    </mc:AlternateContent>
    <mc:AlternateContent xmlns:mc="http://schemas.openxmlformats.org/markup-compatibility/2006">
      <mc:Choice Requires="x14">
        <control shapeId="72705" r:id="rId6" name="CommandButton1">
          <controlPr defaultSize="0" autoLine="0" r:id="rId7">
            <anchor moveWithCells="1">
              <from>
                <xdr:col>0</xdr:col>
                <xdr:colOff>0</xdr:colOff>
                <xdr:row>0</xdr:row>
                <xdr:rowOff>504825</xdr:rowOff>
              </from>
              <to>
                <xdr:col>1</xdr:col>
                <xdr:colOff>171450</xdr:colOff>
                <xdr:row>1</xdr:row>
                <xdr:rowOff>352425</xdr:rowOff>
              </to>
            </anchor>
          </controlPr>
        </control>
      </mc:Choice>
      <mc:Fallback>
        <control shapeId="7270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3">
    <tabColor theme="0" tint="-4.9989318521683403E-2"/>
    <pageSetUpPr fitToPage="1"/>
  </sheetPr>
  <dimension ref="A1:CC61"/>
  <sheetViews>
    <sheetView showGridLines="0" showZeros="0" view="pageBreakPreview" zoomScaleNormal="100" workbookViewId="0">
      <selection activeCell="B3" sqref="B3"/>
    </sheetView>
  </sheetViews>
  <sheetFormatPr baseColWidth="10" defaultRowHeight="12.75"/>
  <cols>
    <col min="1" max="1" width="10.25" style="67" customWidth="1"/>
    <col min="2" max="2" width="33.5" style="67" customWidth="1"/>
    <col min="3" max="3" width="10.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256" width="11" style="384"/>
    <col min="257" max="257" width="10.25" style="384" customWidth="1"/>
    <col min="258" max="258" width="33.5" style="384" customWidth="1"/>
    <col min="259" max="259" width="10.5" style="384" customWidth="1"/>
    <col min="260" max="260" width="10.375" style="384" customWidth="1"/>
    <col min="261" max="261" width="2.5" style="384" bestFit="1" customWidth="1"/>
    <col min="262" max="265" width="10.25" style="384" customWidth="1"/>
    <col min="266" max="266" width="12" style="384" customWidth="1"/>
    <col min="267" max="267" width="10.25" style="384" customWidth="1"/>
    <col min="268" max="268" width="9" style="384" customWidth="1"/>
    <col min="269" max="269" width="9.75" style="384" customWidth="1"/>
    <col min="270" max="270" width="8.75" style="384" customWidth="1"/>
    <col min="271" max="271" width="6.5" style="384" customWidth="1"/>
    <col min="272" max="272" width="11" style="384"/>
    <col min="273" max="273" width="5.875" style="384" customWidth="1"/>
    <col min="274" max="275" width="11" style="384"/>
    <col min="276" max="276" width="10.875" style="384" customWidth="1"/>
    <col min="277" max="277" width="9" style="384" customWidth="1"/>
    <col min="278" max="278" width="4.875" style="384" customWidth="1"/>
    <col min="279" max="279" width="10.25" style="384" customWidth="1"/>
    <col min="280" max="284" width="10.875" style="384" customWidth="1"/>
    <col min="285" max="512" width="11" style="384"/>
    <col min="513" max="513" width="10.25" style="384" customWidth="1"/>
    <col min="514" max="514" width="33.5" style="384" customWidth="1"/>
    <col min="515" max="515" width="10.5" style="384" customWidth="1"/>
    <col min="516" max="516" width="10.375" style="384" customWidth="1"/>
    <col min="517" max="517" width="2.5" style="384" bestFit="1" customWidth="1"/>
    <col min="518" max="521" width="10.25" style="384" customWidth="1"/>
    <col min="522" max="522" width="12" style="384" customWidth="1"/>
    <col min="523" max="523" width="10.25" style="384" customWidth="1"/>
    <col min="524" max="524" width="9" style="384" customWidth="1"/>
    <col min="525" max="525" width="9.75" style="384" customWidth="1"/>
    <col min="526" max="526" width="8.75" style="384" customWidth="1"/>
    <col min="527" max="527" width="6.5" style="384" customWidth="1"/>
    <col min="528" max="528" width="11" style="384"/>
    <col min="529" max="529" width="5.875" style="384" customWidth="1"/>
    <col min="530" max="531" width="11" style="384"/>
    <col min="532" max="532" width="10.875" style="384" customWidth="1"/>
    <col min="533" max="533" width="9" style="384" customWidth="1"/>
    <col min="534" max="534" width="4.875" style="384" customWidth="1"/>
    <col min="535" max="535" width="10.25" style="384" customWidth="1"/>
    <col min="536" max="540" width="10.875" style="384" customWidth="1"/>
    <col min="541" max="768" width="11" style="384"/>
    <col min="769" max="769" width="10.25" style="384" customWidth="1"/>
    <col min="770" max="770" width="33.5" style="384" customWidth="1"/>
    <col min="771" max="771" width="10.5" style="384" customWidth="1"/>
    <col min="772" max="772" width="10.375" style="384" customWidth="1"/>
    <col min="773" max="773" width="2.5" style="384" bestFit="1" customWidth="1"/>
    <col min="774" max="777" width="10.25" style="384" customWidth="1"/>
    <col min="778" max="778" width="12" style="384" customWidth="1"/>
    <col min="779" max="779" width="10.25" style="384" customWidth="1"/>
    <col min="780" max="780" width="9" style="384" customWidth="1"/>
    <col min="781" max="781" width="9.75" style="384" customWidth="1"/>
    <col min="782" max="782" width="8.75" style="384" customWidth="1"/>
    <col min="783" max="783" width="6.5" style="384" customWidth="1"/>
    <col min="784" max="784" width="11" style="384"/>
    <col min="785" max="785" width="5.875" style="384" customWidth="1"/>
    <col min="786" max="787" width="11" style="384"/>
    <col min="788" max="788" width="10.875" style="384" customWidth="1"/>
    <col min="789" max="789" width="9" style="384" customWidth="1"/>
    <col min="790" max="790" width="4.875" style="384" customWidth="1"/>
    <col min="791" max="791" width="10.25" style="384" customWidth="1"/>
    <col min="792" max="796" width="10.875" style="384" customWidth="1"/>
    <col min="797" max="1024" width="11" style="384"/>
    <col min="1025" max="1025" width="10.25" style="384" customWidth="1"/>
    <col min="1026" max="1026" width="33.5" style="384" customWidth="1"/>
    <col min="1027" max="1027" width="10.5" style="384" customWidth="1"/>
    <col min="1028" max="1028" width="10.375" style="384" customWidth="1"/>
    <col min="1029" max="1029" width="2.5" style="384" bestFit="1" customWidth="1"/>
    <col min="1030" max="1033" width="10.25" style="384" customWidth="1"/>
    <col min="1034" max="1034" width="12" style="384" customWidth="1"/>
    <col min="1035" max="1035" width="10.25" style="384" customWidth="1"/>
    <col min="1036" max="1036" width="9" style="384" customWidth="1"/>
    <col min="1037" max="1037" width="9.75" style="384" customWidth="1"/>
    <col min="1038" max="1038" width="8.75" style="384" customWidth="1"/>
    <col min="1039" max="1039" width="6.5" style="384" customWidth="1"/>
    <col min="1040" max="1040" width="11" style="384"/>
    <col min="1041" max="1041" width="5.875" style="384" customWidth="1"/>
    <col min="1042" max="1043" width="11" style="384"/>
    <col min="1044" max="1044" width="10.875" style="384" customWidth="1"/>
    <col min="1045" max="1045" width="9" style="384" customWidth="1"/>
    <col min="1046" max="1046" width="4.875" style="384" customWidth="1"/>
    <col min="1047" max="1047" width="10.25" style="384" customWidth="1"/>
    <col min="1048" max="1052" width="10.875" style="384" customWidth="1"/>
    <col min="1053" max="1280" width="11" style="384"/>
    <col min="1281" max="1281" width="10.25" style="384" customWidth="1"/>
    <col min="1282" max="1282" width="33.5" style="384" customWidth="1"/>
    <col min="1283" max="1283" width="10.5" style="384" customWidth="1"/>
    <col min="1284" max="1284" width="10.375" style="384" customWidth="1"/>
    <col min="1285" max="1285" width="2.5" style="384" bestFit="1" customWidth="1"/>
    <col min="1286" max="1289" width="10.25" style="384" customWidth="1"/>
    <col min="1290" max="1290" width="12" style="384" customWidth="1"/>
    <col min="1291" max="1291" width="10.25" style="384" customWidth="1"/>
    <col min="1292" max="1292" width="9" style="384" customWidth="1"/>
    <col min="1293" max="1293" width="9.75" style="384" customWidth="1"/>
    <col min="1294" max="1294" width="8.75" style="384" customWidth="1"/>
    <col min="1295" max="1295" width="6.5" style="384" customWidth="1"/>
    <col min="1296" max="1296" width="11" style="384"/>
    <col min="1297" max="1297" width="5.875" style="384" customWidth="1"/>
    <col min="1298" max="1299" width="11" style="384"/>
    <col min="1300" max="1300" width="10.875" style="384" customWidth="1"/>
    <col min="1301" max="1301" width="9" style="384" customWidth="1"/>
    <col min="1302" max="1302" width="4.875" style="384" customWidth="1"/>
    <col min="1303" max="1303" width="10.25" style="384" customWidth="1"/>
    <col min="1304" max="1308" width="10.875" style="384" customWidth="1"/>
    <col min="1309" max="1536" width="11" style="384"/>
    <col min="1537" max="1537" width="10.25" style="384" customWidth="1"/>
    <col min="1538" max="1538" width="33.5" style="384" customWidth="1"/>
    <col min="1539" max="1539" width="10.5" style="384" customWidth="1"/>
    <col min="1540" max="1540" width="10.375" style="384" customWidth="1"/>
    <col min="1541" max="1541" width="2.5" style="384" bestFit="1" customWidth="1"/>
    <col min="1542" max="1545" width="10.25" style="384" customWidth="1"/>
    <col min="1546" max="1546" width="12" style="384" customWidth="1"/>
    <col min="1547" max="1547" width="10.25" style="384" customWidth="1"/>
    <col min="1548" max="1548" width="9" style="384" customWidth="1"/>
    <col min="1549" max="1549" width="9.75" style="384" customWidth="1"/>
    <col min="1550" max="1550" width="8.75" style="384" customWidth="1"/>
    <col min="1551" max="1551" width="6.5" style="384" customWidth="1"/>
    <col min="1552" max="1552" width="11" style="384"/>
    <col min="1553" max="1553" width="5.875" style="384" customWidth="1"/>
    <col min="1554" max="1555" width="11" style="384"/>
    <col min="1556" max="1556" width="10.875" style="384" customWidth="1"/>
    <col min="1557" max="1557" width="9" style="384" customWidth="1"/>
    <col min="1558" max="1558" width="4.875" style="384" customWidth="1"/>
    <col min="1559" max="1559" width="10.25" style="384" customWidth="1"/>
    <col min="1560" max="1564" width="10.875" style="384" customWidth="1"/>
    <col min="1565" max="1792" width="11" style="384"/>
    <col min="1793" max="1793" width="10.25" style="384" customWidth="1"/>
    <col min="1794" max="1794" width="33.5" style="384" customWidth="1"/>
    <col min="1795" max="1795" width="10.5" style="384" customWidth="1"/>
    <col min="1796" max="1796" width="10.375" style="384" customWidth="1"/>
    <col min="1797" max="1797" width="2.5" style="384" bestFit="1" customWidth="1"/>
    <col min="1798" max="1801" width="10.25" style="384" customWidth="1"/>
    <col min="1802" max="1802" width="12" style="384" customWidth="1"/>
    <col min="1803" max="1803" width="10.25" style="384" customWidth="1"/>
    <col min="1804" max="1804" width="9" style="384" customWidth="1"/>
    <col min="1805" max="1805" width="9.75" style="384" customWidth="1"/>
    <col min="1806" max="1806" width="8.75" style="384" customWidth="1"/>
    <col min="1807" max="1807" width="6.5" style="384" customWidth="1"/>
    <col min="1808" max="1808" width="11" style="384"/>
    <col min="1809" max="1809" width="5.875" style="384" customWidth="1"/>
    <col min="1810" max="1811" width="11" style="384"/>
    <col min="1812" max="1812" width="10.875" style="384" customWidth="1"/>
    <col min="1813" max="1813" width="9" style="384" customWidth="1"/>
    <col min="1814" max="1814" width="4.875" style="384" customWidth="1"/>
    <col min="1815" max="1815" width="10.25" style="384" customWidth="1"/>
    <col min="1816" max="1820" width="10.875" style="384" customWidth="1"/>
    <col min="1821" max="2048" width="11" style="384"/>
    <col min="2049" max="2049" width="10.25" style="384" customWidth="1"/>
    <col min="2050" max="2050" width="33.5" style="384" customWidth="1"/>
    <col min="2051" max="2051" width="10.5" style="384" customWidth="1"/>
    <col min="2052" max="2052" width="10.375" style="384" customWidth="1"/>
    <col min="2053" max="2053" width="2.5" style="384" bestFit="1" customWidth="1"/>
    <col min="2054" max="2057" width="10.25" style="384" customWidth="1"/>
    <col min="2058" max="2058" width="12" style="384" customWidth="1"/>
    <col min="2059" max="2059" width="10.25" style="384" customWidth="1"/>
    <col min="2060" max="2060" width="9" style="384" customWidth="1"/>
    <col min="2061" max="2061" width="9.75" style="384" customWidth="1"/>
    <col min="2062" max="2062" width="8.75" style="384" customWidth="1"/>
    <col min="2063" max="2063" width="6.5" style="384" customWidth="1"/>
    <col min="2064" max="2064" width="11" style="384"/>
    <col min="2065" max="2065" width="5.875" style="384" customWidth="1"/>
    <col min="2066" max="2067" width="11" style="384"/>
    <col min="2068" max="2068" width="10.875" style="384" customWidth="1"/>
    <col min="2069" max="2069" width="9" style="384" customWidth="1"/>
    <col min="2070" max="2070" width="4.875" style="384" customWidth="1"/>
    <col min="2071" max="2071" width="10.25" style="384" customWidth="1"/>
    <col min="2072" max="2076" width="10.875" style="384" customWidth="1"/>
    <col min="2077" max="2304" width="11" style="384"/>
    <col min="2305" max="2305" width="10.25" style="384" customWidth="1"/>
    <col min="2306" max="2306" width="33.5" style="384" customWidth="1"/>
    <col min="2307" max="2307" width="10.5" style="384" customWidth="1"/>
    <col min="2308" max="2308" width="10.375" style="384" customWidth="1"/>
    <col min="2309" max="2309" width="2.5" style="384" bestFit="1" customWidth="1"/>
    <col min="2310" max="2313" width="10.25" style="384" customWidth="1"/>
    <col min="2314" max="2314" width="12" style="384" customWidth="1"/>
    <col min="2315" max="2315" width="10.25" style="384" customWidth="1"/>
    <col min="2316" max="2316" width="9" style="384" customWidth="1"/>
    <col min="2317" max="2317" width="9.75" style="384" customWidth="1"/>
    <col min="2318" max="2318" width="8.75" style="384" customWidth="1"/>
    <col min="2319" max="2319" width="6.5" style="384" customWidth="1"/>
    <col min="2320" max="2320" width="11" style="384"/>
    <col min="2321" max="2321" width="5.875" style="384" customWidth="1"/>
    <col min="2322" max="2323" width="11" style="384"/>
    <col min="2324" max="2324" width="10.875" style="384" customWidth="1"/>
    <col min="2325" max="2325" width="9" style="384" customWidth="1"/>
    <col min="2326" max="2326" width="4.875" style="384" customWidth="1"/>
    <col min="2327" max="2327" width="10.25" style="384" customWidth="1"/>
    <col min="2328" max="2332" width="10.875" style="384" customWidth="1"/>
    <col min="2333" max="2560" width="11" style="384"/>
    <col min="2561" max="2561" width="10.25" style="384" customWidth="1"/>
    <col min="2562" max="2562" width="33.5" style="384" customWidth="1"/>
    <col min="2563" max="2563" width="10.5" style="384" customWidth="1"/>
    <col min="2564" max="2564" width="10.375" style="384" customWidth="1"/>
    <col min="2565" max="2565" width="2.5" style="384" bestFit="1" customWidth="1"/>
    <col min="2566" max="2569" width="10.25" style="384" customWidth="1"/>
    <col min="2570" max="2570" width="12" style="384" customWidth="1"/>
    <col min="2571" max="2571" width="10.25" style="384" customWidth="1"/>
    <col min="2572" max="2572" width="9" style="384" customWidth="1"/>
    <col min="2573" max="2573" width="9.75" style="384" customWidth="1"/>
    <col min="2574" max="2574" width="8.75" style="384" customWidth="1"/>
    <col min="2575" max="2575" width="6.5" style="384" customWidth="1"/>
    <col min="2576" max="2576" width="11" style="384"/>
    <col min="2577" max="2577" width="5.875" style="384" customWidth="1"/>
    <col min="2578" max="2579" width="11" style="384"/>
    <col min="2580" max="2580" width="10.875" style="384" customWidth="1"/>
    <col min="2581" max="2581" width="9" style="384" customWidth="1"/>
    <col min="2582" max="2582" width="4.875" style="384" customWidth="1"/>
    <col min="2583" max="2583" width="10.25" style="384" customWidth="1"/>
    <col min="2584" max="2588" width="10.875" style="384" customWidth="1"/>
    <col min="2589" max="2816" width="11" style="384"/>
    <col min="2817" max="2817" width="10.25" style="384" customWidth="1"/>
    <col min="2818" max="2818" width="33.5" style="384" customWidth="1"/>
    <col min="2819" max="2819" width="10.5" style="384" customWidth="1"/>
    <col min="2820" max="2820" width="10.375" style="384" customWidth="1"/>
    <col min="2821" max="2821" width="2.5" style="384" bestFit="1" customWidth="1"/>
    <col min="2822" max="2825" width="10.25" style="384" customWidth="1"/>
    <col min="2826" max="2826" width="12" style="384" customWidth="1"/>
    <col min="2827" max="2827" width="10.25" style="384" customWidth="1"/>
    <col min="2828" max="2828" width="9" style="384" customWidth="1"/>
    <col min="2829" max="2829" width="9.75" style="384" customWidth="1"/>
    <col min="2830" max="2830" width="8.75" style="384" customWidth="1"/>
    <col min="2831" max="2831" width="6.5" style="384" customWidth="1"/>
    <col min="2832" max="2832" width="11" style="384"/>
    <col min="2833" max="2833" width="5.875" style="384" customWidth="1"/>
    <col min="2834" max="2835" width="11" style="384"/>
    <col min="2836" max="2836" width="10.875" style="384" customWidth="1"/>
    <col min="2837" max="2837" width="9" style="384" customWidth="1"/>
    <col min="2838" max="2838" width="4.875" style="384" customWidth="1"/>
    <col min="2839" max="2839" width="10.25" style="384" customWidth="1"/>
    <col min="2840" max="2844" width="10.875" style="384" customWidth="1"/>
    <col min="2845" max="3072" width="11" style="384"/>
    <col min="3073" max="3073" width="10.25" style="384" customWidth="1"/>
    <col min="3074" max="3074" width="33.5" style="384" customWidth="1"/>
    <col min="3075" max="3075" width="10.5" style="384" customWidth="1"/>
    <col min="3076" max="3076" width="10.375" style="384" customWidth="1"/>
    <col min="3077" max="3077" width="2.5" style="384" bestFit="1" customWidth="1"/>
    <col min="3078" max="3081" width="10.25" style="384" customWidth="1"/>
    <col min="3082" max="3082" width="12" style="384" customWidth="1"/>
    <col min="3083" max="3083" width="10.25" style="384" customWidth="1"/>
    <col min="3084" max="3084" width="9" style="384" customWidth="1"/>
    <col min="3085" max="3085" width="9.75" style="384" customWidth="1"/>
    <col min="3086" max="3086" width="8.75" style="384" customWidth="1"/>
    <col min="3087" max="3087" width="6.5" style="384" customWidth="1"/>
    <col min="3088" max="3088" width="11" style="384"/>
    <col min="3089" max="3089" width="5.875" style="384" customWidth="1"/>
    <col min="3090" max="3091" width="11" style="384"/>
    <col min="3092" max="3092" width="10.875" style="384" customWidth="1"/>
    <col min="3093" max="3093" width="9" style="384" customWidth="1"/>
    <col min="3094" max="3094" width="4.875" style="384" customWidth="1"/>
    <col min="3095" max="3095" width="10.25" style="384" customWidth="1"/>
    <col min="3096" max="3100" width="10.875" style="384" customWidth="1"/>
    <col min="3101" max="3328" width="11" style="384"/>
    <col min="3329" max="3329" width="10.25" style="384" customWidth="1"/>
    <col min="3330" max="3330" width="33.5" style="384" customWidth="1"/>
    <col min="3331" max="3331" width="10.5" style="384" customWidth="1"/>
    <col min="3332" max="3332" width="10.375" style="384" customWidth="1"/>
    <col min="3333" max="3333" width="2.5" style="384" bestFit="1" customWidth="1"/>
    <col min="3334" max="3337" width="10.25" style="384" customWidth="1"/>
    <col min="3338" max="3338" width="12" style="384" customWidth="1"/>
    <col min="3339" max="3339" width="10.25" style="384" customWidth="1"/>
    <col min="3340" max="3340" width="9" style="384" customWidth="1"/>
    <col min="3341" max="3341" width="9.75" style="384" customWidth="1"/>
    <col min="3342" max="3342" width="8.75" style="384" customWidth="1"/>
    <col min="3343" max="3343" width="6.5" style="384" customWidth="1"/>
    <col min="3344" max="3344" width="11" style="384"/>
    <col min="3345" max="3345" width="5.875" style="384" customWidth="1"/>
    <col min="3346" max="3347" width="11" style="384"/>
    <col min="3348" max="3348" width="10.875" style="384" customWidth="1"/>
    <col min="3349" max="3349" width="9" style="384" customWidth="1"/>
    <col min="3350" max="3350" width="4.875" style="384" customWidth="1"/>
    <col min="3351" max="3351" width="10.25" style="384" customWidth="1"/>
    <col min="3352" max="3356" width="10.875" style="384" customWidth="1"/>
    <col min="3357" max="3584" width="11" style="384"/>
    <col min="3585" max="3585" width="10.25" style="384" customWidth="1"/>
    <col min="3586" max="3586" width="33.5" style="384" customWidth="1"/>
    <col min="3587" max="3587" width="10.5" style="384" customWidth="1"/>
    <col min="3588" max="3588" width="10.375" style="384" customWidth="1"/>
    <col min="3589" max="3589" width="2.5" style="384" bestFit="1" customWidth="1"/>
    <col min="3590" max="3593" width="10.25" style="384" customWidth="1"/>
    <col min="3594" max="3594" width="12" style="384" customWidth="1"/>
    <col min="3595" max="3595" width="10.25" style="384" customWidth="1"/>
    <col min="3596" max="3596" width="9" style="384" customWidth="1"/>
    <col min="3597" max="3597" width="9.75" style="384" customWidth="1"/>
    <col min="3598" max="3598" width="8.75" style="384" customWidth="1"/>
    <col min="3599" max="3599" width="6.5" style="384" customWidth="1"/>
    <col min="3600" max="3600" width="11" style="384"/>
    <col min="3601" max="3601" width="5.875" style="384" customWidth="1"/>
    <col min="3602" max="3603" width="11" style="384"/>
    <col min="3604" max="3604" width="10.875" style="384" customWidth="1"/>
    <col min="3605" max="3605" width="9" style="384" customWidth="1"/>
    <col min="3606" max="3606" width="4.875" style="384" customWidth="1"/>
    <col min="3607" max="3607" width="10.25" style="384" customWidth="1"/>
    <col min="3608" max="3612" width="10.875" style="384" customWidth="1"/>
    <col min="3613" max="3840" width="11" style="384"/>
    <col min="3841" max="3841" width="10.25" style="384" customWidth="1"/>
    <col min="3842" max="3842" width="33.5" style="384" customWidth="1"/>
    <col min="3843" max="3843" width="10.5" style="384" customWidth="1"/>
    <col min="3844" max="3844" width="10.375" style="384" customWidth="1"/>
    <col min="3845" max="3845" width="2.5" style="384" bestFit="1" customWidth="1"/>
    <col min="3846" max="3849" width="10.25" style="384" customWidth="1"/>
    <col min="3850" max="3850" width="12" style="384" customWidth="1"/>
    <col min="3851" max="3851" width="10.25" style="384" customWidth="1"/>
    <col min="3852" max="3852" width="9" style="384" customWidth="1"/>
    <col min="3853" max="3853" width="9.75" style="384" customWidth="1"/>
    <col min="3854" max="3854" width="8.75" style="384" customWidth="1"/>
    <col min="3855" max="3855" width="6.5" style="384" customWidth="1"/>
    <col min="3856" max="3856" width="11" style="384"/>
    <col min="3857" max="3857" width="5.875" style="384" customWidth="1"/>
    <col min="3858" max="3859" width="11" style="384"/>
    <col min="3860" max="3860" width="10.875" style="384" customWidth="1"/>
    <col min="3861" max="3861" width="9" style="384" customWidth="1"/>
    <col min="3862" max="3862" width="4.875" style="384" customWidth="1"/>
    <col min="3863" max="3863" width="10.25" style="384" customWidth="1"/>
    <col min="3864" max="3868" width="10.875" style="384" customWidth="1"/>
    <col min="3869" max="4096" width="11" style="384"/>
    <col min="4097" max="4097" width="10.25" style="384" customWidth="1"/>
    <col min="4098" max="4098" width="33.5" style="384" customWidth="1"/>
    <col min="4099" max="4099" width="10.5" style="384" customWidth="1"/>
    <col min="4100" max="4100" width="10.375" style="384" customWidth="1"/>
    <col min="4101" max="4101" width="2.5" style="384" bestFit="1" customWidth="1"/>
    <col min="4102" max="4105" width="10.25" style="384" customWidth="1"/>
    <col min="4106" max="4106" width="12" style="384" customWidth="1"/>
    <col min="4107" max="4107" width="10.25" style="384" customWidth="1"/>
    <col min="4108" max="4108" width="9" style="384" customWidth="1"/>
    <col min="4109" max="4109" width="9.75" style="384" customWidth="1"/>
    <col min="4110" max="4110" width="8.75" style="384" customWidth="1"/>
    <col min="4111" max="4111" width="6.5" style="384" customWidth="1"/>
    <col min="4112" max="4112" width="11" style="384"/>
    <col min="4113" max="4113" width="5.875" style="384" customWidth="1"/>
    <col min="4114" max="4115" width="11" style="384"/>
    <col min="4116" max="4116" width="10.875" style="384" customWidth="1"/>
    <col min="4117" max="4117" width="9" style="384" customWidth="1"/>
    <col min="4118" max="4118" width="4.875" style="384" customWidth="1"/>
    <col min="4119" max="4119" width="10.25" style="384" customWidth="1"/>
    <col min="4120" max="4124" width="10.875" style="384" customWidth="1"/>
    <col min="4125" max="4352" width="11" style="384"/>
    <col min="4353" max="4353" width="10.25" style="384" customWidth="1"/>
    <col min="4354" max="4354" width="33.5" style="384" customWidth="1"/>
    <col min="4355" max="4355" width="10.5" style="384" customWidth="1"/>
    <col min="4356" max="4356" width="10.375" style="384" customWidth="1"/>
    <col min="4357" max="4357" width="2.5" style="384" bestFit="1" customWidth="1"/>
    <col min="4358" max="4361" width="10.25" style="384" customWidth="1"/>
    <col min="4362" max="4362" width="12" style="384" customWidth="1"/>
    <col min="4363" max="4363" width="10.25" style="384" customWidth="1"/>
    <col min="4364" max="4364" width="9" style="384" customWidth="1"/>
    <col min="4365" max="4365" width="9.75" style="384" customWidth="1"/>
    <col min="4366" max="4366" width="8.75" style="384" customWidth="1"/>
    <col min="4367" max="4367" width="6.5" style="384" customWidth="1"/>
    <col min="4368" max="4368" width="11" style="384"/>
    <col min="4369" max="4369" width="5.875" style="384" customWidth="1"/>
    <col min="4370" max="4371" width="11" style="384"/>
    <col min="4372" max="4372" width="10.875" style="384" customWidth="1"/>
    <col min="4373" max="4373" width="9" style="384" customWidth="1"/>
    <col min="4374" max="4374" width="4.875" style="384" customWidth="1"/>
    <col min="4375" max="4375" width="10.25" style="384" customWidth="1"/>
    <col min="4376" max="4380" width="10.875" style="384" customWidth="1"/>
    <col min="4381" max="4608" width="11" style="384"/>
    <col min="4609" max="4609" width="10.25" style="384" customWidth="1"/>
    <col min="4610" max="4610" width="33.5" style="384" customWidth="1"/>
    <col min="4611" max="4611" width="10.5" style="384" customWidth="1"/>
    <col min="4612" max="4612" width="10.375" style="384" customWidth="1"/>
    <col min="4613" max="4613" width="2.5" style="384" bestFit="1" customWidth="1"/>
    <col min="4614" max="4617" width="10.25" style="384" customWidth="1"/>
    <col min="4618" max="4618" width="12" style="384" customWidth="1"/>
    <col min="4619" max="4619" width="10.25" style="384" customWidth="1"/>
    <col min="4620" max="4620" width="9" style="384" customWidth="1"/>
    <col min="4621" max="4621" width="9.75" style="384" customWidth="1"/>
    <col min="4622" max="4622" width="8.75" style="384" customWidth="1"/>
    <col min="4623" max="4623" width="6.5" style="384" customWidth="1"/>
    <col min="4624" max="4624" width="11" style="384"/>
    <col min="4625" max="4625" width="5.875" style="384" customWidth="1"/>
    <col min="4626" max="4627" width="11" style="384"/>
    <col min="4628" max="4628" width="10.875" style="384" customWidth="1"/>
    <col min="4629" max="4629" width="9" style="384" customWidth="1"/>
    <col min="4630" max="4630" width="4.875" style="384" customWidth="1"/>
    <col min="4631" max="4631" width="10.25" style="384" customWidth="1"/>
    <col min="4632" max="4636" width="10.875" style="384" customWidth="1"/>
    <col min="4637" max="4864" width="11" style="384"/>
    <col min="4865" max="4865" width="10.25" style="384" customWidth="1"/>
    <col min="4866" max="4866" width="33.5" style="384" customWidth="1"/>
    <col min="4867" max="4867" width="10.5" style="384" customWidth="1"/>
    <col min="4868" max="4868" width="10.375" style="384" customWidth="1"/>
    <col min="4869" max="4869" width="2.5" style="384" bestFit="1" customWidth="1"/>
    <col min="4870" max="4873" width="10.25" style="384" customWidth="1"/>
    <col min="4874" max="4874" width="12" style="384" customWidth="1"/>
    <col min="4875" max="4875" width="10.25" style="384" customWidth="1"/>
    <col min="4876" max="4876" width="9" style="384" customWidth="1"/>
    <col min="4877" max="4877" width="9.75" style="384" customWidth="1"/>
    <col min="4878" max="4878" width="8.75" style="384" customWidth="1"/>
    <col min="4879" max="4879" width="6.5" style="384" customWidth="1"/>
    <col min="4880" max="4880" width="11" style="384"/>
    <col min="4881" max="4881" width="5.875" style="384" customWidth="1"/>
    <col min="4882" max="4883" width="11" style="384"/>
    <col min="4884" max="4884" width="10.875" style="384" customWidth="1"/>
    <col min="4885" max="4885" width="9" style="384" customWidth="1"/>
    <col min="4886" max="4886" width="4.875" style="384" customWidth="1"/>
    <col min="4887" max="4887" width="10.25" style="384" customWidth="1"/>
    <col min="4888" max="4892" width="10.875" style="384" customWidth="1"/>
    <col min="4893" max="5120" width="11" style="384"/>
    <col min="5121" max="5121" width="10.25" style="384" customWidth="1"/>
    <col min="5122" max="5122" width="33.5" style="384" customWidth="1"/>
    <col min="5123" max="5123" width="10.5" style="384" customWidth="1"/>
    <col min="5124" max="5124" width="10.375" style="384" customWidth="1"/>
    <col min="5125" max="5125" width="2.5" style="384" bestFit="1" customWidth="1"/>
    <col min="5126" max="5129" width="10.25" style="384" customWidth="1"/>
    <col min="5130" max="5130" width="12" style="384" customWidth="1"/>
    <col min="5131" max="5131" width="10.25" style="384" customWidth="1"/>
    <col min="5132" max="5132" width="9" style="384" customWidth="1"/>
    <col min="5133" max="5133" width="9.75" style="384" customWidth="1"/>
    <col min="5134" max="5134" width="8.75" style="384" customWidth="1"/>
    <col min="5135" max="5135" width="6.5" style="384" customWidth="1"/>
    <col min="5136" max="5136" width="11" style="384"/>
    <col min="5137" max="5137" width="5.875" style="384" customWidth="1"/>
    <col min="5138" max="5139" width="11" style="384"/>
    <col min="5140" max="5140" width="10.875" style="384" customWidth="1"/>
    <col min="5141" max="5141" width="9" style="384" customWidth="1"/>
    <col min="5142" max="5142" width="4.875" style="384" customWidth="1"/>
    <col min="5143" max="5143" width="10.25" style="384" customWidth="1"/>
    <col min="5144" max="5148" width="10.875" style="384" customWidth="1"/>
    <col min="5149" max="5376" width="11" style="384"/>
    <col min="5377" max="5377" width="10.25" style="384" customWidth="1"/>
    <col min="5378" max="5378" width="33.5" style="384" customWidth="1"/>
    <col min="5379" max="5379" width="10.5" style="384" customWidth="1"/>
    <col min="5380" max="5380" width="10.375" style="384" customWidth="1"/>
    <col min="5381" max="5381" width="2.5" style="384" bestFit="1" customWidth="1"/>
    <col min="5382" max="5385" width="10.25" style="384" customWidth="1"/>
    <col min="5386" max="5386" width="12" style="384" customWidth="1"/>
    <col min="5387" max="5387" width="10.25" style="384" customWidth="1"/>
    <col min="5388" max="5388" width="9" style="384" customWidth="1"/>
    <col min="5389" max="5389" width="9.75" style="384" customWidth="1"/>
    <col min="5390" max="5390" width="8.75" style="384" customWidth="1"/>
    <col min="5391" max="5391" width="6.5" style="384" customWidth="1"/>
    <col min="5392" max="5392" width="11" style="384"/>
    <col min="5393" max="5393" width="5.875" style="384" customWidth="1"/>
    <col min="5394" max="5395" width="11" style="384"/>
    <col min="5396" max="5396" width="10.875" style="384" customWidth="1"/>
    <col min="5397" max="5397" width="9" style="384" customWidth="1"/>
    <col min="5398" max="5398" width="4.875" style="384" customWidth="1"/>
    <col min="5399" max="5399" width="10.25" style="384" customWidth="1"/>
    <col min="5400" max="5404" width="10.875" style="384" customWidth="1"/>
    <col min="5405" max="5632" width="11" style="384"/>
    <col min="5633" max="5633" width="10.25" style="384" customWidth="1"/>
    <col min="5634" max="5634" width="33.5" style="384" customWidth="1"/>
    <col min="5635" max="5635" width="10.5" style="384" customWidth="1"/>
    <col min="5636" max="5636" width="10.375" style="384" customWidth="1"/>
    <col min="5637" max="5637" width="2.5" style="384" bestFit="1" customWidth="1"/>
    <col min="5638" max="5641" width="10.25" style="384" customWidth="1"/>
    <col min="5642" max="5642" width="12" style="384" customWidth="1"/>
    <col min="5643" max="5643" width="10.25" style="384" customWidth="1"/>
    <col min="5644" max="5644" width="9" style="384" customWidth="1"/>
    <col min="5645" max="5645" width="9.75" style="384" customWidth="1"/>
    <col min="5646" max="5646" width="8.75" style="384" customWidth="1"/>
    <col min="5647" max="5647" width="6.5" style="384" customWidth="1"/>
    <col min="5648" max="5648" width="11" style="384"/>
    <col min="5649" max="5649" width="5.875" style="384" customWidth="1"/>
    <col min="5650" max="5651" width="11" style="384"/>
    <col min="5652" max="5652" width="10.875" style="384" customWidth="1"/>
    <col min="5653" max="5653" width="9" style="384" customWidth="1"/>
    <col min="5654" max="5654" width="4.875" style="384" customWidth="1"/>
    <col min="5655" max="5655" width="10.25" style="384" customWidth="1"/>
    <col min="5656" max="5660" width="10.875" style="384" customWidth="1"/>
    <col min="5661" max="5888" width="11" style="384"/>
    <col min="5889" max="5889" width="10.25" style="384" customWidth="1"/>
    <col min="5890" max="5890" width="33.5" style="384" customWidth="1"/>
    <col min="5891" max="5891" width="10.5" style="384" customWidth="1"/>
    <col min="5892" max="5892" width="10.375" style="384" customWidth="1"/>
    <col min="5893" max="5893" width="2.5" style="384" bestFit="1" customWidth="1"/>
    <col min="5894" max="5897" width="10.25" style="384" customWidth="1"/>
    <col min="5898" max="5898" width="12" style="384" customWidth="1"/>
    <col min="5899" max="5899" width="10.25" style="384" customWidth="1"/>
    <col min="5900" max="5900" width="9" style="384" customWidth="1"/>
    <col min="5901" max="5901" width="9.75" style="384" customWidth="1"/>
    <col min="5902" max="5902" width="8.75" style="384" customWidth="1"/>
    <col min="5903" max="5903" width="6.5" style="384" customWidth="1"/>
    <col min="5904" max="5904" width="11" style="384"/>
    <col min="5905" max="5905" width="5.875" style="384" customWidth="1"/>
    <col min="5906" max="5907" width="11" style="384"/>
    <col min="5908" max="5908" width="10.875" style="384" customWidth="1"/>
    <col min="5909" max="5909" width="9" style="384" customWidth="1"/>
    <col min="5910" max="5910" width="4.875" style="384" customWidth="1"/>
    <col min="5911" max="5911" width="10.25" style="384" customWidth="1"/>
    <col min="5912" max="5916" width="10.875" style="384" customWidth="1"/>
    <col min="5917" max="6144" width="11" style="384"/>
    <col min="6145" max="6145" width="10.25" style="384" customWidth="1"/>
    <col min="6146" max="6146" width="33.5" style="384" customWidth="1"/>
    <col min="6147" max="6147" width="10.5" style="384" customWidth="1"/>
    <col min="6148" max="6148" width="10.375" style="384" customWidth="1"/>
    <col min="6149" max="6149" width="2.5" style="384" bestFit="1" customWidth="1"/>
    <col min="6150" max="6153" width="10.25" style="384" customWidth="1"/>
    <col min="6154" max="6154" width="12" style="384" customWidth="1"/>
    <col min="6155" max="6155" width="10.25" style="384" customWidth="1"/>
    <col min="6156" max="6156" width="9" style="384" customWidth="1"/>
    <col min="6157" max="6157" width="9.75" style="384" customWidth="1"/>
    <col min="6158" max="6158" width="8.75" style="384" customWidth="1"/>
    <col min="6159" max="6159" width="6.5" style="384" customWidth="1"/>
    <col min="6160" max="6160" width="11" style="384"/>
    <col min="6161" max="6161" width="5.875" style="384" customWidth="1"/>
    <col min="6162" max="6163" width="11" style="384"/>
    <col min="6164" max="6164" width="10.875" style="384" customWidth="1"/>
    <col min="6165" max="6165" width="9" style="384" customWidth="1"/>
    <col min="6166" max="6166" width="4.875" style="384" customWidth="1"/>
    <col min="6167" max="6167" width="10.25" style="384" customWidth="1"/>
    <col min="6168" max="6172" width="10.875" style="384" customWidth="1"/>
    <col min="6173" max="6400" width="11" style="384"/>
    <col min="6401" max="6401" width="10.25" style="384" customWidth="1"/>
    <col min="6402" max="6402" width="33.5" style="384" customWidth="1"/>
    <col min="6403" max="6403" width="10.5" style="384" customWidth="1"/>
    <col min="6404" max="6404" width="10.375" style="384" customWidth="1"/>
    <col min="6405" max="6405" width="2.5" style="384" bestFit="1" customWidth="1"/>
    <col min="6406" max="6409" width="10.25" style="384" customWidth="1"/>
    <col min="6410" max="6410" width="12" style="384" customWidth="1"/>
    <col min="6411" max="6411" width="10.25" style="384" customWidth="1"/>
    <col min="6412" max="6412" width="9" style="384" customWidth="1"/>
    <col min="6413" max="6413" width="9.75" style="384" customWidth="1"/>
    <col min="6414" max="6414" width="8.75" style="384" customWidth="1"/>
    <col min="6415" max="6415" width="6.5" style="384" customWidth="1"/>
    <col min="6416" max="6416" width="11" style="384"/>
    <col min="6417" max="6417" width="5.875" style="384" customWidth="1"/>
    <col min="6418" max="6419" width="11" style="384"/>
    <col min="6420" max="6420" width="10.875" style="384" customWidth="1"/>
    <col min="6421" max="6421" width="9" style="384" customWidth="1"/>
    <col min="6422" max="6422" width="4.875" style="384" customWidth="1"/>
    <col min="6423" max="6423" width="10.25" style="384" customWidth="1"/>
    <col min="6424" max="6428" width="10.875" style="384" customWidth="1"/>
    <col min="6429" max="6656" width="11" style="384"/>
    <col min="6657" max="6657" width="10.25" style="384" customWidth="1"/>
    <col min="6658" max="6658" width="33.5" style="384" customWidth="1"/>
    <col min="6659" max="6659" width="10.5" style="384" customWidth="1"/>
    <col min="6660" max="6660" width="10.375" style="384" customWidth="1"/>
    <col min="6661" max="6661" width="2.5" style="384" bestFit="1" customWidth="1"/>
    <col min="6662" max="6665" width="10.25" style="384" customWidth="1"/>
    <col min="6666" max="6666" width="12" style="384" customWidth="1"/>
    <col min="6667" max="6667" width="10.25" style="384" customWidth="1"/>
    <col min="6668" max="6668" width="9" style="384" customWidth="1"/>
    <col min="6669" max="6669" width="9.75" style="384" customWidth="1"/>
    <col min="6670" max="6670" width="8.75" style="384" customWidth="1"/>
    <col min="6671" max="6671" width="6.5" style="384" customWidth="1"/>
    <col min="6672" max="6672" width="11" style="384"/>
    <col min="6673" max="6673" width="5.875" style="384" customWidth="1"/>
    <col min="6674" max="6675" width="11" style="384"/>
    <col min="6676" max="6676" width="10.875" style="384" customWidth="1"/>
    <col min="6677" max="6677" width="9" style="384" customWidth="1"/>
    <col min="6678" max="6678" width="4.875" style="384" customWidth="1"/>
    <col min="6679" max="6679" width="10.25" style="384" customWidth="1"/>
    <col min="6680" max="6684" width="10.875" style="384" customWidth="1"/>
    <col min="6685" max="6912" width="11" style="384"/>
    <col min="6913" max="6913" width="10.25" style="384" customWidth="1"/>
    <col min="6914" max="6914" width="33.5" style="384" customWidth="1"/>
    <col min="6915" max="6915" width="10.5" style="384" customWidth="1"/>
    <col min="6916" max="6916" width="10.375" style="384" customWidth="1"/>
    <col min="6917" max="6917" width="2.5" style="384" bestFit="1" customWidth="1"/>
    <col min="6918" max="6921" width="10.25" style="384" customWidth="1"/>
    <col min="6922" max="6922" width="12" style="384" customWidth="1"/>
    <col min="6923" max="6923" width="10.25" style="384" customWidth="1"/>
    <col min="6924" max="6924" width="9" style="384" customWidth="1"/>
    <col min="6925" max="6925" width="9.75" style="384" customWidth="1"/>
    <col min="6926" max="6926" width="8.75" style="384" customWidth="1"/>
    <col min="6927" max="6927" width="6.5" style="384" customWidth="1"/>
    <col min="6928" max="6928" width="11" style="384"/>
    <col min="6929" max="6929" width="5.875" style="384" customWidth="1"/>
    <col min="6930" max="6931" width="11" style="384"/>
    <col min="6932" max="6932" width="10.875" style="384" customWidth="1"/>
    <col min="6933" max="6933" width="9" style="384" customWidth="1"/>
    <col min="6934" max="6934" width="4.875" style="384" customWidth="1"/>
    <col min="6935" max="6935" width="10.25" style="384" customWidth="1"/>
    <col min="6936" max="6940" width="10.875" style="384" customWidth="1"/>
    <col min="6941" max="7168" width="11" style="384"/>
    <col min="7169" max="7169" width="10.25" style="384" customWidth="1"/>
    <col min="7170" max="7170" width="33.5" style="384" customWidth="1"/>
    <col min="7171" max="7171" width="10.5" style="384" customWidth="1"/>
    <col min="7172" max="7172" width="10.375" style="384" customWidth="1"/>
    <col min="7173" max="7173" width="2.5" style="384" bestFit="1" customWidth="1"/>
    <col min="7174" max="7177" width="10.25" style="384" customWidth="1"/>
    <col min="7178" max="7178" width="12" style="384" customWidth="1"/>
    <col min="7179" max="7179" width="10.25" style="384" customWidth="1"/>
    <col min="7180" max="7180" width="9" style="384" customWidth="1"/>
    <col min="7181" max="7181" width="9.75" style="384" customWidth="1"/>
    <col min="7182" max="7182" width="8.75" style="384" customWidth="1"/>
    <col min="7183" max="7183" width="6.5" style="384" customWidth="1"/>
    <col min="7184" max="7184" width="11" style="384"/>
    <col min="7185" max="7185" width="5.875" style="384" customWidth="1"/>
    <col min="7186" max="7187" width="11" style="384"/>
    <col min="7188" max="7188" width="10.875" style="384" customWidth="1"/>
    <col min="7189" max="7189" width="9" style="384" customWidth="1"/>
    <col min="7190" max="7190" width="4.875" style="384" customWidth="1"/>
    <col min="7191" max="7191" width="10.25" style="384" customWidth="1"/>
    <col min="7192" max="7196" width="10.875" style="384" customWidth="1"/>
    <col min="7197" max="7424" width="11" style="384"/>
    <col min="7425" max="7425" width="10.25" style="384" customWidth="1"/>
    <col min="7426" max="7426" width="33.5" style="384" customWidth="1"/>
    <col min="7427" max="7427" width="10.5" style="384" customWidth="1"/>
    <col min="7428" max="7428" width="10.375" style="384" customWidth="1"/>
    <col min="7429" max="7429" width="2.5" style="384" bestFit="1" customWidth="1"/>
    <col min="7430" max="7433" width="10.25" style="384" customWidth="1"/>
    <col min="7434" max="7434" width="12" style="384" customWidth="1"/>
    <col min="7435" max="7435" width="10.25" style="384" customWidth="1"/>
    <col min="7436" max="7436" width="9" style="384" customWidth="1"/>
    <col min="7437" max="7437" width="9.75" style="384" customWidth="1"/>
    <col min="7438" max="7438" width="8.75" style="384" customWidth="1"/>
    <col min="7439" max="7439" width="6.5" style="384" customWidth="1"/>
    <col min="7440" max="7440" width="11" style="384"/>
    <col min="7441" max="7441" width="5.875" style="384" customWidth="1"/>
    <col min="7442" max="7443" width="11" style="384"/>
    <col min="7444" max="7444" width="10.875" style="384" customWidth="1"/>
    <col min="7445" max="7445" width="9" style="384" customWidth="1"/>
    <col min="7446" max="7446" width="4.875" style="384" customWidth="1"/>
    <col min="7447" max="7447" width="10.25" style="384" customWidth="1"/>
    <col min="7448" max="7452" width="10.875" style="384" customWidth="1"/>
    <col min="7453" max="7680" width="11" style="384"/>
    <col min="7681" max="7681" width="10.25" style="384" customWidth="1"/>
    <col min="7682" max="7682" width="33.5" style="384" customWidth="1"/>
    <col min="7683" max="7683" width="10.5" style="384" customWidth="1"/>
    <col min="7684" max="7684" width="10.375" style="384" customWidth="1"/>
    <col min="7685" max="7685" width="2.5" style="384" bestFit="1" customWidth="1"/>
    <col min="7686" max="7689" width="10.25" style="384" customWidth="1"/>
    <col min="7690" max="7690" width="12" style="384" customWidth="1"/>
    <col min="7691" max="7691" width="10.25" style="384" customWidth="1"/>
    <col min="7692" max="7692" width="9" style="384" customWidth="1"/>
    <col min="7693" max="7693" width="9.75" style="384" customWidth="1"/>
    <col min="7694" max="7694" width="8.75" style="384" customWidth="1"/>
    <col min="7695" max="7695" width="6.5" style="384" customWidth="1"/>
    <col min="7696" max="7696" width="11" style="384"/>
    <col min="7697" max="7697" width="5.875" style="384" customWidth="1"/>
    <col min="7698" max="7699" width="11" style="384"/>
    <col min="7700" max="7700" width="10.875" style="384" customWidth="1"/>
    <col min="7701" max="7701" width="9" style="384" customWidth="1"/>
    <col min="7702" max="7702" width="4.875" style="384" customWidth="1"/>
    <col min="7703" max="7703" width="10.25" style="384" customWidth="1"/>
    <col min="7704" max="7708" width="10.875" style="384" customWidth="1"/>
    <col min="7709" max="7936" width="11" style="384"/>
    <col min="7937" max="7937" width="10.25" style="384" customWidth="1"/>
    <col min="7938" max="7938" width="33.5" style="384" customWidth="1"/>
    <col min="7939" max="7939" width="10.5" style="384" customWidth="1"/>
    <col min="7940" max="7940" width="10.375" style="384" customWidth="1"/>
    <col min="7941" max="7941" width="2.5" style="384" bestFit="1" customWidth="1"/>
    <col min="7942" max="7945" width="10.25" style="384" customWidth="1"/>
    <col min="7946" max="7946" width="12" style="384" customWidth="1"/>
    <col min="7947" max="7947" width="10.25" style="384" customWidth="1"/>
    <col min="7948" max="7948" width="9" style="384" customWidth="1"/>
    <col min="7949" max="7949" width="9.75" style="384" customWidth="1"/>
    <col min="7950" max="7950" width="8.75" style="384" customWidth="1"/>
    <col min="7951" max="7951" width="6.5" style="384" customWidth="1"/>
    <col min="7952" max="7952" width="11" style="384"/>
    <col min="7953" max="7953" width="5.875" style="384" customWidth="1"/>
    <col min="7954" max="7955" width="11" style="384"/>
    <col min="7956" max="7956" width="10.875" style="384" customWidth="1"/>
    <col min="7957" max="7957" width="9" style="384" customWidth="1"/>
    <col min="7958" max="7958" width="4.875" style="384" customWidth="1"/>
    <col min="7959" max="7959" width="10.25" style="384" customWidth="1"/>
    <col min="7960" max="7964" width="10.875" style="384" customWidth="1"/>
    <col min="7965" max="8192" width="11" style="384"/>
    <col min="8193" max="8193" width="10.25" style="384" customWidth="1"/>
    <col min="8194" max="8194" width="33.5" style="384" customWidth="1"/>
    <col min="8195" max="8195" width="10.5" style="384" customWidth="1"/>
    <col min="8196" max="8196" width="10.375" style="384" customWidth="1"/>
    <col min="8197" max="8197" width="2.5" style="384" bestFit="1" customWidth="1"/>
    <col min="8198" max="8201" width="10.25" style="384" customWidth="1"/>
    <col min="8202" max="8202" width="12" style="384" customWidth="1"/>
    <col min="8203" max="8203" width="10.25" style="384" customWidth="1"/>
    <col min="8204" max="8204" width="9" style="384" customWidth="1"/>
    <col min="8205" max="8205" width="9.75" style="384" customWidth="1"/>
    <col min="8206" max="8206" width="8.75" style="384" customWidth="1"/>
    <col min="8207" max="8207" width="6.5" style="384" customWidth="1"/>
    <col min="8208" max="8208" width="11" style="384"/>
    <col min="8209" max="8209" width="5.875" style="384" customWidth="1"/>
    <col min="8210" max="8211" width="11" style="384"/>
    <col min="8212" max="8212" width="10.875" style="384" customWidth="1"/>
    <col min="8213" max="8213" width="9" style="384" customWidth="1"/>
    <col min="8214" max="8214" width="4.875" style="384" customWidth="1"/>
    <col min="8215" max="8215" width="10.25" style="384" customWidth="1"/>
    <col min="8216" max="8220" width="10.875" style="384" customWidth="1"/>
    <col min="8221" max="8448" width="11" style="384"/>
    <col min="8449" max="8449" width="10.25" style="384" customWidth="1"/>
    <col min="8450" max="8450" width="33.5" style="384" customWidth="1"/>
    <col min="8451" max="8451" width="10.5" style="384" customWidth="1"/>
    <col min="8452" max="8452" width="10.375" style="384" customWidth="1"/>
    <col min="8453" max="8453" width="2.5" style="384" bestFit="1" customWidth="1"/>
    <col min="8454" max="8457" width="10.25" style="384" customWidth="1"/>
    <col min="8458" max="8458" width="12" style="384" customWidth="1"/>
    <col min="8459" max="8459" width="10.25" style="384" customWidth="1"/>
    <col min="8460" max="8460" width="9" style="384" customWidth="1"/>
    <col min="8461" max="8461" width="9.75" style="384" customWidth="1"/>
    <col min="8462" max="8462" width="8.75" style="384" customWidth="1"/>
    <col min="8463" max="8463" width="6.5" style="384" customWidth="1"/>
    <col min="8464" max="8464" width="11" style="384"/>
    <col min="8465" max="8465" width="5.875" style="384" customWidth="1"/>
    <col min="8466" max="8467" width="11" style="384"/>
    <col min="8468" max="8468" width="10.875" style="384" customWidth="1"/>
    <col min="8469" max="8469" width="9" style="384" customWidth="1"/>
    <col min="8470" max="8470" width="4.875" style="384" customWidth="1"/>
    <col min="8471" max="8471" width="10.25" style="384" customWidth="1"/>
    <col min="8472" max="8476" width="10.875" style="384" customWidth="1"/>
    <col min="8477" max="8704" width="11" style="384"/>
    <col min="8705" max="8705" width="10.25" style="384" customWidth="1"/>
    <col min="8706" max="8706" width="33.5" style="384" customWidth="1"/>
    <col min="8707" max="8707" width="10.5" style="384" customWidth="1"/>
    <col min="8708" max="8708" width="10.375" style="384" customWidth="1"/>
    <col min="8709" max="8709" width="2.5" style="384" bestFit="1" customWidth="1"/>
    <col min="8710" max="8713" width="10.25" style="384" customWidth="1"/>
    <col min="8714" max="8714" width="12" style="384" customWidth="1"/>
    <col min="8715" max="8715" width="10.25" style="384" customWidth="1"/>
    <col min="8716" max="8716" width="9" style="384" customWidth="1"/>
    <col min="8717" max="8717" width="9.75" style="384" customWidth="1"/>
    <col min="8718" max="8718" width="8.75" style="384" customWidth="1"/>
    <col min="8719" max="8719" width="6.5" style="384" customWidth="1"/>
    <col min="8720" max="8720" width="11" style="384"/>
    <col min="8721" max="8721" width="5.875" style="384" customWidth="1"/>
    <col min="8722" max="8723" width="11" style="384"/>
    <col min="8724" max="8724" width="10.875" style="384" customWidth="1"/>
    <col min="8725" max="8725" width="9" style="384" customWidth="1"/>
    <col min="8726" max="8726" width="4.875" style="384" customWidth="1"/>
    <col min="8727" max="8727" width="10.25" style="384" customWidth="1"/>
    <col min="8728" max="8732" width="10.875" style="384" customWidth="1"/>
    <col min="8733" max="8960" width="11" style="384"/>
    <col min="8961" max="8961" width="10.25" style="384" customWidth="1"/>
    <col min="8962" max="8962" width="33.5" style="384" customWidth="1"/>
    <col min="8963" max="8963" width="10.5" style="384" customWidth="1"/>
    <col min="8964" max="8964" width="10.375" style="384" customWidth="1"/>
    <col min="8965" max="8965" width="2.5" style="384" bestFit="1" customWidth="1"/>
    <col min="8966" max="8969" width="10.25" style="384" customWidth="1"/>
    <col min="8970" max="8970" width="12" style="384" customWidth="1"/>
    <col min="8971" max="8971" width="10.25" style="384" customWidth="1"/>
    <col min="8972" max="8972" width="9" style="384" customWidth="1"/>
    <col min="8973" max="8973" width="9.75" style="384" customWidth="1"/>
    <col min="8974" max="8974" width="8.75" style="384" customWidth="1"/>
    <col min="8975" max="8975" width="6.5" style="384" customWidth="1"/>
    <col min="8976" max="8976" width="11" style="384"/>
    <col min="8977" max="8977" width="5.875" style="384" customWidth="1"/>
    <col min="8978" max="8979" width="11" style="384"/>
    <col min="8980" max="8980" width="10.875" style="384" customWidth="1"/>
    <col min="8981" max="8981" width="9" style="384" customWidth="1"/>
    <col min="8982" max="8982" width="4.875" style="384" customWidth="1"/>
    <col min="8983" max="8983" width="10.25" style="384" customWidth="1"/>
    <col min="8984" max="8988" width="10.875" style="384" customWidth="1"/>
    <col min="8989" max="9216" width="11" style="384"/>
    <col min="9217" max="9217" width="10.25" style="384" customWidth="1"/>
    <col min="9218" max="9218" width="33.5" style="384" customWidth="1"/>
    <col min="9219" max="9219" width="10.5" style="384" customWidth="1"/>
    <col min="9220" max="9220" width="10.375" style="384" customWidth="1"/>
    <col min="9221" max="9221" width="2.5" style="384" bestFit="1" customWidth="1"/>
    <col min="9222" max="9225" width="10.25" style="384" customWidth="1"/>
    <col min="9226" max="9226" width="12" style="384" customWidth="1"/>
    <col min="9227" max="9227" width="10.25" style="384" customWidth="1"/>
    <col min="9228" max="9228" width="9" style="384" customWidth="1"/>
    <col min="9229" max="9229" width="9.75" style="384" customWidth="1"/>
    <col min="9230" max="9230" width="8.75" style="384" customWidth="1"/>
    <col min="9231" max="9231" width="6.5" style="384" customWidth="1"/>
    <col min="9232" max="9232" width="11" style="384"/>
    <col min="9233" max="9233" width="5.875" style="384" customWidth="1"/>
    <col min="9234" max="9235" width="11" style="384"/>
    <col min="9236" max="9236" width="10.875" style="384" customWidth="1"/>
    <col min="9237" max="9237" width="9" style="384" customWidth="1"/>
    <col min="9238" max="9238" width="4.875" style="384" customWidth="1"/>
    <col min="9239" max="9239" width="10.25" style="384" customWidth="1"/>
    <col min="9240" max="9244" width="10.875" style="384" customWidth="1"/>
    <col min="9245" max="9472" width="11" style="384"/>
    <col min="9473" max="9473" width="10.25" style="384" customWidth="1"/>
    <col min="9474" max="9474" width="33.5" style="384" customWidth="1"/>
    <col min="9475" max="9475" width="10.5" style="384" customWidth="1"/>
    <col min="9476" max="9476" width="10.375" style="384" customWidth="1"/>
    <col min="9477" max="9477" width="2.5" style="384" bestFit="1" customWidth="1"/>
    <col min="9478" max="9481" width="10.25" style="384" customWidth="1"/>
    <col min="9482" max="9482" width="12" style="384" customWidth="1"/>
    <col min="9483" max="9483" width="10.25" style="384" customWidth="1"/>
    <col min="9484" max="9484" width="9" style="384" customWidth="1"/>
    <col min="9485" max="9485" width="9.75" style="384" customWidth="1"/>
    <col min="9486" max="9486" width="8.75" style="384" customWidth="1"/>
    <col min="9487" max="9487" width="6.5" style="384" customWidth="1"/>
    <col min="9488" max="9488" width="11" style="384"/>
    <col min="9489" max="9489" width="5.875" style="384" customWidth="1"/>
    <col min="9490" max="9491" width="11" style="384"/>
    <col min="9492" max="9492" width="10.875" style="384" customWidth="1"/>
    <col min="9493" max="9493" width="9" style="384" customWidth="1"/>
    <col min="9494" max="9494" width="4.875" style="384" customWidth="1"/>
    <col min="9495" max="9495" width="10.25" style="384" customWidth="1"/>
    <col min="9496" max="9500" width="10.875" style="384" customWidth="1"/>
    <col min="9501" max="9728" width="11" style="384"/>
    <col min="9729" max="9729" width="10.25" style="384" customWidth="1"/>
    <col min="9730" max="9730" width="33.5" style="384" customWidth="1"/>
    <col min="9731" max="9731" width="10.5" style="384" customWidth="1"/>
    <col min="9732" max="9732" width="10.375" style="384" customWidth="1"/>
    <col min="9733" max="9733" width="2.5" style="384" bestFit="1" customWidth="1"/>
    <col min="9734" max="9737" width="10.25" style="384" customWidth="1"/>
    <col min="9738" max="9738" width="12" style="384" customWidth="1"/>
    <col min="9739" max="9739" width="10.25" style="384" customWidth="1"/>
    <col min="9740" max="9740" width="9" style="384" customWidth="1"/>
    <col min="9741" max="9741" width="9.75" style="384" customWidth="1"/>
    <col min="9742" max="9742" width="8.75" style="384" customWidth="1"/>
    <col min="9743" max="9743" width="6.5" style="384" customWidth="1"/>
    <col min="9744" max="9744" width="11" style="384"/>
    <col min="9745" max="9745" width="5.875" style="384" customWidth="1"/>
    <col min="9746" max="9747" width="11" style="384"/>
    <col min="9748" max="9748" width="10.875" style="384" customWidth="1"/>
    <col min="9749" max="9749" width="9" style="384" customWidth="1"/>
    <col min="9750" max="9750" width="4.875" style="384" customWidth="1"/>
    <col min="9751" max="9751" width="10.25" style="384" customWidth="1"/>
    <col min="9752" max="9756" width="10.875" style="384" customWidth="1"/>
    <col min="9757" max="9984" width="11" style="384"/>
    <col min="9985" max="9985" width="10.25" style="384" customWidth="1"/>
    <col min="9986" max="9986" width="33.5" style="384" customWidth="1"/>
    <col min="9987" max="9987" width="10.5" style="384" customWidth="1"/>
    <col min="9988" max="9988" width="10.375" style="384" customWidth="1"/>
    <col min="9989" max="9989" width="2.5" style="384" bestFit="1" customWidth="1"/>
    <col min="9990" max="9993" width="10.25" style="384" customWidth="1"/>
    <col min="9994" max="9994" width="12" style="384" customWidth="1"/>
    <col min="9995" max="9995" width="10.25" style="384" customWidth="1"/>
    <col min="9996" max="9996" width="9" style="384" customWidth="1"/>
    <col min="9997" max="9997" width="9.75" style="384" customWidth="1"/>
    <col min="9998" max="9998" width="8.75" style="384" customWidth="1"/>
    <col min="9999" max="9999" width="6.5" style="384" customWidth="1"/>
    <col min="10000" max="10000" width="11" style="384"/>
    <col min="10001" max="10001" width="5.875" style="384" customWidth="1"/>
    <col min="10002" max="10003" width="11" style="384"/>
    <col min="10004" max="10004" width="10.875" style="384" customWidth="1"/>
    <col min="10005" max="10005" width="9" style="384" customWidth="1"/>
    <col min="10006" max="10006" width="4.875" style="384" customWidth="1"/>
    <col min="10007" max="10007" width="10.25" style="384" customWidth="1"/>
    <col min="10008" max="10012" width="10.875" style="384" customWidth="1"/>
    <col min="10013" max="10240" width="11" style="384"/>
    <col min="10241" max="10241" width="10.25" style="384" customWidth="1"/>
    <col min="10242" max="10242" width="33.5" style="384" customWidth="1"/>
    <col min="10243" max="10243" width="10.5" style="384" customWidth="1"/>
    <col min="10244" max="10244" width="10.375" style="384" customWidth="1"/>
    <col min="10245" max="10245" width="2.5" style="384" bestFit="1" customWidth="1"/>
    <col min="10246" max="10249" width="10.25" style="384" customWidth="1"/>
    <col min="10250" max="10250" width="12" style="384" customWidth="1"/>
    <col min="10251" max="10251" width="10.25" style="384" customWidth="1"/>
    <col min="10252" max="10252" width="9" style="384" customWidth="1"/>
    <col min="10253" max="10253" width="9.75" style="384" customWidth="1"/>
    <col min="10254" max="10254" width="8.75" style="384" customWidth="1"/>
    <col min="10255" max="10255" width="6.5" style="384" customWidth="1"/>
    <col min="10256" max="10256" width="11" style="384"/>
    <col min="10257" max="10257" width="5.875" style="384" customWidth="1"/>
    <col min="10258" max="10259" width="11" style="384"/>
    <col min="10260" max="10260" width="10.875" style="384" customWidth="1"/>
    <col min="10261" max="10261" width="9" style="384" customWidth="1"/>
    <col min="10262" max="10262" width="4.875" style="384" customWidth="1"/>
    <col min="10263" max="10263" width="10.25" style="384" customWidth="1"/>
    <col min="10264" max="10268" width="10.875" style="384" customWidth="1"/>
    <col min="10269" max="10496" width="11" style="384"/>
    <col min="10497" max="10497" width="10.25" style="384" customWidth="1"/>
    <col min="10498" max="10498" width="33.5" style="384" customWidth="1"/>
    <col min="10499" max="10499" width="10.5" style="384" customWidth="1"/>
    <col min="10500" max="10500" width="10.375" style="384" customWidth="1"/>
    <col min="10501" max="10501" width="2.5" style="384" bestFit="1" customWidth="1"/>
    <col min="10502" max="10505" width="10.25" style="384" customWidth="1"/>
    <col min="10506" max="10506" width="12" style="384" customWidth="1"/>
    <col min="10507" max="10507" width="10.25" style="384" customWidth="1"/>
    <col min="10508" max="10508" width="9" style="384" customWidth="1"/>
    <col min="10509" max="10509" width="9.75" style="384" customWidth="1"/>
    <col min="10510" max="10510" width="8.75" style="384" customWidth="1"/>
    <col min="10511" max="10511" width="6.5" style="384" customWidth="1"/>
    <col min="10512" max="10512" width="11" style="384"/>
    <col min="10513" max="10513" width="5.875" style="384" customWidth="1"/>
    <col min="10514" max="10515" width="11" style="384"/>
    <col min="10516" max="10516" width="10.875" style="384" customWidth="1"/>
    <col min="10517" max="10517" width="9" style="384" customWidth="1"/>
    <col min="10518" max="10518" width="4.875" style="384" customWidth="1"/>
    <col min="10519" max="10519" width="10.25" style="384" customWidth="1"/>
    <col min="10520" max="10524" width="10.875" style="384" customWidth="1"/>
    <col min="10525" max="10752" width="11" style="384"/>
    <col min="10753" max="10753" width="10.25" style="384" customWidth="1"/>
    <col min="10754" max="10754" width="33.5" style="384" customWidth="1"/>
    <col min="10755" max="10755" width="10.5" style="384" customWidth="1"/>
    <col min="10756" max="10756" width="10.375" style="384" customWidth="1"/>
    <col min="10757" max="10757" width="2.5" style="384" bestFit="1" customWidth="1"/>
    <col min="10758" max="10761" width="10.25" style="384" customWidth="1"/>
    <col min="10762" max="10762" width="12" style="384" customWidth="1"/>
    <col min="10763" max="10763" width="10.25" style="384" customWidth="1"/>
    <col min="10764" max="10764" width="9" style="384" customWidth="1"/>
    <col min="10765" max="10765" width="9.75" style="384" customWidth="1"/>
    <col min="10766" max="10766" width="8.75" style="384" customWidth="1"/>
    <col min="10767" max="10767" width="6.5" style="384" customWidth="1"/>
    <col min="10768" max="10768" width="11" style="384"/>
    <col min="10769" max="10769" width="5.875" style="384" customWidth="1"/>
    <col min="10770" max="10771" width="11" style="384"/>
    <col min="10772" max="10772" width="10.875" style="384" customWidth="1"/>
    <col min="10773" max="10773" width="9" style="384" customWidth="1"/>
    <col min="10774" max="10774" width="4.875" style="384" customWidth="1"/>
    <col min="10775" max="10775" width="10.25" style="384" customWidth="1"/>
    <col min="10776" max="10780" width="10.875" style="384" customWidth="1"/>
    <col min="10781" max="11008" width="11" style="384"/>
    <col min="11009" max="11009" width="10.25" style="384" customWidth="1"/>
    <col min="11010" max="11010" width="33.5" style="384" customWidth="1"/>
    <col min="11011" max="11011" width="10.5" style="384" customWidth="1"/>
    <col min="11012" max="11012" width="10.375" style="384" customWidth="1"/>
    <col min="11013" max="11013" width="2.5" style="384" bestFit="1" customWidth="1"/>
    <col min="11014" max="11017" width="10.25" style="384" customWidth="1"/>
    <col min="11018" max="11018" width="12" style="384" customWidth="1"/>
    <col min="11019" max="11019" width="10.25" style="384" customWidth="1"/>
    <col min="11020" max="11020" width="9" style="384" customWidth="1"/>
    <col min="11021" max="11021" width="9.75" style="384" customWidth="1"/>
    <col min="11022" max="11022" width="8.75" style="384" customWidth="1"/>
    <col min="11023" max="11023" width="6.5" style="384" customWidth="1"/>
    <col min="11024" max="11024" width="11" style="384"/>
    <col min="11025" max="11025" width="5.875" style="384" customWidth="1"/>
    <col min="11026" max="11027" width="11" style="384"/>
    <col min="11028" max="11028" width="10.875" style="384" customWidth="1"/>
    <col min="11029" max="11029" width="9" style="384" customWidth="1"/>
    <col min="11030" max="11030" width="4.875" style="384" customWidth="1"/>
    <col min="11031" max="11031" width="10.25" style="384" customWidth="1"/>
    <col min="11032" max="11036" width="10.875" style="384" customWidth="1"/>
    <col min="11037" max="11264" width="11" style="384"/>
    <col min="11265" max="11265" width="10.25" style="384" customWidth="1"/>
    <col min="11266" max="11266" width="33.5" style="384" customWidth="1"/>
    <col min="11267" max="11267" width="10.5" style="384" customWidth="1"/>
    <col min="11268" max="11268" width="10.375" style="384" customWidth="1"/>
    <col min="11269" max="11269" width="2.5" style="384" bestFit="1" customWidth="1"/>
    <col min="11270" max="11273" width="10.25" style="384" customWidth="1"/>
    <col min="11274" max="11274" width="12" style="384" customWidth="1"/>
    <col min="11275" max="11275" width="10.25" style="384" customWidth="1"/>
    <col min="11276" max="11276" width="9" style="384" customWidth="1"/>
    <col min="11277" max="11277" width="9.75" style="384" customWidth="1"/>
    <col min="11278" max="11278" width="8.75" style="384" customWidth="1"/>
    <col min="11279" max="11279" width="6.5" style="384" customWidth="1"/>
    <col min="11280" max="11280" width="11" style="384"/>
    <col min="11281" max="11281" width="5.875" style="384" customWidth="1"/>
    <col min="11282" max="11283" width="11" style="384"/>
    <col min="11284" max="11284" width="10.875" style="384" customWidth="1"/>
    <col min="11285" max="11285" width="9" style="384" customWidth="1"/>
    <col min="11286" max="11286" width="4.875" style="384" customWidth="1"/>
    <col min="11287" max="11287" width="10.25" style="384" customWidth="1"/>
    <col min="11288" max="11292" width="10.875" style="384" customWidth="1"/>
    <col min="11293" max="11520" width="11" style="384"/>
    <col min="11521" max="11521" width="10.25" style="384" customWidth="1"/>
    <col min="11522" max="11522" width="33.5" style="384" customWidth="1"/>
    <col min="11523" max="11523" width="10.5" style="384" customWidth="1"/>
    <col min="11524" max="11524" width="10.375" style="384" customWidth="1"/>
    <col min="11525" max="11525" width="2.5" style="384" bestFit="1" customWidth="1"/>
    <col min="11526" max="11529" width="10.25" style="384" customWidth="1"/>
    <col min="11530" max="11530" width="12" style="384" customWidth="1"/>
    <col min="11531" max="11531" width="10.25" style="384" customWidth="1"/>
    <col min="11532" max="11532" width="9" style="384" customWidth="1"/>
    <col min="11533" max="11533" width="9.75" style="384" customWidth="1"/>
    <col min="11534" max="11534" width="8.75" style="384" customWidth="1"/>
    <col min="11535" max="11535" width="6.5" style="384" customWidth="1"/>
    <col min="11536" max="11536" width="11" style="384"/>
    <col min="11537" max="11537" width="5.875" style="384" customWidth="1"/>
    <col min="11538" max="11539" width="11" style="384"/>
    <col min="11540" max="11540" width="10.875" style="384" customWidth="1"/>
    <col min="11541" max="11541" width="9" style="384" customWidth="1"/>
    <col min="11542" max="11542" width="4.875" style="384" customWidth="1"/>
    <col min="11543" max="11543" width="10.25" style="384" customWidth="1"/>
    <col min="11544" max="11548" width="10.875" style="384" customWidth="1"/>
    <col min="11549" max="11776" width="11" style="384"/>
    <col min="11777" max="11777" width="10.25" style="384" customWidth="1"/>
    <col min="11778" max="11778" width="33.5" style="384" customWidth="1"/>
    <col min="11779" max="11779" width="10.5" style="384" customWidth="1"/>
    <col min="11780" max="11780" width="10.375" style="384" customWidth="1"/>
    <col min="11781" max="11781" width="2.5" style="384" bestFit="1" customWidth="1"/>
    <col min="11782" max="11785" width="10.25" style="384" customWidth="1"/>
    <col min="11786" max="11786" width="12" style="384" customWidth="1"/>
    <col min="11787" max="11787" width="10.25" style="384" customWidth="1"/>
    <col min="11788" max="11788" width="9" style="384" customWidth="1"/>
    <col min="11789" max="11789" width="9.75" style="384" customWidth="1"/>
    <col min="11790" max="11790" width="8.75" style="384" customWidth="1"/>
    <col min="11791" max="11791" width="6.5" style="384" customWidth="1"/>
    <col min="11792" max="11792" width="11" style="384"/>
    <col min="11793" max="11793" width="5.875" style="384" customWidth="1"/>
    <col min="11794" max="11795" width="11" style="384"/>
    <col min="11796" max="11796" width="10.875" style="384" customWidth="1"/>
    <col min="11797" max="11797" width="9" style="384" customWidth="1"/>
    <col min="11798" max="11798" width="4.875" style="384" customWidth="1"/>
    <col min="11799" max="11799" width="10.25" style="384" customWidth="1"/>
    <col min="11800" max="11804" width="10.875" style="384" customWidth="1"/>
    <col min="11805" max="12032" width="11" style="384"/>
    <col min="12033" max="12033" width="10.25" style="384" customWidth="1"/>
    <col min="12034" max="12034" width="33.5" style="384" customWidth="1"/>
    <col min="12035" max="12035" width="10.5" style="384" customWidth="1"/>
    <col min="12036" max="12036" width="10.375" style="384" customWidth="1"/>
    <col min="12037" max="12037" width="2.5" style="384" bestFit="1" customWidth="1"/>
    <col min="12038" max="12041" width="10.25" style="384" customWidth="1"/>
    <col min="12042" max="12042" width="12" style="384" customWidth="1"/>
    <col min="12043" max="12043" width="10.25" style="384" customWidth="1"/>
    <col min="12044" max="12044" width="9" style="384" customWidth="1"/>
    <col min="12045" max="12045" width="9.75" style="384" customWidth="1"/>
    <col min="12046" max="12046" width="8.75" style="384" customWidth="1"/>
    <col min="12047" max="12047" width="6.5" style="384" customWidth="1"/>
    <col min="12048" max="12048" width="11" style="384"/>
    <col min="12049" max="12049" width="5.875" style="384" customWidth="1"/>
    <col min="12050" max="12051" width="11" style="384"/>
    <col min="12052" max="12052" width="10.875" style="384" customWidth="1"/>
    <col min="12053" max="12053" width="9" style="384" customWidth="1"/>
    <col min="12054" max="12054" width="4.875" style="384" customWidth="1"/>
    <col min="12055" max="12055" width="10.25" style="384" customWidth="1"/>
    <col min="12056" max="12060" width="10.875" style="384" customWidth="1"/>
    <col min="12061" max="12288" width="11" style="384"/>
    <col min="12289" max="12289" width="10.25" style="384" customWidth="1"/>
    <col min="12290" max="12290" width="33.5" style="384" customWidth="1"/>
    <col min="12291" max="12291" width="10.5" style="384" customWidth="1"/>
    <col min="12292" max="12292" width="10.375" style="384" customWidth="1"/>
    <col min="12293" max="12293" width="2.5" style="384" bestFit="1" customWidth="1"/>
    <col min="12294" max="12297" width="10.25" style="384" customWidth="1"/>
    <col min="12298" max="12298" width="12" style="384" customWidth="1"/>
    <col min="12299" max="12299" width="10.25" style="384" customWidth="1"/>
    <col min="12300" max="12300" width="9" style="384" customWidth="1"/>
    <col min="12301" max="12301" width="9.75" style="384" customWidth="1"/>
    <col min="12302" max="12302" width="8.75" style="384" customWidth="1"/>
    <col min="12303" max="12303" width="6.5" style="384" customWidth="1"/>
    <col min="12304" max="12304" width="11" style="384"/>
    <col min="12305" max="12305" width="5.875" style="384" customWidth="1"/>
    <col min="12306" max="12307" width="11" style="384"/>
    <col min="12308" max="12308" width="10.875" style="384" customWidth="1"/>
    <col min="12309" max="12309" width="9" style="384" customWidth="1"/>
    <col min="12310" max="12310" width="4.875" style="384" customWidth="1"/>
    <col min="12311" max="12311" width="10.25" style="384" customWidth="1"/>
    <col min="12312" max="12316" width="10.875" style="384" customWidth="1"/>
    <col min="12317" max="12544" width="11" style="384"/>
    <col min="12545" max="12545" width="10.25" style="384" customWidth="1"/>
    <col min="12546" max="12546" width="33.5" style="384" customWidth="1"/>
    <col min="12547" max="12547" width="10.5" style="384" customWidth="1"/>
    <col min="12548" max="12548" width="10.375" style="384" customWidth="1"/>
    <col min="12549" max="12549" width="2.5" style="384" bestFit="1" customWidth="1"/>
    <col min="12550" max="12553" width="10.25" style="384" customWidth="1"/>
    <col min="12554" max="12554" width="12" style="384" customWidth="1"/>
    <col min="12555" max="12555" width="10.25" style="384" customWidth="1"/>
    <col min="12556" max="12556" width="9" style="384" customWidth="1"/>
    <col min="12557" max="12557" width="9.75" style="384" customWidth="1"/>
    <col min="12558" max="12558" width="8.75" style="384" customWidth="1"/>
    <col min="12559" max="12559" width="6.5" style="384" customWidth="1"/>
    <col min="12560" max="12560" width="11" style="384"/>
    <col min="12561" max="12561" width="5.875" style="384" customWidth="1"/>
    <col min="12562" max="12563" width="11" style="384"/>
    <col min="12564" max="12564" width="10.875" style="384" customWidth="1"/>
    <col min="12565" max="12565" width="9" style="384" customWidth="1"/>
    <col min="12566" max="12566" width="4.875" style="384" customWidth="1"/>
    <col min="12567" max="12567" width="10.25" style="384" customWidth="1"/>
    <col min="12568" max="12572" width="10.875" style="384" customWidth="1"/>
    <col min="12573" max="12800" width="11" style="384"/>
    <col min="12801" max="12801" width="10.25" style="384" customWidth="1"/>
    <col min="12802" max="12802" width="33.5" style="384" customWidth="1"/>
    <col min="12803" max="12803" width="10.5" style="384" customWidth="1"/>
    <col min="12804" max="12804" width="10.375" style="384" customWidth="1"/>
    <col min="12805" max="12805" width="2.5" style="384" bestFit="1" customWidth="1"/>
    <col min="12806" max="12809" width="10.25" style="384" customWidth="1"/>
    <col min="12810" max="12810" width="12" style="384" customWidth="1"/>
    <col min="12811" max="12811" width="10.25" style="384" customWidth="1"/>
    <col min="12812" max="12812" width="9" style="384" customWidth="1"/>
    <col min="12813" max="12813" width="9.75" style="384" customWidth="1"/>
    <col min="12814" max="12814" width="8.75" style="384" customWidth="1"/>
    <col min="12815" max="12815" width="6.5" style="384" customWidth="1"/>
    <col min="12816" max="12816" width="11" style="384"/>
    <col min="12817" max="12817" width="5.875" style="384" customWidth="1"/>
    <col min="12818" max="12819" width="11" style="384"/>
    <col min="12820" max="12820" width="10.875" style="384" customWidth="1"/>
    <col min="12821" max="12821" width="9" style="384" customWidth="1"/>
    <col min="12822" max="12822" width="4.875" style="384" customWidth="1"/>
    <col min="12823" max="12823" width="10.25" style="384" customWidth="1"/>
    <col min="12824" max="12828" width="10.875" style="384" customWidth="1"/>
    <col min="12829" max="13056" width="11" style="384"/>
    <col min="13057" max="13057" width="10.25" style="384" customWidth="1"/>
    <col min="13058" max="13058" width="33.5" style="384" customWidth="1"/>
    <col min="13059" max="13059" width="10.5" style="384" customWidth="1"/>
    <col min="13060" max="13060" width="10.375" style="384" customWidth="1"/>
    <col min="13061" max="13061" width="2.5" style="384" bestFit="1" customWidth="1"/>
    <col min="13062" max="13065" width="10.25" style="384" customWidth="1"/>
    <col min="13066" max="13066" width="12" style="384" customWidth="1"/>
    <col min="13067" max="13067" width="10.25" style="384" customWidth="1"/>
    <col min="13068" max="13068" width="9" style="384" customWidth="1"/>
    <col min="13069" max="13069" width="9.75" style="384" customWidth="1"/>
    <col min="13070" max="13070" width="8.75" style="384" customWidth="1"/>
    <col min="13071" max="13071" width="6.5" style="384" customWidth="1"/>
    <col min="13072" max="13072" width="11" style="384"/>
    <col min="13073" max="13073" width="5.875" style="384" customWidth="1"/>
    <col min="13074" max="13075" width="11" style="384"/>
    <col min="13076" max="13076" width="10.875" style="384" customWidth="1"/>
    <col min="13077" max="13077" width="9" style="384" customWidth="1"/>
    <col min="13078" max="13078" width="4.875" style="384" customWidth="1"/>
    <col min="13079" max="13079" width="10.25" style="384" customWidth="1"/>
    <col min="13080" max="13084" width="10.875" style="384" customWidth="1"/>
    <col min="13085" max="13312" width="11" style="384"/>
    <col min="13313" max="13313" width="10.25" style="384" customWidth="1"/>
    <col min="13314" max="13314" width="33.5" style="384" customWidth="1"/>
    <col min="13315" max="13315" width="10.5" style="384" customWidth="1"/>
    <col min="13316" max="13316" width="10.375" style="384" customWidth="1"/>
    <col min="13317" max="13317" width="2.5" style="384" bestFit="1" customWidth="1"/>
    <col min="13318" max="13321" width="10.25" style="384" customWidth="1"/>
    <col min="13322" max="13322" width="12" style="384" customWidth="1"/>
    <col min="13323" max="13323" width="10.25" style="384" customWidth="1"/>
    <col min="13324" max="13324" width="9" style="384" customWidth="1"/>
    <col min="13325" max="13325" width="9.75" style="384" customWidth="1"/>
    <col min="13326" max="13326" width="8.75" style="384" customWidth="1"/>
    <col min="13327" max="13327" width="6.5" style="384" customWidth="1"/>
    <col min="13328" max="13328" width="11" style="384"/>
    <col min="13329" max="13329" width="5.875" style="384" customWidth="1"/>
    <col min="13330" max="13331" width="11" style="384"/>
    <col min="13332" max="13332" width="10.875" style="384" customWidth="1"/>
    <col min="13333" max="13333" width="9" style="384" customWidth="1"/>
    <col min="13334" max="13334" width="4.875" style="384" customWidth="1"/>
    <col min="13335" max="13335" width="10.25" style="384" customWidth="1"/>
    <col min="13336" max="13340" width="10.875" style="384" customWidth="1"/>
    <col min="13341" max="13568" width="11" style="384"/>
    <col min="13569" max="13569" width="10.25" style="384" customWidth="1"/>
    <col min="13570" max="13570" width="33.5" style="384" customWidth="1"/>
    <col min="13571" max="13571" width="10.5" style="384" customWidth="1"/>
    <col min="13572" max="13572" width="10.375" style="384" customWidth="1"/>
    <col min="13573" max="13573" width="2.5" style="384" bestFit="1" customWidth="1"/>
    <col min="13574" max="13577" width="10.25" style="384" customWidth="1"/>
    <col min="13578" max="13578" width="12" style="384" customWidth="1"/>
    <col min="13579" max="13579" width="10.25" style="384" customWidth="1"/>
    <col min="13580" max="13580" width="9" style="384" customWidth="1"/>
    <col min="13581" max="13581" width="9.75" style="384" customWidth="1"/>
    <col min="13582" max="13582" width="8.75" style="384" customWidth="1"/>
    <col min="13583" max="13583" width="6.5" style="384" customWidth="1"/>
    <col min="13584" max="13584" width="11" style="384"/>
    <col min="13585" max="13585" width="5.875" style="384" customWidth="1"/>
    <col min="13586" max="13587" width="11" style="384"/>
    <col min="13588" max="13588" width="10.875" style="384" customWidth="1"/>
    <col min="13589" max="13589" width="9" style="384" customWidth="1"/>
    <col min="13590" max="13590" width="4.875" style="384" customWidth="1"/>
    <col min="13591" max="13591" width="10.25" style="384" customWidth="1"/>
    <col min="13592" max="13596" width="10.875" style="384" customWidth="1"/>
    <col min="13597" max="13824" width="11" style="384"/>
    <col min="13825" max="13825" width="10.25" style="384" customWidth="1"/>
    <col min="13826" max="13826" width="33.5" style="384" customWidth="1"/>
    <col min="13827" max="13827" width="10.5" style="384" customWidth="1"/>
    <col min="13828" max="13828" width="10.375" style="384" customWidth="1"/>
    <col min="13829" max="13829" width="2.5" style="384" bestFit="1" customWidth="1"/>
    <col min="13830" max="13833" width="10.25" style="384" customWidth="1"/>
    <col min="13834" max="13834" width="12" style="384" customWidth="1"/>
    <col min="13835" max="13835" width="10.25" style="384" customWidth="1"/>
    <col min="13836" max="13836" width="9" style="384" customWidth="1"/>
    <col min="13837" max="13837" width="9.75" style="384" customWidth="1"/>
    <col min="13838" max="13838" width="8.75" style="384" customWidth="1"/>
    <col min="13839" max="13839" width="6.5" style="384" customWidth="1"/>
    <col min="13840" max="13840" width="11" style="384"/>
    <col min="13841" max="13841" width="5.875" style="384" customWidth="1"/>
    <col min="13842" max="13843" width="11" style="384"/>
    <col min="13844" max="13844" width="10.875" style="384" customWidth="1"/>
    <col min="13845" max="13845" width="9" style="384" customWidth="1"/>
    <col min="13846" max="13846" width="4.875" style="384" customWidth="1"/>
    <col min="13847" max="13847" width="10.25" style="384" customWidth="1"/>
    <col min="13848" max="13852" width="10.875" style="384" customWidth="1"/>
    <col min="13853" max="14080" width="11" style="384"/>
    <col min="14081" max="14081" width="10.25" style="384" customWidth="1"/>
    <col min="14082" max="14082" width="33.5" style="384" customWidth="1"/>
    <col min="14083" max="14083" width="10.5" style="384" customWidth="1"/>
    <col min="14084" max="14084" width="10.375" style="384" customWidth="1"/>
    <col min="14085" max="14085" width="2.5" style="384" bestFit="1" customWidth="1"/>
    <col min="14086" max="14089" width="10.25" style="384" customWidth="1"/>
    <col min="14090" max="14090" width="12" style="384" customWidth="1"/>
    <col min="14091" max="14091" width="10.25" style="384" customWidth="1"/>
    <col min="14092" max="14092" width="9" style="384" customWidth="1"/>
    <col min="14093" max="14093" width="9.75" style="384" customWidth="1"/>
    <col min="14094" max="14094" width="8.75" style="384" customWidth="1"/>
    <col min="14095" max="14095" width="6.5" style="384" customWidth="1"/>
    <col min="14096" max="14096" width="11" style="384"/>
    <col min="14097" max="14097" width="5.875" style="384" customWidth="1"/>
    <col min="14098" max="14099" width="11" style="384"/>
    <col min="14100" max="14100" width="10.875" style="384" customWidth="1"/>
    <col min="14101" max="14101" width="9" style="384" customWidth="1"/>
    <col min="14102" max="14102" width="4.875" style="384" customWidth="1"/>
    <col min="14103" max="14103" width="10.25" style="384" customWidth="1"/>
    <col min="14104" max="14108" width="10.875" style="384" customWidth="1"/>
    <col min="14109" max="14336" width="11" style="384"/>
    <col min="14337" max="14337" width="10.25" style="384" customWidth="1"/>
    <col min="14338" max="14338" width="33.5" style="384" customWidth="1"/>
    <col min="14339" max="14339" width="10.5" style="384" customWidth="1"/>
    <col min="14340" max="14340" width="10.375" style="384" customWidth="1"/>
    <col min="14341" max="14341" width="2.5" style="384" bestFit="1" customWidth="1"/>
    <col min="14342" max="14345" width="10.25" style="384" customWidth="1"/>
    <col min="14346" max="14346" width="12" style="384" customWidth="1"/>
    <col min="14347" max="14347" width="10.25" style="384" customWidth="1"/>
    <col min="14348" max="14348" width="9" style="384" customWidth="1"/>
    <col min="14349" max="14349" width="9.75" style="384" customWidth="1"/>
    <col min="14350" max="14350" width="8.75" style="384" customWidth="1"/>
    <col min="14351" max="14351" width="6.5" style="384" customWidth="1"/>
    <col min="14352" max="14352" width="11" style="384"/>
    <col min="14353" max="14353" width="5.875" style="384" customWidth="1"/>
    <col min="14354" max="14355" width="11" style="384"/>
    <col min="14356" max="14356" width="10.875" style="384" customWidth="1"/>
    <col min="14357" max="14357" width="9" style="384" customWidth="1"/>
    <col min="14358" max="14358" width="4.875" style="384" customWidth="1"/>
    <col min="14359" max="14359" width="10.25" style="384" customWidth="1"/>
    <col min="14360" max="14364" width="10.875" style="384" customWidth="1"/>
    <col min="14365" max="14592" width="11" style="384"/>
    <col min="14593" max="14593" width="10.25" style="384" customWidth="1"/>
    <col min="14594" max="14594" width="33.5" style="384" customWidth="1"/>
    <col min="14595" max="14595" width="10.5" style="384" customWidth="1"/>
    <col min="14596" max="14596" width="10.375" style="384" customWidth="1"/>
    <col min="14597" max="14597" width="2.5" style="384" bestFit="1" customWidth="1"/>
    <col min="14598" max="14601" width="10.25" style="384" customWidth="1"/>
    <col min="14602" max="14602" width="12" style="384" customWidth="1"/>
    <col min="14603" max="14603" width="10.25" style="384" customWidth="1"/>
    <col min="14604" max="14604" width="9" style="384" customWidth="1"/>
    <col min="14605" max="14605" width="9.75" style="384" customWidth="1"/>
    <col min="14606" max="14606" width="8.75" style="384" customWidth="1"/>
    <col min="14607" max="14607" width="6.5" style="384" customWidth="1"/>
    <col min="14608" max="14608" width="11" style="384"/>
    <col min="14609" max="14609" width="5.875" style="384" customWidth="1"/>
    <col min="14610" max="14611" width="11" style="384"/>
    <col min="14612" max="14612" width="10.875" style="384" customWidth="1"/>
    <col min="14613" max="14613" width="9" style="384" customWidth="1"/>
    <col min="14614" max="14614" width="4.875" style="384" customWidth="1"/>
    <col min="14615" max="14615" width="10.25" style="384" customWidth="1"/>
    <col min="14616" max="14620" width="10.875" style="384" customWidth="1"/>
    <col min="14621" max="14848" width="11" style="384"/>
    <col min="14849" max="14849" width="10.25" style="384" customWidth="1"/>
    <col min="14850" max="14850" width="33.5" style="384" customWidth="1"/>
    <col min="14851" max="14851" width="10.5" style="384" customWidth="1"/>
    <col min="14852" max="14852" width="10.375" style="384" customWidth="1"/>
    <col min="14853" max="14853" width="2.5" style="384" bestFit="1" customWidth="1"/>
    <col min="14854" max="14857" width="10.25" style="384" customWidth="1"/>
    <col min="14858" max="14858" width="12" style="384" customWidth="1"/>
    <col min="14859" max="14859" width="10.25" style="384" customWidth="1"/>
    <col min="14860" max="14860" width="9" style="384" customWidth="1"/>
    <col min="14861" max="14861" width="9.75" style="384" customWidth="1"/>
    <col min="14862" max="14862" width="8.75" style="384" customWidth="1"/>
    <col min="14863" max="14863" width="6.5" style="384" customWidth="1"/>
    <col min="14864" max="14864" width="11" style="384"/>
    <col min="14865" max="14865" width="5.875" style="384" customWidth="1"/>
    <col min="14866" max="14867" width="11" style="384"/>
    <col min="14868" max="14868" width="10.875" style="384" customWidth="1"/>
    <col min="14869" max="14869" width="9" style="384" customWidth="1"/>
    <col min="14870" max="14870" width="4.875" style="384" customWidth="1"/>
    <col min="14871" max="14871" width="10.25" style="384" customWidth="1"/>
    <col min="14872" max="14876" width="10.875" style="384" customWidth="1"/>
    <col min="14877" max="15104" width="11" style="384"/>
    <col min="15105" max="15105" width="10.25" style="384" customWidth="1"/>
    <col min="15106" max="15106" width="33.5" style="384" customWidth="1"/>
    <col min="15107" max="15107" width="10.5" style="384" customWidth="1"/>
    <col min="15108" max="15108" width="10.375" style="384" customWidth="1"/>
    <col min="15109" max="15109" width="2.5" style="384" bestFit="1" customWidth="1"/>
    <col min="15110" max="15113" width="10.25" style="384" customWidth="1"/>
    <col min="15114" max="15114" width="12" style="384" customWidth="1"/>
    <col min="15115" max="15115" width="10.25" style="384" customWidth="1"/>
    <col min="15116" max="15116" width="9" style="384" customWidth="1"/>
    <col min="15117" max="15117" width="9.75" style="384" customWidth="1"/>
    <col min="15118" max="15118" width="8.75" style="384" customWidth="1"/>
    <col min="15119" max="15119" width="6.5" style="384" customWidth="1"/>
    <col min="15120" max="15120" width="11" style="384"/>
    <col min="15121" max="15121" width="5.875" style="384" customWidth="1"/>
    <col min="15122" max="15123" width="11" style="384"/>
    <col min="15124" max="15124" width="10.875" style="384" customWidth="1"/>
    <col min="15125" max="15125" width="9" style="384" customWidth="1"/>
    <col min="15126" max="15126" width="4.875" style="384" customWidth="1"/>
    <col min="15127" max="15127" width="10.25" style="384" customWidth="1"/>
    <col min="15128" max="15132" width="10.875" style="384" customWidth="1"/>
    <col min="15133" max="15360" width="11" style="384"/>
    <col min="15361" max="15361" width="10.25" style="384" customWidth="1"/>
    <col min="15362" max="15362" width="33.5" style="384" customWidth="1"/>
    <col min="15363" max="15363" width="10.5" style="384" customWidth="1"/>
    <col min="15364" max="15364" width="10.375" style="384" customWidth="1"/>
    <col min="15365" max="15365" width="2.5" style="384" bestFit="1" customWidth="1"/>
    <col min="15366" max="15369" width="10.25" style="384" customWidth="1"/>
    <col min="15370" max="15370" width="12" style="384" customWidth="1"/>
    <col min="15371" max="15371" width="10.25" style="384" customWidth="1"/>
    <col min="15372" max="15372" width="9" style="384" customWidth="1"/>
    <col min="15373" max="15373" width="9.75" style="384" customWidth="1"/>
    <col min="15374" max="15374" width="8.75" style="384" customWidth="1"/>
    <col min="15375" max="15375" width="6.5" style="384" customWidth="1"/>
    <col min="15376" max="15376" width="11" style="384"/>
    <col min="15377" max="15377" width="5.875" style="384" customWidth="1"/>
    <col min="15378" max="15379" width="11" style="384"/>
    <col min="15380" max="15380" width="10.875" style="384" customWidth="1"/>
    <col min="15381" max="15381" width="9" style="384" customWidth="1"/>
    <col min="15382" max="15382" width="4.875" style="384" customWidth="1"/>
    <col min="15383" max="15383" width="10.25" style="384" customWidth="1"/>
    <col min="15384" max="15388" width="10.875" style="384" customWidth="1"/>
    <col min="15389" max="15616" width="11" style="384"/>
    <col min="15617" max="15617" width="10.25" style="384" customWidth="1"/>
    <col min="15618" max="15618" width="33.5" style="384" customWidth="1"/>
    <col min="15619" max="15619" width="10.5" style="384" customWidth="1"/>
    <col min="15620" max="15620" width="10.375" style="384" customWidth="1"/>
    <col min="15621" max="15621" width="2.5" style="384" bestFit="1" customWidth="1"/>
    <col min="15622" max="15625" width="10.25" style="384" customWidth="1"/>
    <col min="15626" max="15626" width="12" style="384" customWidth="1"/>
    <col min="15627" max="15627" width="10.25" style="384" customWidth="1"/>
    <col min="15628" max="15628" width="9" style="384" customWidth="1"/>
    <col min="15629" max="15629" width="9.75" style="384" customWidth="1"/>
    <col min="15630" max="15630" width="8.75" style="384" customWidth="1"/>
    <col min="15631" max="15631" width="6.5" style="384" customWidth="1"/>
    <col min="15632" max="15632" width="11" style="384"/>
    <col min="15633" max="15633" width="5.875" style="384" customWidth="1"/>
    <col min="15634" max="15635" width="11" style="384"/>
    <col min="15636" max="15636" width="10.875" style="384" customWidth="1"/>
    <col min="15637" max="15637" width="9" style="384" customWidth="1"/>
    <col min="15638" max="15638" width="4.875" style="384" customWidth="1"/>
    <col min="15639" max="15639" width="10.25" style="384" customWidth="1"/>
    <col min="15640" max="15644" width="10.875" style="384" customWidth="1"/>
    <col min="15645" max="15872" width="11" style="384"/>
    <col min="15873" max="15873" width="10.25" style="384" customWidth="1"/>
    <col min="15874" max="15874" width="33.5" style="384" customWidth="1"/>
    <col min="15875" max="15875" width="10.5" style="384" customWidth="1"/>
    <col min="15876" max="15876" width="10.375" style="384" customWidth="1"/>
    <col min="15877" max="15877" width="2.5" style="384" bestFit="1" customWidth="1"/>
    <col min="15878" max="15881" width="10.25" style="384" customWidth="1"/>
    <col min="15882" max="15882" width="12" style="384" customWidth="1"/>
    <col min="15883" max="15883" width="10.25" style="384" customWidth="1"/>
    <col min="15884" max="15884" width="9" style="384" customWidth="1"/>
    <col min="15885" max="15885" width="9.75" style="384" customWidth="1"/>
    <col min="15886" max="15886" width="8.75" style="384" customWidth="1"/>
    <col min="15887" max="15887" width="6.5" style="384" customWidth="1"/>
    <col min="15888" max="15888" width="11" style="384"/>
    <col min="15889" max="15889" width="5.875" style="384" customWidth="1"/>
    <col min="15890" max="15891" width="11" style="384"/>
    <col min="15892" max="15892" width="10.875" style="384" customWidth="1"/>
    <col min="15893" max="15893" width="9" style="384" customWidth="1"/>
    <col min="15894" max="15894" width="4.875" style="384" customWidth="1"/>
    <col min="15895" max="15895" width="10.25" style="384" customWidth="1"/>
    <col min="15896" max="15900" width="10.875" style="384" customWidth="1"/>
    <col min="15901" max="16128" width="11" style="384"/>
    <col min="16129" max="16129" width="10.25" style="384" customWidth="1"/>
    <col min="16130" max="16130" width="33.5" style="384" customWidth="1"/>
    <col min="16131" max="16131" width="10.5" style="384" customWidth="1"/>
    <col min="16132" max="16132" width="10.375" style="384" customWidth="1"/>
    <col min="16133" max="16133" width="2.5" style="384" bestFit="1" customWidth="1"/>
    <col min="16134" max="16137" width="10.25" style="384" customWidth="1"/>
    <col min="16138" max="16138" width="12" style="384" customWidth="1"/>
    <col min="16139" max="16139" width="10.25" style="384" customWidth="1"/>
    <col min="16140" max="16140" width="9" style="384" customWidth="1"/>
    <col min="16141" max="16141" width="9.75" style="384" customWidth="1"/>
    <col min="16142" max="16142" width="8.75" style="384" customWidth="1"/>
    <col min="16143" max="16143" width="6.5" style="384" customWidth="1"/>
    <col min="16144" max="16144" width="11" style="384"/>
    <col min="16145" max="16145" width="5.875" style="384" customWidth="1"/>
    <col min="16146" max="16147" width="11" style="384"/>
    <col min="16148" max="16148" width="10.875" style="384" customWidth="1"/>
    <col min="16149" max="16149" width="9" style="384" customWidth="1"/>
    <col min="16150" max="16150" width="4.875" style="384" customWidth="1"/>
    <col min="16151" max="16151" width="10.25" style="384" customWidth="1"/>
    <col min="16152" max="16156" width="10.875" style="384" customWidth="1"/>
    <col min="16157" max="16384" width="11" style="384"/>
  </cols>
  <sheetData>
    <row r="1" spans="1:81" customFormat="1" ht="18" customHeight="1">
      <c r="A1" s="1520" t="s">
        <v>57</v>
      </c>
      <c r="B1" s="1"/>
      <c r="C1" s="652"/>
      <c r="D1" s="652"/>
      <c r="E1" s="2393">
        <v>42369</v>
      </c>
      <c r="F1" s="2393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212"/>
      <c r="T1" s="212"/>
      <c r="U1" s="652"/>
      <c r="V1" s="652"/>
      <c r="W1" s="65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2390" t="s">
        <v>770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65" t="s">
        <v>66</v>
      </c>
      <c r="D3" s="65" t="s">
        <v>72</v>
      </c>
      <c r="E3" s="65"/>
      <c r="F3" s="65" t="s">
        <v>84</v>
      </c>
      <c r="G3" s="1650"/>
      <c r="H3" s="65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771</v>
      </c>
      <c r="C4" s="1651"/>
      <c r="D4" s="1651"/>
      <c r="E4" s="1651"/>
      <c r="F4" s="1650"/>
      <c r="G4" s="1650"/>
      <c r="H4" s="1650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201502000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/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 s="2324" customFormat="1">
      <c r="A15" s="1530">
        <v>1</v>
      </c>
      <c r="B15" s="152" t="s">
        <v>770</v>
      </c>
      <c r="C15" s="2315">
        <v>1153320</v>
      </c>
      <c r="D15" s="2316">
        <f>C15</f>
        <v>1153320</v>
      </c>
      <c r="E15" s="999">
        <v>1</v>
      </c>
      <c r="F15" s="2315">
        <f>D15*E15</f>
        <v>1153320</v>
      </c>
      <c r="G15" s="2317"/>
      <c r="H15" s="2317"/>
      <c r="I15" s="2317">
        <f>+W15</f>
        <v>311880</v>
      </c>
      <c r="J15" s="2317">
        <v>80000</v>
      </c>
      <c r="K15" s="2317"/>
      <c r="L15" s="2317">
        <f>I15-J15+K15</f>
        <v>231880</v>
      </c>
      <c r="M15" s="2317"/>
      <c r="N15" s="2317"/>
      <c r="O15" s="2319"/>
      <c r="P15" s="2317"/>
      <c r="Q15" s="2319"/>
      <c r="R15" s="2319"/>
      <c r="S15" s="2320"/>
      <c r="T15" s="2320">
        <f>W15-L15</f>
        <v>80000</v>
      </c>
      <c r="U15" s="2319">
        <v>311880</v>
      </c>
      <c r="V15" s="2321">
        <v>1</v>
      </c>
      <c r="W15" s="2315">
        <f>U15*V15</f>
        <v>311880</v>
      </c>
      <c r="X15" s="2317"/>
      <c r="Y15" s="2317"/>
      <c r="Z15" s="2317"/>
      <c r="AA15" s="2319"/>
      <c r="AB15" s="2322"/>
      <c r="AC15" s="2323"/>
      <c r="AD15" s="2323"/>
    </row>
    <row r="16" spans="1:81">
      <c r="A16" s="1530"/>
      <c r="B16" s="152"/>
      <c r="C16" s="124"/>
      <c r="D16" s="131"/>
      <c r="E16" s="132"/>
      <c r="F16" s="124"/>
      <c r="G16" s="139"/>
      <c r="H16" s="139"/>
      <c r="I16" s="139"/>
      <c r="J16" s="139"/>
      <c r="K16" s="133"/>
      <c r="L16" s="139"/>
      <c r="M16" s="139"/>
      <c r="N16" s="133"/>
      <c r="O16" s="139"/>
      <c r="P16" s="139"/>
      <c r="Q16" s="149"/>
      <c r="R16" s="134"/>
      <c r="S16" s="139"/>
      <c r="T16" s="139"/>
      <c r="U16" s="131"/>
      <c r="V16" s="132"/>
      <c r="W16" s="124"/>
      <c r="X16" s="139"/>
      <c r="Y16" s="133"/>
      <c r="Z16" s="139"/>
      <c r="AA16" s="134"/>
      <c r="AB16" s="139"/>
    </row>
    <row r="17" spans="1:28">
      <c r="A17" s="1530"/>
      <c r="B17" s="152"/>
      <c r="C17" s="124"/>
      <c r="D17" s="131"/>
      <c r="E17" s="132"/>
      <c r="F17" s="124"/>
      <c r="G17" s="139"/>
      <c r="H17" s="139"/>
      <c r="I17" s="139"/>
      <c r="J17" s="139"/>
      <c r="K17" s="133"/>
      <c r="L17" s="139"/>
      <c r="M17" s="139"/>
      <c r="N17" s="133"/>
      <c r="O17" s="139"/>
      <c r="P17" s="139"/>
      <c r="Q17" s="149"/>
      <c r="R17" s="139"/>
      <c r="S17" s="139"/>
      <c r="T17" s="139"/>
      <c r="U17" s="131"/>
      <c r="V17" s="132"/>
      <c r="W17" s="124"/>
      <c r="X17" s="139"/>
      <c r="Y17" s="133"/>
      <c r="Z17" s="139"/>
      <c r="AA17" s="139"/>
      <c r="AB17" s="139"/>
    </row>
    <row r="18" spans="1:28">
      <c r="A18" s="1530"/>
      <c r="B18" s="181"/>
      <c r="C18" s="124"/>
      <c r="D18" s="131"/>
      <c r="E18" s="132"/>
      <c r="F18" s="124"/>
      <c r="G18" s="139"/>
      <c r="H18" s="139"/>
      <c r="I18" s="139"/>
      <c r="J18" s="139"/>
      <c r="K18" s="133"/>
      <c r="L18" s="139"/>
      <c r="M18" s="139"/>
      <c r="N18" s="133"/>
      <c r="O18" s="139"/>
      <c r="P18" s="139"/>
      <c r="Q18" s="149"/>
      <c r="R18" s="139"/>
      <c r="S18" s="139"/>
      <c r="T18" s="139"/>
      <c r="U18" s="131"/>
      <c r="V18" s="132"/>
      <c r="W18" s="124"/>
      <c r="X18" s="139"/>
      <c r="Y18" s="133"/>
      <c r="Z18" s="139"/>
      <c r="AA18" s="139"/>
      <c r="AB18" s="139"/>
    </row>
    <row r="19" spans="1:28">
      <c r="A19" s="1530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9"/>
      <c r="M19" s="139"/>
      <c r="N19" s="133"/>
      <c r="O19" s="139"/>
      <c r="P19" s="153"/>
      <c r="Q19" s="149"/>
      <c r="R19" s="153"/>
      <c r="S19" s="139"/>
      <c r="T19" s="139"/>
      <c r="U19" s="131"/>
      <c r="V19" s="1531"/>
      <c r="W19" s="124"/>
      <c r="X19" s="139"/>
      <c r="Y19" s="133"/>
      <c r="Z19" s="153"/>
      <c r="AA19" s="153"/>
      <c r="AB19" s="139"/>
    </row>
    <row r="20" spans="1:28">
      <c r="A20" s="1532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53"/>
      <c r="Q20" s="149"/>
      <c r="R20" s="153"/>
      <c r="S20" s="139"/>
      <c r="T20" s="139"/>
      <c r="U20" s="131"/>
      <c r="V20" s="1531"/>
      <c r="W20" s="124"/>
      <c r="X20" s="139"/>
      <c r="Y20" s="133"/>
      <c r="Z20" s="153"/>
      <c r="AA20" s="153"/>
      <c r="AB20" s="139"/>
    </row>
    <row r="21" spans="1:28">
      <c r="A21" s="1532"/>
      <c r="B21" s="181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53"/>
      <c r="Q21" s="149"/>
      <c r="R21" s="153"/>
      <c r="S21" s="139"/>
      <c r="T21" s="139"/>
      <c r="U21" s="131"/>
      <c r="V21" s="1531"/>
      <c r="W21" s="124"/>
      <c r="X21" s="139"/>
      <c r="Y21" s="133"/>
      <c r="Z21" s="153"/>
      <c r="AA21" s="153"/>
      <c r="AB21" s="139"/>
    </row>
    <row r="22" spans="1:28">
      <c r="A22" s="1530"/>
      <c r="B22" s="152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39"/>
      <c r="Q22" s="149"/>
      <c r="R22" s="139"/>
      <c r="S22" s="139"/>
      <c r="T22" s="139"/>
      <c r="U22" s="131"/>
      <c r="V22" s="132"/>
      <c r="W22" s="124"/>
      <c r="X22" s="139"/>
      <c r="Y22" s="133"/>
      <c r="Z22" s="139"/>
      <c r="AA22" s="139"/>
      <c r="AB22" s="139"/>
    </row>
    <row r="23" spans="1:28">
      <c r="A23" s="1530"/>
      <c r="B23" s="152"/>
      <c r="C23" s="124"/>
      <c r="D23" s="131"/>
      <c r="E23" s="132"/>
      <c r="F23" s="124"/>
      <c r="G23" s="139"/>
      <c r="H23" s="139"/>
      <c r="I23" s="139"/>
      <c r="J23" s="139"/>
      <c r="K23" s="133"/>
      <c r="L23" s="1533"/>
      <c r="M23" s="139"/>
      <c r="N23" s="133"/>
      <c r="O23" s="139"/>
      <c r="P23" s="153"/>
      <c r="Q23" s="149"/>
      <c r="R23" s="153"/>
      <c r="S23" s="139"/>
      <c r="T23" s="139"/>
      <c r="U23" s="131"/>
      <c r="V23" s="1531"/>
      <c r="W23" s="124"/>
      <c r="X23" s="1533"/>
      <c r="Y23" s="133"/>
      <c r="Z23" s="153"/>
      <c r="AA23" s="153"/>
      <c r="AB23" s="139"/>
    </row>
    <row r="24" spans="1:28">
      <c r="A24" s="1530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55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</row>
    <row r="25" spans="1:28">
      <c r="A25" s="1534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56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</row>
    <row r="26" spans="1:28">
      <c r="A26" s="157"/>
      <c r="B26" s="152"/>
      <c r="C26" s="124"/>
      <c r="D26" s="131"/>
      <c r="E26" s="1531"/>
      <c r="F26" s="124"/>
      <c r="G26" s="139"/>
      <c r="H26" s="139"/>
      <c r="I26" s="139"/>
      <c r="J26" s="139"/>
      <c r="K26" s="133">
        <f>0.5*W26</f>
        <v>0</v>
      </c>
      <c r="L26" s="139"/>
      <c r="M26" s="139"/>
      <c r="N26" s="133"/>
      <c r="O26" s="139"/>
      <c r="P26" s="139"/>
      <c r="Q26" s="156"/>
      <c r="R26" s="139"/>
      <c r="S26" s="139"/>
      <c r="T26" s="139"/>
      <c r="U26" s="144"/>
      <c r="V26" s="1531"/>
      <c r="W26" s="124">
        <f t="shared" ref="W26:W31" si="0">U26*V26</f>
        <v>0</v>
      </c>
      <c r="X26" s="139"/>
      <c r="Y26" s="133"/>
      <c r="Z26" s="139"/>
      <c r="AA26" s="139"/>
      <c r="AB26" s="139">
        <v>0</v>
      </c>
    </row>
    <row r="27" spans="1:28">
      <c r="A27" s="146"/>
      <c r="B27" s="152"/>
      <c r="C27" s="124">
        <f>D27*E27</f>
        <v>0</v>
      </c>
      <c r="D27" s="131"/>
      <c r="E27" s="1531"/>
      <c r="F27" s="124">
        <f>D27*E27</f>
        <v>0</v>
      </c>
      <c r="G27" s="134"/>
      <c r="H27" s="134"/>
      <c r="I27" s="135"/>
      <c r="J27" s="134"/>
      <c r="K27" s="133">
        <f>0.5*W27</f>
        <v>0</v>
      </c>
      <c r="L27" s="139"/>
      <c r="M27" s="134"/>
      <c r="N27" s="133"/>
      <c r="O27" s="134"/>
      <c r="P27" s="153"/>
      <c r="Q27" s="156"/>
      <c r="R27" s="153"/>
      <c r="S27" s="139"/>
      <c r="T27" s="138"/>
      <c r="U27" s="144"/>
      <c r="V27" s="1531"/>
      <c r="W27" s="124">
        <f t="shared" si="0"/>
        <v>0</v>
      </c>
      <c r="X27" s="139"/>
      <c r="Y27" s="133"/>
      <c r="Z27" s="153"/>
      <c r="AA27" s="153"/>
      <c r="AB27" s="138"/>
    </row>
    <row r="28" spans="1:28">
      <c r="A28" s="157"/>
      <c r="B28" s="152"/>
      <c r="C28" s="124">
        <f>D28*E28</f>
        <v>0</v>
      </c>
      <c r="D28" s="131"/>
      <c r="E28" s="1531"/>
      <c r="F28" s="124">
        <f>D28*E28</f>
        <v>0</v>
      </c>
      <c r="G28" s="134"/>
      <c r="H28" s="134"/>
      <c r="I28" s="135"/>
      <c r="J28" s="134"/>
      <c r="K28" s="133">
        <f>0.5*W28</f>
        <v>0</v>
      </c>
      <c r="L28" s="139"/>
      <c r="M28" s="134"/>
      <c r="N28" s="133"/>
      <c r="O28" s="134"/>
      <c r="P28" s="134"/>
      <c r="Q28" s="156"/>
      <c r="R28" s="139"/>
      <c r="S28" s="139"/>
      <c r="T28" s="138"/>
      <c r="U28" s="144"/>
      <c r="V28" s="1531"/>
      <c r="W28" s="124">
        <f t="shared" si="0"/>
        <v>0</v>
      </c>
      <c r="X28" s="139"/>
      <c r="Y28" s="133"/>
      <c r="Z28" s="134"/>
      <c r="AA28" s="139"/>
      <c r="AB28" s="138"/>
    </row>
    <row r="29" spans="1:28" ht="9.9499999999999993" customHeight="1">
      <c r="A29" s="157"/>
      <c r="B29" s="152"/>
      <c r="C29" s="124">
        <f>D29*E29</f>
        <v>0</v>
      </c>
      <c r="D29" s="131"/>
      <c r="E29" s="1531"/>
      <c r="F29" s="124">
        <f>D29*E29</f>
        <v>0</v>
      </c>
      <c r="G29" s="134"/>
      <c r="H29" s="134"/>
      <c r="I29" s="135"/>
      <c r="J29" s="134"/>
      <c r="K29" s="133">
        <f>0.5*W29</f>
        <v>0</v>
      </c>
      <c r="L29" s="139"/>
      <c r="M29" s="134"/>
      <c r="N29" s="133"/>
      <c r="O29" s="134"/>
      <c r="P29" s="134"/>
      <c r="Q29" s="156"/>
      <c r="R29" s="139"/>
      <c r="S29" s="139"/>
      <c r="T29" s="138"/>
      <c r="U29" s="144"/>
      <c r="V29" s="1531"/>
      <c r="W29" s="124">
        <f t="shared" si="0"/>
        <v>0</v>
      </c>
      <c r="X29" s="139"/>
      <c r="Y29" s="133"/>
      <c r="Z29" s="134"/>
      <c r="AA29" s="139"/>
      <c r="AB29" s="138"/>
    </row>
    <row r="30" spans="1:28">
      <c r="A30" s="1530"/>
      <c r="B30" s="152"/>
      <c r="C30" s="124">
        <f>D30*E30</f>
        <v>0</v>
      </c>
      <c r="D30" s="131"/>
      <c r="E30" s="1531"/>
      <c r="F30" s="124">
        <f>D30*E30</f>
        <v>0</v>
      </c>
      <c r="G30" s="134"/>
      <c r="H30" s="134"/>
      <c r="I30" s="135"/>
      <c r="J30" s="134"/>
      <c r="K30" s="134"/>
      <c r="L30" s="139"/>
      <c r="M30" s="134"/>
      <c r="N30" s="134"/>
      <c r="O30" s="134"/>
      <c r="P30" s="134"/>
      <c r="Q30" s="156"/>
      <c r="R30" s="139"/>
      <c r="S30" s="139"/>
      <c r="T30" s="138"/>
      <c r="U30" s="144"/>
      <c r="V30" s="1531"/>
      <c r="W30" s="124">
        <f t="shared" si="0"/>
        <v>0</v>
      </c>
      <c r="X30" s="139"/>
      <c r="Y30" s="134"/>
      <c r="Z30" s="134"/>
      <c r="AA30" s="139"/>
      <c r="AB30" s="138"/>
    </row>
    <row r="31" spans="1:28">
      <c r="A31" s="157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4"/>
      <c r="L31" s="139"/>
      <c r="M31" s="134"/>
      <c r="N31" s="134"/>
      <c r="O31" s="134"/>
      <c r="P31" s="134"/>
      <c r="Q31" s="156"/>
      <c r="R31" s="139"/>
      <c r="S31" s="139"/>
      <c r="T31" s="138"/>
      <c r="U31" s="144"/>
      <c r="V31" s="1531"/>
      <c r="W31" s="124">
        <f t="shared" si="0"/>
        <v>0</v>
      </c>
      <c r="X31" s="139"/>
      <c r="Y31" s="134"/>
      <c r="Z31" s="134"/>
      <c r="AA31" s="139"/>
      <c r="AB31" s="138"/>
    </row>
    <row r="32" spans="1:28">
      <c r="A32" s="157"/>
      <c r="B32" s="152"/>
      <c r="C32" s="124"/>
      <c r="D32" s="131"/>
      <c r="E32" s="1531"/>
      <c r="F32" s="124"/>
      <c r="G32" s="134"/>
      <c r="H32" s="134"/>
      <c r="I32" s="135"/>
      <c r="J32" s="134"/>
      <c r="K32" s="134"/>
      <c r="L32" s="139"/>
      <c r="M32" s="134"/>
      <c r="N32" s="134"/>
      <c r="O32" s="134"/>
      <c r="P32" s="134"/>
      <c r="Q32" s="156"/>
      <c r="R32" s="139"/>
      <c r="S32" s="139"/>
      <c r="T32" s="138"/>
      <c r="U32" s="144"/>
      <c r="V32" s="1531"/>
      <c r="W32" s="124"/>
      <c r="X32" s="139"/>
      <c r="Y32" s="134"/>
      <c r="Z32" s="134"/>
      <c r="AA32" s="139"/>
      <c r="AB32" s="138"/>
    </row>
    <row r="33" spans="1:28">
      <c r="A33" s="157"/>
      <c r="B33" s="152"/>
      <c r="C33" s="124"/>
      <c r="D33" s="131"/>
      <c r="E33" s="1531"/>
      <c r="F33" s="124"/>
      <c r="G33" s="134"/>
      <c r="H33" s="134"/>
      <c r="I33" s="135"/>
      <c r="J33" s="134"/>
      <c r="K33" s="134"/>
      <c r="L33" s="139"/>
      <c r="M33" s="134"/>
      <c r="N33" s="134"/>
      <c r="O33" s="134"/>
      <c r="P33" s="134"/>
      <c r="Q33" s="156"/>
      <c r="R33" s="139"/>
      <c r="S33" s="139"/>
      <c r="T33" s="138"/>
      <c r="U33" s="144"/>
      <c r="V33" s="1531"/>
      <c r="W33" s="124"/>
      <c r="X33" s="139"/>
      <c r="Y33" s="134"/>
      <c r="Z33" s="134"/>
      <c r="AA33" s="139"/>
      <c r="AB33" s="138"/>
    </row>
    <row r="34" spans="1:28">
      <c r="A34" s="157"/>
      <c r="B34" s="152"/>
      <c r="C34" s="124"/>
      <c r="D34" s="131"/>
      <c r="E34" s="1531"/>
      <c r="F34" s="124"/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/>
      <c r="X34" s="139"/>
      <c r="Y34" s="134"/>
      <c r="Z34" s="134"/>
      <c r="AA34" s="139"/>
      <c r="AB34" s="138"/>
    </row>
    <row r="35" spans="1:28">
      <c r="A35" s="157"/>
      <c r="B35" s="152"/>
      <c r="C35" s="124"/>
      <c r="D35" s="131"/>
      <c r="E35" s="1531"/>
      <c r="F35" s="124"/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/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>
        <f>D45*E45</f>
        <v>0</v>
      </c>
      <c r="D45" s="131"/>
      <c r="E45" s="1531"/>
      <c r="F45" s="124">
        <f>D45*E45</f>
        <v>0</v>
      </c>
      <c r="G45" s="134"/>
      <c r="H45" s="134"/>
      <c r="I45" s="135"/>
      <c r="J45" s="134"/>
      <c r="K45" s="134"/>
      <c r="L45" s="139"/>
      <c r="M45" s="134"/>
      <c r="N45" s="134"/>
      <c r="O45" s="134"/>
      <c r="P45" s="139"/>
      <c r="Q45" s="134"/>
      <c r="R45" s="139"/>
      <c r="S45" s="139"/>
      <c r="T45" s="138"/>
      <c r="U45" s="144"/>
      <c r="V45" s="1531"/>
      <c r="W45" s="124">
        <f t="shared" ref="W45:W54" si="1">U45*V45</f>
        <v>0</v>
      </c>
      <c r="X45" s="139"/>
      <c r="Y45" s="134"/>
      <c r="Z45" s="139"/>
      <c r="AA45" s="139"/>
      <c r="AB45" s="138"/>
    </row>
    <row r="46" spans="1:28">
      <c r="A46" s="157"/>
      <c r="B46" s="152"/>
      <c r="C46" s="124">
        <f>D46*E46</f>
        <v>0</v>
      </c>
      <c r="D46" s="131"/>
      <c r="E46" s="1531"/>
      <c r="F46" s="124">
        <f>D46*E46</f>
        <v>0</v>
      </c>
      <c r="G46" s="134"/>
      <c r="H46" s="134"/>
      <c r="I46" s="135"/>
      <c r="J46" s="134"/>
      <c r="K46" s="134"/>
      <c r="L46" s="139"/>
      <c r="M46" s="134"/>
      <c r="N46" s="134"/>
      <c r="O46" s="134"/>
      <c r="P46" s="139"/>
      <c r="Q46" s="134"/>
      <c r="R46" s="139"/>
      <c r="S46" s="139"/>
      <c r="T46" s="138"/>
      <c r="U46" s="144"/>
      <c r="V46" s="1531"/>
      <c r="W46" s="124">
        <f t="shared" si="1"/>
        <v>0</v>
      </c>
      <c r="X46" s="139"/>
      <c r="Y46" s="134"/>
      <c r="Z46" s="139"/>
      <c r="AA46" s="139"/>
      <c r="AB46" s="138"/>
    </row>
    <row r="47" spans="1:28">
      <c r="A47" s="157"/>
      <c r="B47" s="152"/>
      <c r="C47" s="124">
        <f>D47*E47</f>
        <v>0</v>
      </c>
      <c r="D47" s="131"/>
      <c r="E47" s="1531"/>
      <c r="F47" s="124">
        <f>D47*E47</f>
        <v>0</v>
      </c>
      <c r="G47" s="134"/>
      <c r="H47" s="134"/>
      <c r="I47" s="135"/>
      <c r="J47" s="134"/>
      <c r="K47" s="134"/>
      <c r="L47" s="139"/>
      <c r="M47" s="134"/>
      <c r="N47" s="134"/>
      <c r="O47" s="134"/>
      <c r="P47" s="139"/>
      <c r="Q47" s="134"/>
      <c r="R47" s="139"/>
      <c r="S47" s="139"/>
      <c r="T47" s="138"/>
      <c r="U47" s="144"/>
      <c r="V47" s="1531"/>
      <c r="W47" s="124">
        <f t="shared" si="1"/>
        <v>0</v>
      </c>
      <c r="X47" s="139"/>
      <c r="Y47" s="134"/>
      <c r="Z47" s="139"/>
      <c r="AA47" s="139"/>
      <c r="AB47" s="138"/>
    </row>
    <row r="48" spans="1:28">
      <c r="A48" s="157"/>
      <c r="B48" s="152"/>
      <c r="C48" s="124"/>
      <c r="D48" s="131"/>
      <c r="E48" s="157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9"/>
      <c r="Q48" s="134"/>
      <c r="R48" s="139"/>
      <c r="S48" s="139"/>
      <c r="T48" s="138"/>
      <c r="U48" s="144"/>
      <c r="V48" s="157"/>
      <c r="W48" s="124">
        <f t="shared" si="1"/>
        <v>0</v>
      </c>
      <c r="X48" s="139"/>
      <c r="Y48" s="134"/>
      <c r="Z48" s="139"/>
      <c r="AA48" s="139"/>
      <c r="AB48" s="138"/>
    </row>
    <row r="49" spans="1:28">
      <c r="A49" s="1530"/>
      <c r="B49" s="152"/>
      <c r="C49" s="124">
        <f t="shared" ref="C49:C54" si="2">D49*E49</f>
        <v>0</v>
      </c>
      <c r="D49" s="131"/>
      <c r="E49" s="157"/>
      <c r="F49" s="124">
        <f t="shared" ref="F49:F54" si="3">D49*E49</f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7"/>
      <c r="W49" s="124">
        <f t="shared" si="1"/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 t="shared" si="2"/>
        <v>0</v>
      </c>
      <c r="D50" s="131"/>
      <c r="E50" s="146"/>
      <c r="F50" s="124">
        <f t="shared" si="3"/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46"/>
      <c r="W50" s="124">
        <f t="shared" si="1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 t="shared" si="2"/>
        <v>0</v>
      </c>
      <c r="D51" s="131"/>
      <c r="E51" s="157"/>
      <c r="F51" s="124">
        <f t="shared" si="3"/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7"/>
      <c r="W51" s="124">
        <f t="shared" si="1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>
        <f t="shared" si="2"/>
        <v>0</v>
      </c>
      <c r="D52" s="131"/>
      <c r="E52" s="146"/>
      <c r="F52" s="124">
        <f t="shared" si="3"/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46"/>
      <c r="W52" s="124">
        <f t="shared" si="1"/>
        <v>0</v>
      </c>
      <c r="X52" s="139"/>
      <c r="Y52" s="134"/>
      <c r="Z52" s="139"/>
      <c r="AA52" s="139"/>
      <c r="AB52" s="138"/>
    </row>
    <row r="53" spans="1:28">
      <c r="A53" s="157"/>
      <c r="B53" s="152"/>
      <c r="C53" s="124">
        <f t="shared" si="2"/>
        <v>0</v>
      </c>
      <c r="D53" s="131"/>
      <c r="E53" s="157"/>
      <c r="F53" s="124">
        <f t="shared" si="3"/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</row>
    <row r="54" spans="1:28">
      <c r="A54" s="157"/>
      <c r="B54" s="158"/>
      <c r="C54" s="124">
        <f t="shared" si="2"/>
        <v>0</v>
      </c>
      <c r="D54" s="131"/>
      <c r="E54" s="132"/>
      <c r="F54" s="124">
        <f t="shared" si="3"/>
        <v>0</v>
      </c>
      <c r="G54" s="134"/>
      <c r="H54" s="134"/>
      <c r="I54" s="134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32"/>
      <c r="W54" s="124">
        <f t="shared" si="1"/>
        <v>0</v>
      </c>
      <c r="X54" s="139"/>
      <c r="Y54" s="134"/>
      <c r="Z54" s="139"/>
      <c r="AA54" s="139"/>
      <c r="AB54" s="138"/>
    </row>
    <row r="55" spans="1:28">
      <c r="A55" s="159"/>
      <c r="B55" s="160" t="s">
        <v>17</v>
      </c>
      <c r="C55" s="1535">
        <f>SUM(C15:C54)</f>
        <v>1153320</v>
      </c>
      <c r="D55" s="1536"/>
      <c r="E55" s="1536"/>
      <c r="F55" s="1536">
        <f>SUM(F15:F54)</f>
        <v>1153320</v>
      </c>
      <c r="G55" s="1536">
        <f t="shared" ref="G55:N55" si="4">SUM(G16:G54)</f>
        <v>0</v>
      </c>
      <c r="H55" s="1536">
        <f t="shared" si="4"/>
        <v>0</v>
      </c>
      <c r="I55" s="1536">
        <f t="shared" si="4"/>
        <v>0</v>
      </c>
      <c r="J55" s="1536">
        <f t="shared" si="4"/>
        <v>0</v>
      </c>
      <c r="K55" s="1536">
        <f t="shared" si="4"/>
        <v>0</v>
      </c>
      <c r="L55" s="1536">
        <f>SUM(L15:L54)</f>
        <v>231880</v>
      </c>
      <c r="M55" s="1536">
        <f t="shared" si="4"/>
        <v>0</v>
      </c>
      <c r="N55" s="1536">
        <f t="shared" si="4"/>
        <v>0</v>
      </c>
      <c r="O55" s="1536">
        <f>SUM(O14:O54)</f>
        <v>0</v>
      </c>
      <c r="P55" s="1536">
        <f>SUM(P14:P54)</f>
        <v>0</v>
      </c>
      <c r="Q55" s="1536">
        <f>SUM(Q14:Q54)</f>
        <v>0</v>
      </c>
      <c r="R55" s="1536">
        <f>SUM(R14:R54)</f>
        <v>0</v>
      </c>
      <c r="S55" s="1536">
        <f>SUM(S16:S54)</f>
        <v>0</v>
      </c>
      <c r="T55" s="1537">
        <f>W55-L55</f>
        <v>80000</v>
      </c>
      <c r="U55" s="1536"/>
      <c r="V55" s="1536"/>
      <c r="W55" s="1536">
        <f>SUM(W14:W54)</f>
        <v>311880</v>
      </c>
      <c r="X55" s="1536">
        <f>SUM(X16:X54)</f>
        <v>0</v>
      </c>
      <c r="Y55" s="1536">
        <f>SUM(Y16:Y54)</f>
        <v>0</v>
      </c>
      <c r="Z55" s="1536">
        <f>SUM(Z16:Z54)</f>
        <v>0</v>
      </c>
      <c r="AA55" s="1536">
        <v>0</v>
      </c>
      <c r="AB55" s="1536">
        <f>SUM(AB16:AB54)</f>
        <v>0</v>
      </c>
    </row>
    <row r="56" spans="1:28">
      <c r="A56" s="161"/>
      <c r="B56" s="162"/>
      <c r="F56" s="163"/>
      <c r="G56" s="163"/>
      <c r="H56" s="163"/>
      <c r="I56" s="163"/>
      <c r="J56" s="163"/>
      <c r="K56" s="163"/>
      <c r="L56" s="163"/>
      <c r="M56" s="163"/>
      <c r="N56" s="163"/>
      <c r="P56" s="163"/>
      <c r="Q56" s="67"/>
      <c r="R56" s="67"/>
      <c r="W56" s="163"/>
    </row>
    <row r="57" spans="1:28">
      <c r="A57" s="164"/>
      <c r="B57" s="162"/>
      <c r="F57" s="163"/>
      <c r="G57" s="163"/>
      <c r="H57" s="163"/>
      <c r="I57" s="163"/>
      <c r="J57" s="163"/>
      <c r="K57" s="163"/>
      <c r="L57" s="163"/>
      <c r="M57" s="163"/>
      <c r="N57" s="163"/>
      <c r="P57" s="163"/>
      <c r="Q57" s="67"/>
      <c r="R57" s="67"/>
      <c r="W57" s="163"/>
    </row>
    <row r="58" spans="1:28">
      <c r="F58" s="163"/>
      <c r="R58" s="67"/>
      <c r="W58" s="163"/>
    </row>
    <row r="59" spans="1:28">
      <c r="F59" s="163"/>
      <c r="R59" s="67"/>
      <c r="W59" s="163"/>
    </row>
    <row r="60" spans="1:28">
      <c r="R60" s="67"/>
    </row>
    <row r="61" spans="1:28">
      <c r="A61" s="67" t="s">
        <v>59</v>
      </c>
      <c r="F61" s="163"/>
      <c r="W61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7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C65"/>
  <sheetViews>
    <sheetView showGridLines="0" showZeros="0" view="pageBreakPreview" zoomScaleNormal="100" workbookViewId="0">
      <selection activeCell="D17" sqref="D17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5">
        <v>42369</v>
      </c>
      <c r="F1" s="239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788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297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201501292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789</v>
      </c>
      <c r="B6" s="74"/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 ht="33.75">
      <c r="A15" s="1530">
        <v>1</v>
      </c>
      <c r="B15" s="152" t="s">
        <v>790</v>
      </c>
      <c r="C15" s="124">
        <f>D15*E15</f>
        <v>198900</v>
      </c>
      <c r="D15" s="131">
        <f>165750*1.2</f>
        <v>198900</v>
      </c>
      <c r="E15" s="132">
        <v>1</v>
      </c>
      <c r="F15" s="124">
        <f>D15*E15</f>
        <v>198900</v>
      </c>
      <c r="G15" s="103"/>
      <c r="H15" s="103"/>
      <c r="I15" s="103">
        <f>+U15</f>
        <v>198900</v>
      </c>
      <c r="J15" s="103">
        <v>0</v>
      </c>
      <c r="K15" s="103"/>
      <c r="L15" s="103">
        <f>+I15-J15+K15</f>
        <v>198900</v>
      </c>
      <c r="M15" s="103"/>
      <c r="N15" s="103"/>
      <c r="O15" s="105"/>
      <c r="P15" s="103"/>
      <c r="Q15" s="105"/>
      <c r="R15" s="105"/>
      <c r="S15" s="123"/>
      <c r="T15" s="106"/>
      <c r="U15" s="131">
        <f>165750*1.2</f>
        <v>198900</v>
      </c>
      <c r="V15" s="132">
        <v>1</v>
      </c>
      <c r="W15" s="124">
        <f>U15*V15</f>
        <v>198900</v>
      </c>
      <c r="X15" s="103"/>
      <c r="Y15" s="103"/>
      <c r="Z15" s="103"/>
      <c r="AA15" s="105"/>
      <c r="AB15" s="106"/>
    </row>
    <row r="16" spans="1:81">
      <c r="A16" s="1534"/>
      <c r="B16" s="2387"/>
      <c r="C16" s="124"/>
      <c r="D16" s="131"/>
      <c r="E16" s="132"/>
      <c r="F16" s="124"/>
      <c r="G16" s="133"/>
      <c r="H16" s="133"/>
      <c r="I16" s="133"/>
      <c r="J16" s="133"/>
      <c r="K16" s="133"/>
      <c r="L16" s="133">
        <f>+I16-J16+K16</f>
        <v>0</v>
      </c>
      <c r="M16" s="133"/>
      <c r="N16" s="133"/>
      <c r="O16" s="133"/>
      <c r="P16" s="134"/>
      <c r="Q16" s="133"/>
      <c r="R16" s="135"/>
      <c r="S16" s="135"/>
      <c r="T16" s="137"/>
      <c r="U16" s="131"/>
      <c r="V16" s="132"/>
      <c r="W16" s="124"/>
      <c r="X16" s="133">
        <v>0</v>
      </c>
      <c r="Y16" s="133"/>
      <c r="Z16" s="134"/>
      <c r="AA16" s="135"/>
      <c r="AB16" s="137"/>
    </row>
    <row r="17" spans="1:28">
      <c r="A17" s="2314"/>
      <c r="B17" s="1645"/>
      <c r="C17" s="124"/>
      <c r="D17" s="131"/>
      <c r="E17" s="132"/>
      <c r="F17" s="124"/>
      <c r="G17" s="139"/>
      <c r="H17" s="139"/>
      <c r="I17" s="139"/>
      <c r="J17" s="139"/>
      <c r="K17" s="133"/>
      <c r="L17" s="133"/>
      <c r="M17" s="139"/>
      <c r="N17" s="134"/>
      <c r="O17" s="139"/>
      <c r="P17" s="140"/>
      <c r="Q17" s="124"/>
      <c r="R17" s="124"/>
      <c r="S17" s="139"/>
      <c r="T17" s="139"/>
      <c r="U17" s="131"/>
      <c r="V17" s="132"/>
      <c r="W17" s="124"/>
      <c r="X17" s="133"/>
      <c r="Y17" s="133"/>
      <c r="Z17" s="140"/>
      <c r="AA17" s="124"/>
      <c r="AB17" s="139"/>
    </row>
    <row r="18" spans="1:28">
      <c r="A18" s="1532"/>
      <c r="B18" s="152"/>
      <c r="C18" s="124"/>
      <c r="D18" s="131"/>
      <c r="E18" s="132"/>
      <c r="F18" s="124"/>
      <c r="G18" s="139"/>
      <c r="H18" s="139"/>
      <c r="I18" s="139"/>
      <c r="J18" s="139"/>
      <c r="K18" s="133"/>
      <c r="L18" s="133"/>
      <c r="M18" s="139"/>
      <c r="N18" s="133"/>
      <c r="O18" s="139"/>
      <c r="P18" s="124"/>
      <c r="Q18" s="124"/>
      <c r="R18" s="124"/>
      <c r="S18" s="139"/>
      <c r="T18" s="139"/>
      <c r="U18" s="131"/>
      <c r="V18" s="132"/>
      <c r="W18" s="124"/>
      <c r="X18" s="133"/>
      <c r="Y18" s="133"/>
      <c r="Z18" s="124"/>
      <c r="AA18" s="143"/>
      <c r="AB18" s="139"/>
    </row>
    <row r="19" spans="1:28">
      <c r="A19" s="1530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9"/>
      <c r="M19" s="139"/>
      <c r="N19" s="133"/>
      <c r="O19" s="139"/>
      <c r="P19" s="124"/>
      <c r="Q19" s="141"/>
      <c r="R19" s="143"/>
      <c r="S19" s="139"/>
      <c r="T19" s="139"/>
      <c r="U19" s="131"/>
      <c r="V19" s="132"/>
      <c r="W19" s="124"/>
      <c r="X19" s="139"/>
      <c r="Y19" s="133"/>
      <c r="Z19" s="124"/>
      <c r="AA19" s="143"/>
      <c r="AB19" s="139"/>
    </row>
    <row r="20" spans="1:28">
      <c r="A20" s="1532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</row>
    <row r="21" spans="1:28">
      <c r="A21" s="2388"/>
      <c r="B21" s="145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43"/>
      <c r="Q21" s="141"/>
      <c r="R21" s="143"/>
      <c r="S21" s="139"/>
      <c r="T21" s="139"/>
      <c r="U21" s="131"/>
      <c r="V21" s="132"/>
      <c r="W21" s="124"/>
      <c r="X21" s="139"/>
      <c r="Y21" s="133"/>
      <c r="Z21" s="143"/>
      <c r="AA21" s="143"/>
      <c r="AB21" s="139"/>
    </row>
    <row r="22" spans="1:28">
      <c r="B22" s="798"/>
      <c r="D22" s="190"/>
      <c r="F22" s="798"/>
      <c r="G22" s="139"/>
      <c r="H22" s="139"/>
      <c r="I22" s="139"/>
      <c r="J22" s="139"/>
      <c r="K22" s="133"/>
      <c r="L22" s="139"/>
      <c r="M22" s="139"/>
      <c r="N22" s="133"/>
      <c r="O22" s="139"/>
      <c r="P22" s="139"/>
      <c r="Q22" s="149"/>
      <c r="R22" s="134"/>
      <c r="S22" s="139"/>
      <c r="T22" s="139"/>
      <c r="U22" s="131"/>
      <c r="V22" s="132"/>
      <c r="W22" s="124"/>
      <c r="X22" s="139"/>
      <c r="Y22" s="133"/>
      <c r="Z22" s="139"/>
      <c r="AA22" s="134"/>
      <c r="AB22" s="139"/>
    </row>
    <row r="23" spans="1:28">
      <c r="A23" s="1530"/>
      <c r="B23" s="152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9"/>
      <c r="S23" s="139"/>
      <c r="T23" s="139"/>
      <c r="U23" s="131"/>
      <c r="V23" s="132"/>
      <c r="W23" s="124"/>
      <c r="X23" s="139"/>
      <c r="Y23" s="133"/>
      <c r="Z23" s="139"/>
      <c r="AA23" s="139"/>
      <c r="AB23" s="139"/>
    </row>
    <row r="24" spans="1:28">
      <c r="A24" s="1532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53"/>
      <c r="Q24" s="149"/>
      <c r="R24" s="153"/>
      <c r="S24" s="139"/>
      <c r="T24" s="139"/>
      <c r="U24" s="131"/>
      <c r="V24" s="1531"/>
      <c r="W24" s="124"/>
      <c r="X24" s="139"/>
      <c r="Y24" s="133"/>
      <c r="Z24" s="153"/>
      <c r="AA24" s="153"/>
      <c r="AB24" s="139"/>
    </row>
    <row r="25" spans="1:28">
      <c r="A25" s="1532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</row>
    <row r="26" spans="1:28">
      <c r="B26" s="1644"/>
      <c r="C26" s="1644"/>
      <c r="D26" s="1644"/>
      <c r="E26" s="1644"/>
      <c r="F26" s="798"/>
      <c r="G26" s="139"/>
      <c r="H26" s="139"/>
      <c r="I26" s="139"/>
      <c r="J26" s="139"/>
      <c r="K26" s="133"/>
      <c r="L26" s="139"/>
      <c r="M26" s="139"/>
      <c r="N26" s="133"/>
      <c r="O26" s="139"/>
      <c r="P26" s="139"/>
      <c r="Q26" s="149"/>
      <c r="R26" s="139"/>
      <c r="S26" s="139"/>
      <c r="T26" s="139"/>
      <c r="U26" s="131"/>
      <c r="V26" s="132"/>
      <c r="W26" s="124"/>
      <c r="X26" s="139"/>
      <c r="Y26" s="133"/>
      <c r="Z26" s="139"/>
      <c r="AA26" s="139"/>
      <c r="AB26" s="139"/>
    </row>
    <row r="27" spans="1:28">
      <c r="A27" s="1530"/>
      <c r="B27" s="1645"/>
      <c r="C27" s="124"/>
      <c r="D27" s="131"/>
      <c r="E27" s="1531"/>
      <c r="F27" s="124"/>
      <c r="G27" s="139"/>
      <c r="H27" s="139"/>
      <c r="I27" s="139"/>
      <c r="J27" s="139"/>
      <c r="K27" s="133"/>
      <c r="L27" s="1533"/>
      <c r="M27" s="139"/>
      <c r="N27" s="133"/>
      <c r="O27" s="139"/>
      <c r="P27" s="153"/>
      <c r="Q27" s="149"/>
      <c r="R27" s="153"/>
      <c r="S27" s="139"/>
      <c r="T27" s="139"/>
      <c r="U27" s="131"/>
      <c r="V27" s="1531"/>
      <c r="W27" s="124"/>
      <c r="X27" s="1533"/>
      <c r="Y27" s="133"/>
      <c r="Z27" s="153"/>
      <c r="AA27" s="153"/>
      <c r="AB27" s="139"/>
    </row>
    <row r="28" spans="1:28">
      <c r="A28" s="1530"/>
      <c r="B28" s="142"/>
      <c r="C28" s="124"/>
      <c r="D28" s="131"/>
      <c r="E28" s="132"/>
      <c r="F28" s="124"/>
      <c r="G28" s="139"/>
      <c r="H28" s="139"/>
      <c r="I28" s="139"/>
      <c r="J28" s="139"/>
      <c r="K28" s="133"/>
      <c r="L28" s="139"/>
      <c r="M28" s="139"/>
      <c r="N28" s="133"/>
      <c r="O28" s="139"/>
      <c r="P28" s="139"/>
      <c r="Q28" s="155"/>
      <c r="R28" s="139"/>
      <c r="S28" s="139"/>
      <c r="T28" s="139"/>
      <c r="U28" s="131"/>
      <c r="V28" s="132"/>
      <c r="W28" s="124"/>
      <c r="X28" s="139"/>
      <c r="Y28" s="133"/>
      <c r="Z28" s="139"/>
      <c r="AA28" s="139"/>
      <c r="AB28" s="139"/>
    </row>
    <row r="29" spans="1:28">
      <c r="A29" s="1534"/>
      <c r="B29" s="142"/>
      <c r="C29" s="124"/>
      <c r="D29" s="131" t="s">
        <v>87</v>
      </c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53"/>
      <c r="Q29" s="156"/>
      <c r="R29" s="153"/>
      <c r="S29" s="139"/>
      <c r="T29" s="139"/>
      <c r="U29" s="131"/>
      <c r="V29" s="1531"/>
      <c r="W29" s="124"/>
      <c r="X29" s="139"/>
      <c r="Y29" s="133"/>
      <c r="Z29" s="153"/>
      <c r="AA29" s="153"/>
      <c r="AB29" s="139"/>
    </row>
    <row r="30" spans="1:28">
      <c r="A30" s="157"/>
      <c r="B30" s="152"/>
      <c r="C30" s="124"/>
      <c r="D30" s="131"/>
      <c r="E30" s="1531"/>
      <c r="F30" s="124"/>
      <c r="G30" s="139"/>
      <c r="H30" s="139"/>
      <c r="I30" s="139"/>
      <c r="J30" s="139"/>
      <c r="K30" s="133">
        <f>0.5*W30</f>
        <v>0</v>
      </c>
      <c r="L30" s="139"/>
      <c r="M30" s="139"/>
      <c r="N30" s="133"/>
      <c r="O30" s="139"/>
      <c r="P30" s="139"/>
      <c r="Q30" s="156"/>
      <c r="R30" s="139"/>
      <c r="S30" s="139"/>
      <c r="T30" s="139"/>
      <c r="U30" s="144"/>
      <c r="V30" s="1531"/>
      <c r="W30" s="124">
        <f t="shared" ref="W30:W35" si="0">U30*V30</f>
        <v>0</v>
      </c>
      <c r="X30" s="139"/>
      <c r="Y30" s="133"/>
      <c r="Z30" s="139"/>
      <c r="AA30" s="139"/>
      <c r="AB30" s="139">
        <v>0</v>
      </c>
    </row>
    <row r="31" spans="1:28">
      <c r="A31" s="146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3">
        <f>0.5*W31</f>
        <v>0</v>
      </c>
      <c r="L31" s="139"/>
      <c r="M31" s="134"/>
      <c r="N31" s="133"/>
      <c r="O31" s="134"/>
      <c r="P31" s="153"/>
      <c r="Q31" s="156"/>
      <c r="R31" s="153"/>
      <c r="S31" s="139"/>
      <c r="T31" s="138"/>
      <c r="U31" s="144"/>
      <c r="V31" s="1531"/>
      <c r="W31" s="124">
        <f t="shared" si="0"/>
        <v>0</v>
      </c>
      <c r="X31" s="139"/>
      <c r="Y31" s="133"/>
      <c r="Z31" s="153"/>
      <c r="AA31" s="153"/>
      <c r="AB31" s="138"/>
    </row>
    <row r="32" spans="1:28">
      <c r="A32" s="157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34"/>
      <c r="Q32" s="156"/>
      <c r="R32" s="139"/>
      <c r="S32" s="139"/>
      <c r="T32" s="138"/>
      <c r="U32" s="144"/>
      <c r="V32" s="1531"/>
      <c r="W32" s="124">
        <f t="shared" si="0"/>
        <v>0</v>
      </c>
      <c r="X32" s="139"/>
      <c r="Y32" s="133"/>
      <c r="Z32" s="134"/>
      <c r="AA32" s="139"/>
      <c r="AB32" s="138"/>
    </row>
    <row r="33" spans="1:28" ht="9.9499999999999993" customHeigh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0"/>
        <v>0</v>
      </c>
      <c r="X33" s="139"/>
      <c r="Y33" s="133"/>
      <c r="Z33" s="134"/>
      <c r="AA33" s="139"/>
      <c r="AB33" s="138"/>
    </row>
    <row r="34" spans="1:28">
      <c r="A34" s="1530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>
        <f t="shared" si="0"/>
        <v>0</v>
      </c>
      <c r="X34" s="139"/>
      <c r="Y34" s="134"/>
      <c r="Z34" s="134"/>
      <c r="AA34" s="139"/>
      <c r="AB34" s="138"/>
    </row>
    <row r="35" spans="1:28">
      <c r="A35" s="157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0"/>
        <v>0</v>
      </c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</row>
    <row r="46" spans="1:28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</row>
    <row r="47" spans="1:28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</row>
    <row r="48" spans="1:28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</row>
    <row r="49" spans="1:28">
      <c r="A49" s="157"/>
      <c r="B49" s="152"/>
      <c r="C49" s="124">
        <f>D49*E49</f>
        <v>0</v>
      </c>
      <c r="D49" s="131"/>
      <c r="E49" s="1531"/>
      <c r="F49" s="124">
        <f>D49*E49</f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31"/>
      <c r="W49" s="124">
        <f t="shared" ref="W49:W58" si="1">U49*V49</f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si="1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1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/>
      <c r="D52" s="131"/>
      <c r="E52" s="157"/>
      <c r="F52" s="124"/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7"/>
      <c r="W52" s="124">
        <f t="shared" si="1"/>
        <v>0</v>
      </c>
      <c r="X52" s="139"/>
      <c r="Y52" s="134"/>
      <c r="Z52" s="139"/>
      <c r="AA52" s="139"/>
      <c r="AB52" s="138"/>
    </row>
    <row r="53" spans="1:28">
      <c r="A53" s="1530"/>
      <c r="B53" s="152"/>
      <c r="C53" s="124">
        <f t="shared" ref="C53:C58" si="2">D53*E53</f>
        <v>0</v>
      </c>
      <c r="D53" s="131"/>
      <c r="E53" s="157"/>
      <c r="F53" s="124">
        <f t="shared" ref="F53:F58" si="3">D53*E53</f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</row>
    <row r="54" spans="1:28">
      <c r="A54" s="157"/>
      <c r="B54" s="152"/>
      <c r="C54" s="124">
        <f t="shared" si="2"/>
        <v>0</v>
      </c>
      <c r="D54" s="131"/>
      <c r="E54" s="146"/>
      <c r="F54" s="124">
        <f t="shared" si="3"/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46"/>
      <c r="W54" s="124">
        <f t="shared" si="1"/>
        <v>0</v>
      </c>
      <c r="X54" s="139"/>
      <c r="Y54" s="134"/>
      <c r="Z54" s="139"/>
      <c r="AA54" s="139"/>
      <c r="AB54" s="138"/>
    </row>
    <row r="55" spans="1:28">
      <c r="A55" s="157"/>
      <c r="B55" s="152"/>
      <c r="C55" s="124">
        <f t="shared" si="2"/>
        <v>0</v>
      </c>
      <c r="D55" s="131"/>
      <c r="E55" s="157"/>
      <c r="F55" s="124">
        <f t="shared" si="3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57"/>
      <c r="W55" s="124">
        <f t="shared" si="1"/>
        <v>0</v>
      </c>
      <c r="X55" s="139"/>
      <c r="Y55" s="134"/>
      <c r="Z55" s="139"/>
      <c r="AA55" s="139"/>
      <c r="AB55" s="138"/>
    </row>
    <row r="56" spans="1:28">
      <c r="A56" s="157"/>
      <c r="B56" s="152"/>
      <c r="C56" s="124">
        <f t="shared" si="2"/>
        <v>0</v>
      </c>
      <c r="D56" s="131"/>
      <c r="E56" s="146"/>
      <c r="F56" s="124">
        <f t="shared" si="3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46"/>
      <c r="W56" s="124">
        <f t="shared" si="1"/>
        <v>0</v>
      </c>
      <c r="X56" s="139"/>
      <c r="Y56" s="134"/>
      <c r="Z56" s="139"/>
      <c r="AA56" s="139"/>
      <c r="AB56" s="138"/>
    </row>
    <row r="57" spans="1:28">
      <c r="A57" s="157"/>
      <c r="B57" s="152"/>
      <c r="C57" s="124">
        <f t="shared" si="2"/>
        <v>0</v>
      </c>
      <c r="D57" s="131"/>
      <c r="E57" s="157"/>
      <c r="F57" s="124">
        <f t="shared" si="3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57"/>
      <c r="W57" s="124">
        <f t="shared" si="1"/>
        <v>0</v>
      </c>
      <c r="X57" s="139"/>
      <c r="Y57" s="134"/>
      <c r="Z57" s="139"/>
      <c r="AA57" s="139"/>
      <c r="AB57" s="138"/>
    </row>
    <row r="58" spans="1:28">
      <c r="A58" s="157"/>
      <c r="B58" s="158"/>
      <c r="C58" s="124">
        <f t="shared" si="2"/>
        <v>0</v>
      </c>
      <c r="D58" s="131"/>
      <c r="E58" s="132"/>
      <c r="F58" s="124">
        <f t="shared" si="3"/>
        <v>0</v>
      </c>
      <c r="G58" s="134"/>
      <c r="H58" s="134"/>
      <c r="I58" s="134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32"/>
      <c r="W58" s="124">
        <f t="shared" si="1"/>
        <v>0</v>
      </c>
      <c r="X58" s="139"/>
      <c r="Y58" s="134"/>
      <c r="Z58" s="139"/>
      <c r="AA58" s="139"/>
      <c r="AB58" s="138"/>
    </row>
    <row r="59" spans="1:28">
      <c r="A59" s="159"/>
      <c r="B59" s="160" t="s">
        <v>17</v>
      </c>
      <c r="C59" s="1535">
        <f>SUM(C15:C58)</f>
        <v>198900</v>
      </c>
      <c r="D59" s="1536"/>
      <c r="E59" s="1536"/>
      <c r="F59" s="1536">
        <f>SUM(F15:F58)</f>
        <v>198900</v>
      </c>
      <c r="G59" s="1536">
        <f t="shared" ref="G59:N59" si="4">SUM(G16:G58)</f>
        <v>0</v>
      </c>
      <c r="H59" s="1536">
        <f t="shared" si="4"/>
        <v>0</v>
      </c>
      <c r="I59" s="1536">
        <f t="shared" si="4"/>
        <v>0</v>
      </c>
      <c r="J59" s="1536">
        <f t="shared" si="4"/>
        <v>0</v>
      </c>
      <c r="K59" s="1536">
        <f t="shared" si="4"/>
        <v>0</v>
      </c>
      <c r="L59" s="1536">
        <f>SUM(L15:L58)</f>
        <v>198900</v>
      </c>
      <c r="M59" s="1536">
        <f t="shared" si="4"/>
        <v>0</v>
      </c>
      <c r="N59" s="1536">
        <f t="shared" si="4"/>
        <v>0</v>
      </c>
      <c r="O59" s="1536">
        <f>SUM(O14:O58)</f>
        <v>0</v>
      </c>
      <c r="P59" s="1536">
        <f>SUM(P14:P58)</f>
        <v>0</v>
      </c>
      <c r="Q59" s="1536">
        <f>SUM(Q14:Q58)</f>
        <v>0</v>
      </c>
      <c r="R59" s="1536">
        <f>SUM(R14:R58)</f>
        <v>0</v>
      </c>
      <c r="S59" s="1536">
        <f>SUM(S16:S58)</f>
        <v>0</v>
      </c>
      <c r="T59" s="1537">
        <f>W59-L59</f>
        <v>0</v>
      </c>
      <c r="U59" s="1536"/>
      <c r="V59" s="1536"/>
      <c r="W59" s="1536">
        <f>SUM(W14:W58)</f>
        <v>198900</v>
      </c>
      <c r="X59" s="1536">
        <f>SUM(X16:X58)</f>
        <v>0</v>
      </c>
      <c r="Y59" s="1536">
        <f>SUM(Y16:Y58)</f>
        <v>0</v>
      </c>
      <c r="Z59" s="1536">
        <f>SUM(Z16:Z58)</f>
        <v>0</v>
      </c>
      <c r="AA59" s="1536">
        <v>0</v>
      </c>
      <c r="AB59" s="1536">
        <f>SUM(AB16:AB58)</f>
        <v>0</v>
      </c>
    </row>
    <row r="60" spans="1:28">
      <c r="A60" s="161"/>
      <c r="B60" s="162"/>
      <c r="F60" s="163"/>
      <c r="G60" s="163"/>
      <c r="H60" s="163"/>
      <c r="I60" s="163"/>
      <c r="J60" s="163"/>
      <c r="K60" s="163"/>
      <c r="L60" s="163"/>
      <c r="M60" s="163"/>
      <c r="N60" s="163"/>
      <c r="P60" s="163"/>
      <c r="Q60" s="67"/>
      <c r="R60" s="67"/>
      <c r="W60" s="163"/>
    </row>
    <row r="61" spans="1:28">
      <c r="A61" s="164"/>
      <c r="B61" s="162"/>
      <c r="F61" s="163"/>
      <c r="G61" s="163"/>
      <c r="H61" s="163"/>
      <c r="I61" s="163"/>
      <c r="J61" s="163"/>
      <c r="K61" s="163"/>
      <c r="L61" s="163"/>
      <c r="M61" s="163"/>
      <c r="N61" s="163"/>
      <c r="P61" s="163"/>
      <c r="Q61" s="67"/>
      <c r="R61" s="67"/>
      <c r="W61" s="163"/>
    </row>
    <row r="62" spans="1:28">
      <c r="F62" s="163"/>
      <c r="R62" s="67"/>
      <c r="W62" s="163"/>
    </row>
    <row r="63" spans="1:28">
      <c r="F63" s="163"/>
      <c r="R63" s="67"/>
      <c r="W63" s="163"/>
    </row>
    <row r="64" spans="1:28">
      <c r="R64" s="67"/>
    </row>
    <row r="65" spans="1:23">
      <c r="A65" s="67" t="s">
        <v>59</v>
      </c>
      <c r="F65" s="163"/>
      <c r="W65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6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C65"/>
  <sheetViews>
    <sheetView showGridLines="0" showZeros="0" view="pageBreakPreview" topLeftCell="A43" zoomScaleNormal="100" workbookViewId="0">
      <selection activeCell="F66" sqref="F66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5">
        <v>42369</v>
      </c>
      <c r="F1" s="239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791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792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201501266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789</v>
      </c>
      <c r="B6" s="74"/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 ht="22.5">
      <c r="A15" s="1530">
        <v>1</v>
      </c>
      <c r="B15" s="152" t="s">
        <v>793</v>
      </c>
      <c r="C15" s="124">
        <f>D15*E15</f>
        <v>86400</v>
      </c>
      <c r="D15" s="131">
        <f>(80000-8000)*1.2</f>
        <v>86400</v>
      </c>
      <c r="E15" s="132">
        <v>1</v>
      </c>
      <c r="F15" s="124">
        <f>D15*E15</f>
        <v>86400</v>
      </c>
      <c r="G15" s="103"/>
      <c r="H15" s="103"/>
      <c r="I15" s="103">
        <f>+W15</f>
        <v>86400</v>
      </c>
      <c r="J15" s="103"/>
      <c r="K15" s="103"/>
      <c r="L15" s="103">
        <f>+I15-J15+K15</f>
        <v>86400</v>
      </c>
      <c r="M15" s="103"/>
      <c r="N15" s="103"/>
      <c r="O15" s="105"/>
      <c r="P15" s="103"/>
      <c r="Q15" s="105"/>
      <c r="R15" s="105"/>
      <c r="S15" s="123"/>
      <c r="T15" s="106"/>
      <c r="U15" s="131">
        <f>(80000-8000)*1.2</f>
        <v>86400</v>
      </c>
      <c r="V15" s="132">
        <v>1</v>
      </c>
      <c r="W15" s="124">
        <f>U15*V15</f>
        <v>86400</v>
      </c>
      <c r="X15" s="103"/>
      <c r="Y15" s="103"/>
      <c r="Z15" s="103"/>
      <c r="AA15" s="105"/>
      <c r="AB15" s="106"/>
    </row>
    <row r="16" spans="1:81">
      <c r="A16" s="1534"/>
      <c r="B16" s="2387"/>
      <c r="C16" s="124"/>
      <c r="D16" s="131"/>
      <c r="E16" s="132"/>
      <c r="F16" s="124"/>
      <c r="G16" s="133"/>
      <c r="H16" s="133"/>
      <c r="I16" s="103">
        <f t="shared" ref="I16:I17" si="0">+W16</f>
        <v>0</v>
      </c>
      <c r="J16" s="133"/>
      <c r="K16" s="133"/>
      <c r="L16" s="103">
        <f t="shared" ref="L16:L17" si="1">+I16-J16+K16</f>
        <v>0</v>
      </c>
      <c r="M16" s="133"/>
      <c r="N16" s="133"/>
      <c r="O16" s="133"/>
      <c r="P16" s="134"/>
      <c r="Q16" s="133"/>
      <c r="R16" s="135"/>
      <c r="S16" s="135"/>
      <c r="T16" s="137"/>
      <c r="U16" s="131"/>
      <c r="V16" s="132"/>
      <c r="W16" s="124"/>
      <c r="X16" s="133">
        <v>0</v>
      </c>
      <c r="Y16" s="133"/>
      <c r="Z16" s="134"/>
      <c r="AA16" s="135"/>
      <c r="AB16" s="137"/>
    </row>
    <row r="17" spans="1:28" ht="22.5">
      <c r="A17" s="2314">
        <v>2</v>
      </c>
      <c r="B17" s="1645" t="s">
        <v>794</v>
      </c>
      <c r="C17" s="124">
        <f>D17*E17</f>
        <v>129600</v>
      </c>
      <c r="D17" s="131">
        <f>(120000-12000)*1.2</f>
        <v>129600</v>
      </c>
      <c r="E17" s="132">
        <v>1</v>
      </c>
      <c r="F17" s="124">
        <f>D17*E17</f>
        <v>129600</v>
      </c>
      <c r="G17" s="139"/>
      <c r="H17" s="139"/>
      <c r="I17" s="103">
        <f t="shared" si="0"/>
        <v>129600</v>
      </c>
      <c r="J17" s="139"/>
      <c r="K17" s="133"/>
      <c r="L17" s="103">
        <f t="shared" si="1"/>
        <v>129600</v>
      </c>
      <c r="M17" s="139"/>
      <c r="N17" s="134"/>
      <c r="O17" s="139"/>
      <c r="P17" s="140"/>
      <c r="Q17" s="124"/>
      <c r="R17" s="124"/>
      <c r="S17" s="139"/>
      <c r="T17" s="139"/>
      <c r="U17" s="131">
        <f>(120000-12000)*1.2</f>
        <v>129600</v>
      </c>
      <c r="V17" s="132">
        <v>1</v>
      </c>
      <c r="W17" s="124">
        <f>U17*V17</f>
        <v>129600</v>
      </c>
      <c r="X17" s="133"/>
      <c r="Y17" s="133"/>
      <c r="Z17" s="140"/>
      <c r="AA17" s="124"/>
      <c r="AB17" s="139"/>
    </row>
    <row r="18" spans="1:28">
      <c r="A18" s="1532"/>
      <c r="B18" s="152"/>
      <c r="D18" s="798"/>
      <c r="F18" s="798"/>
      <c r="G18" s="139"/>
      <c r="H18" s="139"/>
      <c r="I18" s="139"/>
      <c r="J18" s="139"/>
      <c r="K18" s="133"/>
      <c r="L18" s="133"/>
      <c r="M18" s="139"/>
      <c r="N18" s="133"/>
      <c r="O18" s="139"/>
      <c r="P18" s="124"/>
      <c r="Q18" s="124"/>
      <c r="R18" s="124"/>
      <c r="S18" s="139"/>
      <c r="T18" s="139"/>
      <c r="U18" s="131"/>
      <c r="V18" s="132"/>
      <c r="W18" s="124"/>
      <c r="X18" s="133"/>
      <c r="Y18" s="133"/>
      <c r="Z18" s="124"/>
      <c r="AA18" s="143"/>
      <c r="AB18" s="139"/>
    </row>
    <row r="19" spans="1:28">
      <c r="A19" s="1530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9"/>
      <c r="M19" s="139"/>
      <c r="N19" s="133"/>
      <c r="O19" s="139"/>
      <c r="P19" s="124"/>
      <c r="Q19" s="141"/>
      <c r="R19" s="143"/>
      <c r="S19" s="139"/>
      <c r="T19" s="139"/>
      <c r="U19" s="131"/>
      <c r="V19" s="132"/>
      <c r="W19" s="124"/>
      <c r="X19" s="139"/>
      <c r="Y19" s="133"/>
      <c r="Z19" s="124"/>
      <c r="AA19" s="143"/>
      <c r="AB19" s="139"/>
    </row>
    <row r="20" spans="1:28">
      <c r="A20" s="1532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</row>
    <row r="21" spans="1:28">
      <c r="A21" s="2388"/>
      <c r="B21" s="145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43"/>
      <c r="Q21" s="141"/>
      <c r="R21" s="143"/>
      <c r="S21" s="139"/>
      <c r="T21" s="139"/>
      <c r="U21" s="131"/>
      <c r="V21" s="132"/>
      <c r="W21" s="124"/>
      <c r="X21" s="139"/>
      <c r="Y21" s="133"/>
      <c r="Z21" s="143"/>
      <c r="AA21" s="143"/>
      <c r="AB21" s="139"/>
    </row>
    <row r="22" spans="1:28">
      <c r="B22" s="798"/>
      <c r="D22" s="190"/>
      <c r="F22" s="798"/>
      <c r="G22" s="139"/>
      <c r="H22" s="139"/>
      <c r="I22" s="139"/>
      <c r="J22" s="139"/>
      <c r="K22" s="133"/>
      <c r="L22" s="139"/>
      <c r="M22" s="139"/>
      <c r="N22" s="133"/>
      <c r="O22" s="139"/>
      <c r="P22" s="139"/>
      <c r="Q22" s="149"/>
      <c r="R22" s="134"/>
      <c r="S22" s="139"/>
      <c r="T22" s="139"/>
      <c r="U22" s="131"/>
      <c r="V22" s="132"/>
      <c r="W22" s="124"/>
      <c r="X22" s="139"/>
      <c r="Y22" s="133"/>
      <c r="Z22" s="139"/>
      <c r="AA22" s="134"/>
      <c r="AB22" s="139"/>
    </row>
    <row r="23" spans="1:28">
      <c r="A23" s="1530"/>
      <c r="B23" s="152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9"/>
      <c r="S23" s="139"/>
      <c r="T23" s="139"/>
      <c r="U23" s="131"/>
      <c r="V23" s="132"/>
      <c r="W23" s="124"/>
      <c r="X23" s="139"/>
      <c r="Y23" s="133"/>
      <c r="Z23" s="139"/>
      <c r="AA23" s="139"/>
      <c r="AB23" s="139"/>
    </row>
    <row r="24" spans="1:28">
      <c r="A24" s="1532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53"/>
      <c r="Q24" s="149"/>
      <c r="R24" s="153"/>
      <c r="S24" s="139"/>
      <c r="T24" s="139"/>
      <c r="U24" s="131"/>
      <c r="V24" s="1531"/>
      <c r="W24" s="124"/>
      <c r="X24" s="139"/>
      <c r="Y24" s="133"/>
      <c r="Z24" s="153"/>
      <c r="AA24" s="153"/>
      <c r="AB24" s="139"/>
    </row>
    <row r="25" spans="1:28">
      <c r="A25" s="1532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</row>
    <row r="26" spans="1:28">
      <c r="B26" s="1644"/>
      <c r="C26" s="1644"/>
      <c r="D26" s="1644"/>
      <c r="E26" s="1644"/>
      <c r="F26" s="798"/>
      <c r="G26" s="139"/>
      <c r="H26" s="139"/>
      <c r="I26" s="139"/>
      <c r="J26" s="139"/>
      <c r="K26" s="133"/>
      <c r="L26" s="139"/>
      <c r="M26" s="139"/>
      <c r="N26" s="133"/>
      <c r="O26" s="139"/>
      <c r="P26" s="139"/>
      <c r="Q26" s="149"/>
      <c r="R26" s="139"/>
      <c r="S26" s="139"/>
      <c r="T26" s="139"/>
      <c r="U26" s="131"/>
      <c r="V26" s="132"/>
      <c r="W26" s="124"/>
      <c r="X26" s="139"/>
      <c r="Y26" s="133"/>
      <c r="Z26" s="139"/>
      <c r="AA26" s="139"/>
      <c r="AB26" s="139"/>
    </row>
    <row r="27" spans="1:28">
      <c r="A27" s="1530"/>
      <c r="B27" s="1645"/>
      <c r="C27" s="124"/>
      <c r="D27" s="131"/>
      <c r="E27" s="1531"/>
      <c r="F27" s="124"/>
      <c r="G27" s="139"/>
      <c r="H27" s="139"/>
      <c r="I27" s="139"/>
      <c r="J27" s="139"/>
      <c r="K27" s="133"/>
      <c r="L27" s="1533"/>
      <c r="M27" s="139"/>
      <c r="N27" s="133"/>
      <c r="O27" s="139"/>
      <c r="P27" s="153"/>
      <c r="Q27" s="149"/>
      <c r="R27" s="153"/>
      <c r="S27" s="139"/>
      <c r="T27" s="139"/>
      <c r="U27" s="131"/>
      <c r="V27" s="1531"/>
      <c r="W27" s="124"/>
      <c r="X27" s="1533"/>
      <c r="Y27" s="133"/>
      <c r="Z27" s="153"/>
      <c r="AA27" s="153"/>
      <c r="AB27" s="139"/>
    </row>
    <row r="28" spans="1:28">
      <c r="A28" s="1530"/>
      <c r="B28" s="142"/>
      <c r="C28" s="124"/>
      <c r="D28" s="131"/>
      <c r="E28" s="132"/>
      <c r="F28" s="124"/>
      <c r="G28" s="139"/>
      <c r="H28" s="139"/>
      <c r="I28" s="139"/>
      <c r="J28" s="139"/>
      <c r="K28" s="133"/>
      <c r="L28" s="139"/>
      <c r="M28" s="139"/>
      <c r="N28" s="133"/>
      <c r="O28" s="139"/>
      <c r="P28" s="139"/>
      <c r="Q28" s="155"/>
      <c r="R28" s="139"/>
      <c r="S28" s="139"/>
      <c r="T28" s="139"/>
      <c r="U28" s="131"/>
      <c r="V28" s="132"/>
      <c r="W28" s="124"/>
      <c r="X28" s="139"/>
      <c r="Y28" s="133"/>
      <c r="Z28" s="139"/>
      <c r="AA28" s="139"/>
      <c r="AB28" s="139"/>
    </row>
    <row r="29" spans="1:28">
      <c r="A29" s="1534"/>
      <c r="B29" s="142"/>
      <c r="C29" s="124"/>
      <c r="D29" s="131" t="s">
        <v>87</v>
      </c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53"/>
      <c r="Q29" s="156"/>
      <c r="R29" s="153"/>
      <c r="S29" s="139"/>
      <c r="T29" s="139"/>
      <c r="U29" s="131"/>
      <c r="V29" s="1531"/>
      <c r="W29" s="124"/>
      <c r="X29" s="139"/>
      <c r="Y29" s="133"/>
      <c r="Z29" s="153"/>
      <c r="AA29" s="153"/>
      <c r="AB29" s="139"/>
    </row>
    <row r="30" spans="1:28">
      <c r="A30" s="157"/>
      <c r="B30" s="152"/>
      <c r="C30" s="124"/>
      <c r="D30" s="131"/>
      <c r="E30" s="1531"/>
      <c r="F30" s="124"/>
      <c r="G30" s="139"/>
      <c r="H30" s="139"/>
      <c r="I30" s="139"/>
      <c r="J30" s="139"/>
      <c r="K30" s="133">
        <f>0.5*W30</f>
        <v>0</v>
      </c>
      <c r="L30" s="139"/>
      <c r="M30" s="139"/>
      <c r="N30" s="133"/>
      <c r="O30" s="139"/>
      <c r="P30" s="139"/>
      <c r="Q30" s="156"/>
      <c r="R30" s="139"/>
      <c r="S30" s="139"/>
      <c r="T30" s="139"/>
      <c r="U30" s="144"/>
      <c r="V30" s="1531"/>
      <c r="W30" s="124">
        <f t="shared" ref="W30:W35" si="2">U30*V30</f>
        <v>0</v>
      </c>
      <c r="X30" s="139"/>
      <c r="Y30" s="133"/>
      <c r="Z30" s="139"/>
      <c r="AA30" s="139"/>
      <c r="AB30" s="139">
        <v>0</v>
      </c>
    </row>
    <row r="31" spans="1:28">
      <c r="A31" s="146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3">
        <f>0.5*W31</f>
        <v>0</v>
      </c>
      <c r="L31" s="139"/>
      <c r="M31" s="134"/>
      <c r="N31" s="133"/>
      <c r="O31" s="134"/>
      <c r="P31" s="153"/>
      <c r="Q31" s="156"/>
      <c r="R31" s="153"/>
      <c r="S31" s="139"/>
      <c r="T31" s="138"/>
      <c r="U31" s="144"/>
      <c r="V31" s="1531"/>
      <c r="W31" s="124">
        <f t="shared" si="2"/>
        <v>0</v>
      </c>
      <c r="X31" s="139"/>
      <c r="Y31" s="133"/>
      <c r="Z31" s="153"/>
      <c r="AA31" s="153"/>
      <c r="AB31" s="138"/>
    </row>
    <row r="32" spans="1:28">
      <c r="A32" s="157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34"/>
      <c r="Q32" s="156"/>
      <c r="R32" s="139"/>
      <c r="S32" s="139"/>
      <c r="T32" s="138"/>
      <c r="U32" s="144"/>
      <c r="V32" s="1531"/>
      <c r="W32" s="124">
        <f t="shared" si="2"/>
        <v>0</v>
      </c>
      <c r="X32" s="139"/>
      <c r="Y32" s="133"/>
      <c r="Z32" s="134"/>
      <c r="AA32" s="139"/>
      <c r="AB32" s="138"/>
    </row>
    <row r="33" spans="1:28" ht="9.9499999999999993" customHeigh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2"/>
        <v>0</v>
      </c>
      <c r="X33" s="139"/>
      <c r="Y33" s="133"/>
      <c r="Z33" s="134"/>
      <c r="AA33" s="139"/>
      <c r="AB33" s="138"/>
    </row>
    <row r="34" spans="1:28">
      <c r="A34" s="1530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>
        <f t="shared" si="2"/>
        <v>0</v>
      </c>
      <c r="X34" s="139"/>
      <c r="Y34" s="134"/>
      <c r="Z34" s="134"/>
      <c r="AA34" s="139"/>
      <c r="AB34" s="138"/>
    </row>
    <row r="35" spans="1:28">
      <c r="A35" s="157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2"/>
        <v>0</v>
      </c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</row>
    <row r="46" spans="1:28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</row>
    <row r="47" spans="1:28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</row>
    <row r="48" spans="1:28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</row>
    <row r="49" spans="1:28">
      <c r="A49" s="157"/>
      <c r="B49" s="152"/>
      <c r="C49" s="124">
        <f>D49*E49</f>
        <v>0</v>
      </c>
      <c r="D49" s="131"/>
      <c r="E49" s="1531"/>
      <c r="F49" s="124">
        <f>D49*E49</f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31"/>
      <c r="W49" s="124">
        <f t="shared" ref="W49:W58" si="3">U49*V49</f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si="3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3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/>
      <c r="D52" s="131"/>
      <c r="E52" s="157"/>
      <c r="F52" s="124"/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7"/>
      <c r="W52" s="124">
        <f t="shared" si="3"/>
        <v>0</v>
      </c>
      <c r="X52" s="139"/>
      <c r="Y52" s="134"/>
      <c r="Z52" s="139"/>
      <c r="AA52" s="139"/>
      <c r="AB52" s="138"/>
    </row>
    <row r="53" spans="1:28">
      <c r="A53" s="1530"/>
      <c r="B53" s="152"/>
      <c r="C53" s="124">
        <f t="shared" ref="C53:C58" si="4">D53*E53</f>
        <v>0</v>
      </c>
      <c r="D53" s="131"/>
      <c r="E53" s="157"/>
      <c r="F53" s="124">
        <f t="shared" ref="F53:F58" si="5">D53*E53</f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3"/>
        <v>0</v>
      </c>
      <c r="X53" s="139"/>
      <c r="Y53" s="134"/>
      <c r="Z53" s="139"/>
      <c r="AA53" s="139"/>
      <c r="AB53" s="138"/>
    </row>
    <row r="54" spans="1:28">
      <c r="A54" s="157"/>
      <c r="B54" s="152"/>
      <c r="C54" s="124">
        <f t="shared" si="4"/>
        <v>0</v>
      </c>
      <c r="D54" s="131"/>
      <c r="E54" s="146"/>
      <c r="F54" s="124">
        <f t="shared" si="5"/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46"/>
      <c r="W54" s="124">
        <f t="shared" si="3"/>
        <v>0</v>
      </c>
      <c r="X54" s="139"/>
      <c r="Y54" s="134"/>
      <c r="Z54" s="139"/>
      <c r="AA54" s="139"/>
      <c r="AB54" s="138"/>
    </row>
    <row r="55" spans="1:28">
      <c r="A55" s="157"/>
      <c r="B55" s="152"/>
      <c r="C55" s="124">
        <f t="shared" si="4"/>
        <v>0</v>
      </c>
      <c r="D55" s="131"/>
      <c r="E55" s="157"/>
      <c r="F55" s="124">
        <f t="shared" si="5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57"/>
      <c r="W55" s="124">
        <f t="shared" si="3"/>
        <v>0</v>
      </c>
      <c r="X55" s="139"/>
      <c r="Y55" s="134"/>
      <c r="Z55" s="139"/>
      <c r="AA55" s="139"/>
      <c r="AB55" s="138"/>
    </row>
    <row r="56" spans="1:28">
      <c r="A56" s="157"/>
      <c r="B56" s="152"/>
      <c r="C56" s="124">
        <f t="shared" si="4"/>
        <v>0</v>
      </c>
      <c r="D56" s="131"/>
      <c r="E56" s="146"/>
      <c r="F56" s="124">
        <f t="shared" si="5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46"/>
      <c r="W56" s="124">
        <f t="shared" si="3"/>
        <v>0</v>
      </c>
      <c r="X56" s="139"/>
      <c r="Y56" s="134"/>
      <c r="Z56" s="139"/>
      <c r="AA56" s="139"/>
      <c r="AB56" s="138"/>
    </row>
    <row r="57" spans="1:28">
      <c r="A57" s="157"/>
      <c r="B57" s="152"/>
      <c r="C57" s="124">
        <f t="shared" si="4"/>
        <v>0</v>
      </c>
      <c r="D57" s="131"/>
      <c r="E57" s="157"/>
      <c r="F57" s="124">
        <f t="shared" si="5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57"/>
      <c r="W57" s="124">
        <f t="shared" si="3"/>
        <v>0</v>
      </c>
      <c r="X57" s="139"/>
      <c r="Y57" s="134"/>
      <c r="Z57" s="139"/>
      <c r="AA57" s="139"/>
      <c r="AB57" s="138"/>
    </row>
    <row r="58" spans="1:28">
      <c r="A58" s="157"/>
      <c r="B58" s="158"/>
      <c r="C58" s="124">
        <f t="shared" si="4"/>
        <v>0</v>
      </c>
      <c r="D58" s="131"/>
      <c r="E58" s="132"/>
      <c r="F58" s="124">
        <f t="shared" si="5"/>
        <v>0</v>
      </c>
      <c r="G58" s="134"/>
      <c r="H58" s="134"/>
      <c r="I58" s="134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32"/>
      <c r="W58" s="124">
        <f t="shared" si="3"/>
        <v>0</v>
      </c>
      <c r="X58" s="139"/>
      <c r="Y58" s="134"/>
      <c r="Z58" s="139"/>
      <c r="AA58" s="139"/>
      <c r="AB58" s="138"/>
    </row>
    <row r="59" spans="1:28">
      <c r="A59" s="159"/>
      <c r="B59" s="160" t="s">
        <v>17</v>
      </c>
      <c r="C59" s="1535">
        <f>SUM(C15:C58)</f>
        <v>216000</v>
      </c>
      <c r="D59" s="1536"/>
      <c r="E59" s="1536"/>
      <c r="F59" s="1536">
        <f>SUM(F15:F58)</f>
        <v>216000</v>
      </c>
      <c r="G59" s="1536">
        <f t="shared" ref="G59:N59" si="6">SUM(G16:G58)</f>
        <v>0</v>
      </c>
      <c r="H59" s="1536">
        <f t="shared" si="6"/>
        <v>0</v>
      </c>
      <c r="I59" s="1536">
        <f t="shared" si="6"/>
        <v>129600</v>
      </c>
      <c r="J59" s="1536">
        <f t="shared" si="6"/>
        <v>0</v>
      </c>
      <c r="K59" s="1536">
        <f t="shared" si="6"/>
        <v>0</v>
      </c>
      <c r="L59" s="1536">
        <f>SUM(L15:L58)</f>
        <v>216000</v>
      </c>
      <c r="M59" s="1536">
        <f t="shared" si="6"/>
        <v>0</v>
      </c>
      <c r="N59" s="1536">
        <f t="shared" si="6"/>
        <v>0</v>
      </c>
      <c r="O59" s="1536">
        <f>SUM(O14:O58)</f>
        <v>0</v>
      </c>
      <c r="P59" s="1536">
        <f>SUM(P14:P58)</f>
        <v>0</v>
      </c>
      <c r="Q59" s="1536">
        <f>SUM(Q14:Q58)</f>
        <v>0</v>
      </c>
      <c r="R59" s="1536">
        <f>SUM(R14:R58)</f>
        <v>0</v>
      </c>
      <c r="S59" s="1536">
        <f>SUM(S16:S58)</f>
        <v>0</v>
      </c>
      <c r="T59" s="1537">
        <f>W59-L59</f>
        <v>0</v>
      </c>
      <c r="U59" s="1536"/>
      <c r="V59" s="1536"/>
      <c r="W59" s="1536">
        <f>SUM(W14:W58)</f>
        <v>216000</v>
      </c>
      <c r="X59" s="1536">
        <f>SUM(X16:X58)</f>
        <v>0</v>
      </c>
      <c r="Y59" s="1536">
        <f>SUM(Y16:Y58)</f>
        <v>0</v>
      </c>
      <c r="Z59" s="1536">
        <f>SUM(Z16:Z58)</f>
        <v>0</v>
      </c>
      <c r="AA59" s="1536">
        <v>0</v>
      </c>
      <c r="AB59" s="1536">
        <f>SUM(AB16:AB58)</f>
        <v>0</v>
      </c>
    </row>
    <row r="60" spans="1:28">
      <c r="A60" s="161"/>
      <c r="B60" s="162"/>
      <c r="F60" s="163"/>
      <c r="G60" s="163"/>
      <c r="H60" s="163"/>
      <c r="I60" s="163"/>
      <c r="J60" s="163"/>
      <c r="K60" s="163"/>
      <c r="L60" s="163"/>
      <c r="M60" s="163"/>
      <c r="N60" s="163"/>
      <c r="P60" s="163"/>
      <c r="Q60" s="67"/>
      <c r="R60" s="67"/>
      <c r="W60" s="163"/>
    </row>
    <row r="61" spans="1:28">
      <c r="A61" s="164"/>
      <c r="B61" s="162"/>
      <c r="F61" s="163"/>
      <c r="G61" s="163"/>
      <c r="H61" s="163"/>
      <c r="I61" s="163"/>
      <c r="J61" s="163"/>
      <c r="K61" s="163"/>
      <c r="L61" s="163"/>
      <c r="M61" s="163"/>
      <c r="N61" s="163"/>
      <c r="P61" s="163"/>
      <c r="Q61" s="67"/>
      <c r="R61" s="67"/>
      <c r="W61" s="163"/>
    </row>
    <row r="62" spans="1:28">
      <c r="F62" s="163"/>
      <c r="R62" s="67"/>
      <c r="W62" s="163"/>
    </row>
    <row r="63" spans="1:28">
      <c r="F63" s="163"/>
      <c r="R63" s="67"/>
      <c r="W63" s="163"/>
    </row>
    <row r="64" spans="1:28">
      <c r="R64" s="67"/>
    </row>
    <row r="65" spans="1:23">
      <c r="A65" s="67" t="s">
        <v>59</v>
      </c>
      <c r="F65" s="163"/>
      <c r="W65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5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C66"/>
  <sheetViews>
    <sheetView showGridLines="0" showZeros="0" view="pageBreakPreview" topLeftCell="A34" zoomScaleNormal="100" workbookViewId="0">
      <selection activeCell="L61" sqref="L61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5">
        <v>42004</v>
      </c>
      <c r="F1" s="239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773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774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201500563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775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31/12/2013</v>
      </c>
      <c r="Y8" s="2391" t="str">
        <f>"sous traitance cumulée au 31/12/"&amp;(YEAR($E$1)-1)</f>
        <v>sous traitance cumulée au 31/12/2013</v>
      </c>
      <c r="Z8" s="2391" t="str">
        <f>"Facturation cumulée au 31/12/"&amp;(YEAR($E$1)-1)</f>
        <v>Facturation cumulée au 31/12/2013</v>
      </c>
      <c r="AA8" s="2391" t="str">
        <f>"Encaissement cumulé au 31/12/"&amp;(YEAR($E$1)-1)</f>
        <v>Encaissement cumulé au 31/12/2013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>
        <v>-4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 ht="22.5">
      <c r="A14" s="152"/>
      <c r="B14" s="152" t="s">
        <v>776</v>
      </c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 t="s">
        <v>777</v>
      </c>
      <c r="B15" s="152" t="s">
        <v>778</v>
      </c>
      <c r="C15" s="124">
        <f>D15*E15</f>
        <v>290400</v>
      </c>
      <c r="D15" s="131">
        <f>242000*1.2</f>
        <v>290400</v>
      </c>
      <c r="E15" s="132">
        <v>1</v>
      </c>
      <c r="F15" s="124">
        <f>D15*E15</f>
        <v>290400</v>
      </c>
      <c r="G15" s="103">
        <v>81000</v>
      </c>
      <c r="H15" s="103" t="s">
        <v>104</v>
      </c>
      <c r="I15" s="103">
        <f>+W15</f>
        <v>290400</v>
      </c>
      <c r="J15" s="103">
        <f>0.5*I15</f>
        <v>145200</v>
      </c>
      <c r="K15" s="103"/>
      <c r="L15" s="103">
        <f>I15-J15+K15</f>
        <v>145200</v>
      </c>
      <c r="M15" s="103"/>
      <c r="N15" s="103"/>
      <c r="O15" s="105"/>
      <c r="P15" s="103"/>
      <c r="Q15" s="105"/>
      <c r="R15" s="105"/>
      <c r="S15" s="123"/>
      <c r="T15" s="106"/>
      <c r="U15" s="131">
        <f>242000*1.2</f>
        <v>290400</v>
      </c>
      <c r="V15" s="132">
        <v>1</v>
      </c>
      <c r="W15" s="124">
        <f>U15*V15</f>
        <v>290400</v>
      </c>
      <c r="X15" s="103"/>
      <c r="Y15" s="103"/>
      <c r="Z15" s="103"/>
      <c r="AA15" s="105"/>
      <c r="AB15" s="106"/>
    </row>
    <row r="16" spans="1:81">
      <c r="A16" s="1534" t="s">
        <v>779</v>
      </c>
      <c r="B16" s="152" t="s">
        <v>780</v>
      </c>
      <c r="C16" s="124">
        <f>D16*E16</f>
        <v>295800</v>
      </c>
      <c r="D16" s="131">
        <f>246500*1.2</f>
        <v>295800</v>
      </c>
      <c r="E16" s="132">
        <v>1</v>
      </c>
      <c r="F16" s="124">
        <f>D16*E16</f>
        <v>295800</v>
      </c>
      <c r="G16" s="133"/>
      <c r="H16" s="133"/>
      <c r="I16" s="133"/>
      <c r="J16" s="133"/>
      <c r="K16" s="133"/>
      <c r="L16" s="103">
        <f t="shared" ref="L16:L21" si="0">I16-J16+K16</f>
        <v>0</v>
      </c>
      <c r="M16" s="133"/>
      <c r="N16" s="133"/>
      <c r="O16" s="133"/>
      <c r="P16" s="134"/>
      <c r="Q16" s="133"/>
      <c r="R16" s="135"/>
      <c r="S16" s="135"/>
      <c r="T16" s="137"/>
      <c r="U16" s="131">
        <f>246500*1.2*0.3</f>
        <v>88740</v>
      </c>
      <c r="V16" s="132">
        <v>1</v>
      </c>
      <c r="W16" s="124">
        <f>U16*V16</f>
        <v>88740</v>
      </c>
      <c r="X16" s="133">
        <v>0</v>
      </c>
      <c r="Y16" s="133"/>
      <c r="Z16" s="134"/>
      <c r="AA16" s="135"/>
      <c r="AB16" s="137"/>
    </row>
    <row r="17" spans="1:81" s="68" customFormat="1" ht="22.5">
      <c r="A17" s="2314" t="s">
        <v>781</v>
      </c>
      <c r="B17" s="152" t="s">
        <v>782</v>
      </c>
      <c r="C17" s="124">
        <f>D17*E17</f>
        <v>189000</v>
      </c>
      <c r="D17" s="131">
        <f>157500*1.2</f>
        <v>189000</v>
      </c>
      <c r="E17" s="132">
        <v>1</v>
      </c>
      <c r="F17" s="124">
        <f>D17*E17</f>
        <v>189000</v>
      </c>
      <c r="G17" s="139"/>
      <c r="H17" s="139"/>
      <c r="I17" s="139"/>
      <c r="J17" s="139"/>
      <c r="K17" s="133"/>
      <c r="L17" s="103">
        <f t="shared" si="0"/>
        <v>0</v>
      </c>
      <c r="M17" s="139"/>
      <c r="N17" s="134"/>
      <c r="O17" s="139"/>
      <c r="P17" s="140"/>
      <c r="Q17" s="124"/>
      <c r="R17" s="124"/>
      <c r="S17" s="139"/>
      <c r="T17" s="139"/>
      <c r="U17" s="131">
        <f>157500*1.2</f>
        <v>189000</v>
      </c>
      <c r="V17" s="132">
        <v>1</v>
      </c>
      <c r="W17" s="124">
        <f>U17*V17</f>
        <v>189000</v>
      </c>
      <c r="X17" s="133"/>
      <c r="Y17" s="133"/>
      <c r="Z17" s="140"/>
      <c r="AA17" s="124"/>
      <c r="AB17" s="139"/>
      <c r="AE17" s="384"/>
      <c r="AF17" s="384"/>
      <c r="AG17" s="384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4"/>
      <c r="BV17" s="384"/>
      <c r="BW17" s="384"/>
      <c r="BX17" s="384"/>
      <c r="BY17" s="384"/>
      <c r="BZ17" s="384"/>
      <c r="CA17" s="384"/>
      <c r="CB17" s="384"/>
      <c r="CC17" s="384"/>
    </row>
    <row r="18" spans="1:81" s="68" customFormat="1" ht="22.5">
      <c r="A18" s="2314" t="s">
        <v>783</v>
      </c>
      <c r="B18" s="152" t="s">
        <v>784</v>
      </c>
      <c r="C18" s="124"/>
      <c r="D18" s="131"/>
      <c r="E18" s="132"/>
      <c r="F18" s="124"/>
      <c r="G18" s="139"/>
      <c r="H18" s="139"/>
      <c r="I18" s="139"/>
      <c r="J18" s="139"/>
      <c r="K18" s="133"/>
      <c r="L18" s="103">
        <f t="shared" si="0"/>
        <v>0</v>
      </c>
      <c r="M18" s="139"/>
      <c r="N18" s="134"/>
      <c r="O18" s="139"/>
      <c r="P18" s="140"/>
      <c r="Q18" s="124"/>
      <c r="R18" s="124"/>
      <c r="S18" s="139"/>
      <c r="T18" s="139"/>
      <c r="U18" s="131"/>
      <c r="V18" s="132"/>
      <c r="W18" s="124"/>
      <c r="X18" s="133"/>
      <c r="Y18" s="133"/>
      <c r="Z18" s="140"/>
      <c r="AA18" s="124"/>
      <c r="AB18" s="139"/>
      <c r="AE18" s="384"/>
      <c r="AF18" s="384"/>
      <c r="AG18" s="384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4"/>
      <c r="BI18" s="384"/>
      <c r="BJ18" s="384"/>
      <c r="BK18" s="384"/>
      <c r="BL18" s="384"/>
      <c r="BM18" s="384"/>
      <c r="BN18" s="384"/>
      <c r="BO18" s="384"/>
      <c r="BP18" s="384"/>
      <c r="BQ18" s="384"/>
      <c r="BR18" s="384"/>
      <c r="BS18" s="384"/>
      <c r="BT18" s="384"/>
      <c r="BU18" s="384"/>
      <c r="BV18" s="384"/>
      <c r="BW18" s="384"/>
      <c r="BX18" s="384"/>
      <c r="BY18" s="384"/>
      <c r="BZ18" s="384"/>
      <c r="CA18" s="384"/>
      <c r="CB18" s="384"/>
      <c r="CC18" s="384"/>
    </row>
    <row r="19" spans="1:81" s="68" customFormat="1">
      <c r="A19" s="1532" t="s">
        <v>785</v>
      </c>
      <c r="B19" s="152" t="s">
        <v>778</v>
      </c>
      <c r="C19" s="124">
        <f>D19*E19</f>
        <v>363000</v>
      </c>
      <c r="D19" s="131">
        <f>302500*1.2</f>
        <v>363000</v>
      </c>
      <c r="E19" s="132">
        <v>1</v>
      </c>
      <c r="F19" s="124">
        <f>D19*E19</f>
        <v>363000</v>
      </c>
      <c r="G19" s="139"/>
      <c r="H19" s="139"/>
      <c r="I19" s="103">
        <f>+W19</f>
        <v>363000</v>
      </c>
      <c r="J19" s="103">
        <f>0.5*I19</f>
        <v>181500</v>
      </c>
      <c r="K19" s="133"/>
      <c r="L19" s="103">
        <f t="shared" si="0"/>
        <v>181500</v>
      </c>
      <c r="M19" s="139"/>
      <c r="N19" s="133"/>
      <c r="O19" s="139"/>
      <c r="P19" s="124"/>
      <c r="Q19" s="124"/>
      <c r="R19" s="124"/>
      <c r="S19" s="139"/>
      <c r="T19" s="139"/>
      <c r="U19" s="131">
        <f>302500*1.2</f>
        <v>363000</v>
      </c>
      <c r="V19" s="132">
        <v>1</v>
      </c>
      <c r="W19" s="124">
        <f>U19*V19</f>
        <v>363000</v>
      </c>
      <c r="X19" s="133"/>
      <c r="Y19" s="133"/>
      <c r="Z19" s="124"/>
      <c r="AA19" s="143"/>
      <c r="AB19" s="139"/>
      <c r="AE19" s="384"/>
      <c r="AF19" s="384"/>
      <c r="AG19" s="384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4"/>
      <c r="BC19" s="384"/>
      <c r="BD19" s="384"/>
      <c r="BE19" s="384"/>
      <c r="BF19" s="384"/>
      <c r="BG19" s="384"/>
      <c r="BH19" s="384"/>
      <c r="BI19" s="384"/>
      <c r="BJ19" s="384"/>
      <c r="BK19" s="384"/>
      <c r="BL19" s="384"/>
      <c r="BM19" s="384"/>
      <c r="BN19" s="384"/>
      <c r="BO19" s="384"/>
      <c r="BP19" s="384"/>
      <c r="BQ19" s="384"/>
      <c r="BR19" s="384"/>
      <c r="BS19" s="384"/>
      <c r="BT19" s="384"/>
      <c r="BU19" s="384"/>
      <c r="BV19" s="384"/>
      <c r="BW19" s="384"/>
      <c r="BX19" s="384"/>
      <c r="BY19" s="384"/>
      <c r="BZ19" s="384"/>
      <c r="CA19" s="384"/>
      <c r="CB19" s="384"/>
      <c r="CC19" s="384"/>
    </row>
    <row r="20" spans="1:81" s="68" customFormat="1">
      <c r="A20" s="1530" t="s">
        <v>786</v>
      </c>
      <c r="B20" s="152" t="s">
        <v>780</v>
      </c>
      <c r="C20" s="124">
        <f>D20*E20</f>
        <v>289200</v>
      </c>
      <c r="D20" s="131">
        <f>241000*1.2</f>
        <v>289200</v>
      </c>
      <c r="E20" s="132">
        <v>1</v>
      </c>
      <c r="F20" s="124">
        <f>D20*E20</f>
        <v>289200</v>
      </c>
      <c r="G20" s="139"/>
      <c r="H20" s="139"/>
      <c r="I20" s="139"/>
      <c r="J20" s="139"/>
      <c r="K20" s="133"/>
      <c r="L20" s="103">
        <f t="shared" si="0"/>
        <v>0</v>
      </c>
      <c r="M20" s="139"/>
      <c r="N20" s="133"/>
      <c r="O20" s="139"/>
      <c r="P20" s="124"/>
      <c r="Q20" s="141"/>
      <c r="R20" s="143"/>
      <c r="S20" s="139"/>
      <c r="T20" s="139"/>
      <c r="U20" s="131">
        <f>241000*1.2*0.3</f>
        <v>86760</v>
      </c>
      <c r="V20" s="132">
        <v>1</v>
      </c>
      <c r="W20" s="124">
        <f>U20*V20</f>
        <v>86760</v>
      </c>
      <c r="X20" s="139"/>
      <c r="Y20" s="133"/>
      <c r="Z20" s="124"/>
      <c r="AA20" s="143"/>
      <c r="AB20" s="139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384"/>
      <c r="AU20" s="384"/>
      <c r="AV20" s="384"/>
      <c r="AW20" s="384"/>
      <c r="AX20" s="384"/>
      <c r="AY20" s="384"/>
      <c r="AZ20" s="384"/>
      <c r="BA20" s="384"/>
      <c r="BB20" s="384"/>
      <c r="BC20" s="384"/>
      <c r="BD20" s="384"/>
      <c r="BE20" s="384"/>
      <c r="BF20" s="384"/>
      <c r="BG20" s="384"/>
      <c r="BH20" s="384"/>
      <c r="BI20" s="384"/>
      <c r="BJ20" s="384"/>
      <c r="BK20" s="384"/>
      <c r="BL20" s="384"/>
      <c r="BM20" s="384"/>
      <c r="BN20" s="384"/>
      <c r="BO20" s="384"/>
      <c r="BP20" s="384"/>
      <c r="BQ20" s="384"/>
      <c r="BR20" s="384"/>
      <c r="BS20" s="384"/>
      <c r="BT20" s="384"/>
      <c r="BU20" s="384"/>
      <c r="BV20" s="384"/>
      <c r="BW20" s="384"/>
      <c r="BX20" s="384"/>
      <c r="BY20" s="384"/>
      <c r="BZ20" s="384"/>
      <c r="CA20" s="384"/>
      <c r="CB20" s="384"/>
      <c r="CC20" s="384"/>
    </row>
    <row r="21" spans="1:81" s="68" customFormat="1" ht="22.5">
      <c r="A21" s="1532" t="s">
        <v>787</v>
      </c>
      <c r="B21" s="152" t="s">
        <v>782</v>
      </c>
      <c r="C21" s="124">
        <f>D21*E21</f>
        <v>192600</v>
      </c>
      <c r="D21" s="131">
        <f>160500*1.2</f>
        <v>192600</v>
      </c>
      <c r="E21" s="132">
        <v>1</v>
      </c>
      <c r="F21" s="124">
        <f>D21*E21</f>
        <v>192600</v>
      </c>
      <c r="G21" s="139"/>
      <c r="H21" s="139"/>
      <c r="I21" s="139"/>
      <c r="J21" s="139"/>
      <c r="K21" s="133"/>
      <c r="L21" s="103">
        <f t="shared" si="0"/>
        <v>0</v>
      </c>
      <c r="M21" s="139"/>
      <c r="N21" s="133"/>
      <c r="O21" s="139"/>
      <c r="P21" s="124"/>
      <c r="Q21" s="141"/>
      <c r="R21" s="143"/>
      <c r="S21" s="139"/>
      <c r="T21" s="139"/>
      <c r="U21" s="131">
        <f>160500*1.2</f>
        <v>192600</v>
      </c>
      <c r="V21" s="132">
        <v>1</v>
      </c>
      <c r="W21" s="124">
        <f>U21*V21</f>
        <v>192600</v>
      </c>
      <c r="X21" s="139"/>
      <c r="Y21" s="133"/>
      <c r="Z21" s="124"/>
      <c r="AA21" s="143"/>
      <c r="AB21" s="139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4"/>
      <c r="BC21" s="384"/>
      <c r="BD21" s="384"/>
      <c r="BE21" s="384"/>
      <c r="BF21" s="384"/>
      <c r="BG21" s="384"/>
      <c r="BH21" s="384"/>
      <c r="BI21" s="384"/>
      <c r="BJ21" s="384"/>
      <c r="BK21" s="384"/>
      <c r="BL21" s="384"/>
      <c r="BM21" s="384"/>
      <c r="BN21" s="384"/>
      <c r="BO21" s="384"/>
      <c r="BP21" s="384"/>
      <c r="BQ21" s="384"/>
      <c r="BR21" s="384"/>
      <c r="BS21" s="384"/>
      <c r="BT21" s="384"/>
      <c r="BU21" s="384"/>
      <c r="BV21" s="384"/>
      <c r="BW21" s="384"/>
      <c r="BX21" s="384"/>
      <c r="BY21" s="384"/>
      <c r="BZ21" s="384"/>
      <c r="CA21" s="384"/>
      <c r="CB21" s="384"/>
      <c r="CC21" s="384"/>
    </row>
    <row r="22" spans="1:81" s="68" customFormat="1">
      <c r="A22" s="1532"/>
      <c r="B22" s="145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43"/>
      <c r="Q22" s="141"/>
      <c r="R22" s="143"/>
      <c r="S22" s="139"/>
      <c r="T22" s="139"/>
      <c r="U22" s="131"/>
      <c r="V22" s="132"/>
      <c r="W22" s="124"/>
      <c r="X22" s="139"/>
      <c r="Y22" s="133"/>
      <c r="Z22" s="143"/>
      <c r="AA22" s="143"/>
      <c r="AB22" s="139"/>
      <c r="AE22" s="384"/>
      <c r="AF22" s="384"/>
      <c r="AG22" s="384"/>
      <c r="AH22" s="384"/>
      <c r="AI22" s="384"/>
      <c r="AJ22" s="384"/>
      <c r="AK22" s="384"/>
      <c r="AL22" s="384"/>
      <c r="AM22" s="384"/>
      <c r="AN22" s="384"/>
      <c r="AO22" s="384"/>
      <c r="AP22" s="384"/>
      <c r="AQ22" s="384"/>
      <c r="AR22" s="384"/>
      <c r="AS22" s="384"/>
      <c r="AT22" s="384"/>
      <c r="AU22" s="384"/>
      <c r="AV22" s="384"/>
      <c r="AW22" s="384"/>
      <c r="AX22" s="384"/>
      <c r="AY22" s="384"/>
      <c r="AZ22" s="384"/>
      <c r="BA22" s="384"/>
      <c r="BB22" s="384"/>
      <c r="BC22" s="384"/>
      <c r="BD22" s="384"/>
      <c r="BE22" s="384"/>
      <c r="BF22" s="384"/>
      <c r="BG22" s="384"/>
      <c r="BH22" s="384"/>
      <c r="BI22" s="384"/>
      <c r="BJ22" s="384"/>
      <c r="BK22" s="384"/>
      <c r="BL22" s="384"/>
      <c r="BM22" s="384"/>
      <c r="BN22" s="384"/>
      <c r="BO22" s="384"/>
      <c r="BP22" s="384"/>
      <c r="BQ22" s="384"/>
      <c r="BR22" s="384"/>
      <c r="BS22" s="384"/>
      <c r="BT22" s="384"/>
      <c r="BU22" s="384"/>
      <c r="BV22" s="384"/>
      <c r="BW22" s="384"/>
      <c r="BX22" s="384"/>
      <c r="BY22" s="384"/>
      <c r="BZ22" s="384"/>
      <c r="CA22" s="384"/>
      <c r="CB22" s="384"/>
      <c r="CC22" s="384"/>
    </row>
    <row r="23" spans="1:81" s="68" customFormat="1">
      <c r="A23" s="1532"/>
      <c r="B23" s="798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4"/>
      <c r="S23" s="139"/>
      <c r="T23" s="139"/>
      <c r="U23" s="131"/>
      <c r="V23" s="132"/>
      <c r="W23" s="124"/>
      <c r="X23" s="139"/>
      <c r="Y23" s="133"/>
      <c r="Z23" s="139"/>
      <c r="AA23" s="134"/>
      <c r="AB23" s="139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</row>
    <row r="24" spans="1:81" s="68" customFormat="1">
      <c r="A24" s="1532"/>
      <c r="B24" s="798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49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</row>
    <row r="25" spans="1:81" s="68" customFormat="1">
      <c r="A25" s="1532"/>
      <c r="B25" s="798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  <c r="AE25" s="384"/>
      <c r="AF25" s="384"/>
      <c r="AG25" s="384"/>
      <c r="AH25" s="384"/>
      <c r="AI25" s="384"/>
      <c r="AJ25" s="384"/>
      <c r="AK25" s="384"/>
      <c r="AL25" s="384"/>
      <c r="AM25" s="384"/>
      <c r="AN25" s="384"/>
      <c r="AO25" s="384"/>
      <c r="AP25" s="384"/>
      <c r="AQ25" s="384"/>
      <c r="AR25" s="384"/>
      <c r="AS25" s="384"/>
      <c r="AT25" s="384"/>
      <c r="AU25" s="384"/>
      <c r="AV25" s="384"/>
      <c r="AW25" s="384"/>
      <c r="AX25" s="384"/>
      <c r="AY25" s="384"/>
      <c r="AZ25" s="384"/>
      <c r="BA25" s="384"/>
      <c r="BB25" s="384"/>
      <c r="BC25" s="384"/>
      <c r="BD25" s="384"/>
      <c r="BE25" s="384"/>
      <c r="BF25" s="384"/>
      <c r="BG25" s="384"/>
      <c r="BH25" s="384"/>
      <c r="BI25" s="384"/>
      <c r="BJ25" s="384"/>
      <c r="BK25" s="384"/>
      <c r="BL25" s="384"/>
      <c r="BM25" s="384"/>
      <c r="BN25" s="384"/>
      <c r="BO25" s="384"/>
      <c r="BP25" s="384"/>
      <c r="BQ25" s="384"/>
      <c r="BR25" s="384"/>
      <c r="BS25" s="384"/>
      <c r="BT25" s="384"/>
      <c r="BU25" s="384"/>
      <c r="BV25" s="384"/>
      <c r="BW25" s="384"/>
      <c r="BX25" s="384"/>
      <c r="BY25" s="384"/>
      <c r="BZ25" s="384"/>
      <c r="CA25" s="384"/>
      <c r="CB25" s="384"/>
      <c r="CC25" s="384"/>
    </row>
    <row r="26" spans="1:81" s="68" customFormat="1">
      <c r="A26" s="1532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49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  <c r="AE26" s="384"/>
      <c r="AF26" s="384"/>
      <c r="AG26" s="384"/>
      <c r="AH26" s="384"/>
      <c r="AI26" s="384"/>
      <c r="AJ26" s="384"/>
      <c r="AK26" s="384"/>
      <c r="AL26" s="384"/>
      <c r="AM26" s="384"/>
      <c r="AN26" s="384"/>
      <c r="AO26" s="384"/>
      <c r="AP26" s="384"/>
      <c r="AQ26" s="384"/>
      <c r="AR26" s="384"/>
      <c r="AS26" s="384"/>
      <c r="AT26" s="384"/>
      <c r="AU26" s="384"/>
      <c r="AV26" s="384"/>
      <c r="AW26" s="384"/>
      <c r="AX26" s="384"/>
      <c r="AY26" s="384"/>
      <c r="AZ26" s="384"/>
      <c r="BA26" s="384"/>
      <c r="BB26" s="384"/>
      <c r="BC26" s="384"/>
      <c r="BD26" s="384"/>
      <c r="BE26" s="384"/>
      <c r="BF26" s="384"/>
      <c r="BG26" s="384"/>
      <c r="BH26" s="384"/>
      <c r="BI26" s="384"/>
      <c r="BJ26" s="384"/>
      <c r="BK26" s="384"/>
      <c r="BL26" s="384"/>
      <c r="BM26" s="384"/>
      <c r="BN26" s="384"/>
      <c r="BO26" s="384"/>
      <c r="BP26" s="384"/>
      <c r="BQ26" s="384"/>
      <c r="BR26" s="384"/>
      <c r="BS26" s="384"/>
      <c r="BT26" s="384"/>
      <c r="BU26" s="384"/>
      <c r="BV26" s="384"/>
      <c r="BW26" s="384"/>
      <c r="BX26" s="384"/>
      <c r="BY26" s="384"/>
      <c r="BZ26" s="384"/>
      <c r="CA26" s="384"/>
      <c r="CB26" s="384"/>
      <c r="CC26" s="384"/>
    </row>
    <row r="27" spans="1:81" s="68" customFormat="1">
      <c r="A27" s="1532"/>
      <c r="B27" s="798"/>
      <c r="C27" s="124"/>
      <c r="D27" s="131"/>
      <c r="E27" s="132"/>
      <c r="F27" s="124"/>
      <c r="G27" s="139"/>
      <c r="H27" s="139"/>
      <c r="I27" s="139"/>
      <c r="J27" s="139"/>
      <c r="K27" s="133"/>
      <c r="L27" s="139"/>
      <c r="M27" s="139"/>
      <c r="N27" s="133"/>
      <c r="O27" s="139"/>
      <c r="P27" s="139"/>
      <c r="Q27" s="149"/>
      <c r="R27" s="139"/>
      <c r="S27" s="139"/>
      <c r="T27" s="139"/>
      <c r="U27" s="131"/>
      <c r="V27" s="132"/>
      <c r="W27" s="124"/>
      <c r="X27" s="139"/>
      <c r="Y27" s="133"/>
      <c r="Z27" s="139"/>
      <c r="AA27" s="139"/>
      <c r="AB27" s="139"/>
      <c r="AE27" s="384"/>
      <c r="AF27" s="384"/>
      <c r="AG27" s="384"/>
      <c r="AH27" s="384"/>
      <c r="AI27" s="384"/>
      <c r="AJ27" s="384"/>
      <c r="AK27" s="384"/>
      <c r="AL27" s="384"/>
      <c r="AM27" s="384"/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X27" s="384"/>
      <c r="AY27" s="384"/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  <c r="BJ27" s="384"/>
      <c r="BK27" s="384"/>
      <c r="BL27" s="384"/>
      <c r="BM27" s="384"/>
      <c r="BN27" s="384"/>
      <c r="BO27" s="384"/>
      <c r="BP27" s="384"/>
      <c r="BQ27" s="384"/>
      <c r="BR27" s="384"/>
      <c r="BS27" s="384"/>
      <c r="BT27" s="384"/>
      <c r="BU27" s="384"/>
      <c r="BV27" s="384"/>
      <c r="BW27" s="384"/>
      <c r="BX27" s="384"/>
      <c r="BY27" s="384"/>
      <c r="BZ27" s="384"/>
      <c r="CA27" s="384"/>
      <c r="CB27" s="384"/>
      <c r="CC27" s="384"/>
    </row>
    <row r="28" spans="1:81" s="68" customFormat="1">
      <c r="A28" s="1530"/>
      <c r="B28" s="1645"/>
      <c r="C28" s="124"/>
      <c r="D28" s="131"/>
      <c r="E28" s="1531"/>
      <c r="F28" s="124"/>
      <c r="G28" s="139"/>
      <c r="H28" s="139"/>
      <c r="I28" s="139"/>
      <c r="J28" s="139"/>
      <c r="K28" s="133"/>
      <c r="L28" s="1533"/>
      <c r="M28" s="139"/>
      <c r="N28" s="133"/>
      <c r="O28" s="139"/>
      <c r="P28" s="153"/>
      <c r="Q28" s="149"/>
      <c r="R28" s="153"/>
      <c r="S28" s="139"/>
      <c r="T28" s="139"/>
      <c r="U28" s="131"/>
      <c r="V28" s="1531"/>
      <c r="W28" s="124"/>
      <c r="X28" s="1533"/>
      <c r="Y28" s="133"/>
      <c r="Z28" s="153"/>
      <c r="AA28" s="153"/>
      <c r="AB28" s="139"/>
      <c r="AE28" s="384"/>
      <c r="AF28" s="384"/>
      <c r="AG28" s="384"/>
      <c r="AH28" s="384"/>
      <c r="AI28" s="384"/>
      <c r="AJ28" s="384"/>
      <c r="AK28" s="384"/>
      <c r="AL28" s="384"/>
      <c r="AM28" s="384"/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X28" s="384"/>
      <c r="AY28" s="384"/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  <c r="BJ28" s="384"/>
      <c r="BK28" s="384"/>
      <c r="BL28" s="384"/>
      <c r="BM28" s="384"/>
      <c r="BN28" s="384"/>
      <c r="BO28" s="384"/>
      <c r="BP28" s="384"/>
      <c r="BQ28" s="384"/>
      <c r="BR28" s="384"/>
      <c r="BS28" s="384"/>
      <c r="BT28" s="384"/>
      <c r="BU28" s="384"/>
      <c r="BV28" s="384"/>
      <c r="BW28" s="384"/>
      <c r="BX28" s="384"/>
      <c r="BY28" s="384"/>
      <c r="BZ28" s="384"/>
      <c r="CA28" s="384"/>
      <c r="CB28" s="384"/>
      <c r="CC28" s="384"/>
    </row>
    <row r="29" spans="1:81" s="68" customFormat="1">
      <c r="A29" s="1530"/>
      <c r="B29" s="142"/>
      <c r="C29" s="124"/>
      <c r="D29" s="131"/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39"/>
      <c r="Q29" s="155"/>
      <c r="R29" s="139"/>
      <c r="S29" s="139"/>
      <c r="T29" s="139"/>
      <c r="U29" s="131"/>
      <c r="V29" s="132"/>
      <c r="W29" s="124"/>
      <c r="X29" s="139"/>
      <c r="Y29" s="133"/>
      <c r="Z29" s="139"/>
      <c r="AA29" s="139"/>
      <c r="AB29" s="139"/>
      <c r="AE29" s="384"/>
      <c r="AF29" s="384"/>
      <c r="AG29" s="384"/>
      <c r="AH29" s="384"/>
      <c r="AI29" s="384"/>
      <c r="AJ29" s="384"/>
      <c r="AK29" s="384"/>
      <c r="AL29" s="384"/>
      <c r="AM29" s="384"/>
      <c r="AN29" s="384"/>
      <c r="AO29" s="384"/>
      <c r="AP29" s="384"/>
      <c r="AQ29" s="384"/>
      <c r="AR29" s="384"/>
      <c r="AS29" s="384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4"/>
      <c r="BV29" s="384"/>
      <c r="BW29" s="384"/>
      <c r="BX29" s="384"/>
      <c r="BY29" s="384"/>
      <c r="BZ29" s="384"/>
      <c r="CA29" s="384"/>
      <c r="CB29" s="384"/>
      <c r="CC29" s="384"/>
    </row>
    <row r="30" spans="1:81" s="68" customFormat="1">
      <c r="A30" s="1534"/>
      <c r="B30" s="142"/>
      <c r="C30" s="124"/>
      <c r="D30" s="131" t="s">
        <v>87</v>
      </c>
      <c r="E30" s="132"/>
      <c r="F30" s="124"/>
      <c r="G30" s="139"/>
      <c r="H30" s="139"/>
      <c r="I30" s="139"/>
      <c r="J30" s="139"/>
      <c r="K30" s="133"/>
      <c r="L30" s="139"/>
      <c r="M30" s="139"/>
      <c r="N30" s="133"/>
      <c r="O30" s="139"/>
      <c r="P30" s="153"/>
      <c r="Q30" s="156"/>
      <c r="R30" s="153"/>
      <c r="S30" s="139"/>
      <c r="T30" s="139"/>
      <c r="U30" s="131"/>
      <c r="V30" s="1531"/>
      <c r="W30" s="124"/>
      <c r="X30" s="139"/>
      <c r="Y30" s="133"/>
      <c r="Z30" s="153"/>
      <c r="AA30" s="153"/>
      <c r="AB30" s="139"/>
      <c r="AE30" s="384"/>
      <c r="AF30" s="384"/>
      <c r="AG30" s="384"/>
      <c r="AH30" s="384"/>
      <c r="AI30" s="384"/>
      <c r="AJ30" s="384"/>
      <c r="AK30" s="384"/>
      <c r="AL30" s="384"/>
      <c r="AM30" s="384"/>
      <c r="AN30" s="384"/>
      <c r="AO30" s="384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N30" s="384"/>
      <c r="BO30" s="384"/>
      <c r="BP30" s="384"/>
      <c r="BQ30" s="384"/>
      <c r="BR30" s="384"/>
      <c r="BS30" s="384"/>
      <c r="BT30" s="384"/>
      <c r="BU30" s="384"/>
      <c r="BV30" s="384"/>
      <c r="BW30" s="384"/>
      <c r="BX30" s="384"/>
      <c r="BY30" s="384"/>
      <c r="BZ30" s="384"/>
      <c r="CA30" s="384"/>
      <c r="CB30" s="384"/>
      <c r="CC30" s="384"/>
    </row>
    <row r="31" spans="1:81" s="68" customFormat="1">
      <c r="A31" s="157"/>
      <c r="B31" s="152"/>
      <c r="C31" s="124"/>
      <c r="D31" s="131"/>
      <c r="E31" s="1531"/>
      <c r="F31" s="124"/>
      <c r="G31" s="139"/>
      <c r="H31" s="139"/>
      <c r="I31" s="139"/>
      <c r="J31" s="139"/>
      <c r="K31" s="133">
        <f>0.5*W31</f>
        <v>0</v>
      </c>
      <c r="L31" s="139"/>
      <c r="M31" s="139"/>
      <c r="N31" s="133"/>
      <c r="O31" s="139"/>
      <c r="P31" s="139"/>
      <c r="Q31" s="156"/>
      <c r="R31" s="139"/>
      <c r="S31" s="139"/>
      <c r="T31" s="139"/>
      <c r="U31" s="144"/>
      <c r="V31" s="1531"/>
      <c r="W31" s="124">
        <f t="shared" ref="W31:W36" si="1">U31*V31</f>
        <v>0</v>
      </c>
      <c r="X31" s="139"/>
      <c r="Y31" s="133"/>
      <c r="Z31" s="139"/>
      <c r="AA31" s="139"/>
      <c r="AB31" s="139">
        <v>0</v>
      </c>
      <c r="AE31" s="384"/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384"/>
      <c r="AW31" s="384"/>
      <c r="AX31" s="384"/>
      <c r="AY31" s="384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M31" s="384"/>
      <c r="BN31" s="384"/>
      <c r="BO31" s="384"/>
      <c r="BP31" s="384"/>
      <c r="BQ31" s="384"/>
      <c r="BR31" s="384"/>
      <c r="BS31" s="384"/>
      <c r="BT31" s="384"/>
      <c r="BU31" s="384"/>
      <c r="BV31" s="384"/>
      <c r="BW31" s="384"/>
      <c r="BX31" s="384"/>
      <c r="BY31" s="384"/>
      <c r="BZ31" s="384"/>
      <c r="CA31" s="384"/>
      <c r="CB31" s="384"/>
      <c r="CC31" s="384"/>
    </row>
    <row r="32" spans="1:81" s="68" customFormat="1">
      <c r="A32" s="146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53"/>
      <c r="Q32" s="156"/>
      <c r="R32" s="153"/>
      <c r="S32" s="139"/>
      <c r="T32" s="138"/>
      <c r="U32" s="144"/>
      <c r="V32" s="1531"/>
      <c r="W32" s="124">
        <f t="shared" si="1"/>
        <v>0</v>
      </c>
      <c r="X32" s="139"/>
      <c r="Y32" s="133"/>
      <c r="Z32" s="153"/>
      <c r="AA32" s="153"/>
      <c r="AB32" s="138"/>
      <c r="AE32" s="384"/>
      <c r="AF32" s="384"/>
      <c r="AG32" s="384"/>
      <c r="AH32" s="384"/>
      <c r="AI32" s="384"/>
      <c r="AJ32" s="384"/>
      <c r="AK32" s="384"/>
      <c r="AL32" s="384"/>
      <c r="AM32" s="384"/>
      <c r="AN32" s="384"/>
      <c r="AO32" s="384"/>
      <c r="AP32" s="384"/>
      <c r="AQ32" s="384"/>
      <c r="AR32" s="384"/>
      <c r="AS32" s="384"/>
      <c r="AT32" s="384"/>
      <c r="AU32" s="384"/>
      <c r="AV32" s="384"/>
      <c r="AW32" s="384"/>
      <c r="AX32" s="384"/>
      <c r="AY32" s="384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M32" s="384"/>
      <c r="BN32" s="384"/>
      <c r="BO32" s="384"/>
      <c r="BP32" s="384"/>
      <c r="BQ32" s="384"/>
      <c r="BR32" s="384"/>
      <c r="BS32" s="384"/>
      <c r="BT32" s="384"/>
      <c r="BU32" s="384"/>
      <c r="BV32" s="384"/>
      <c r="BW32" s="384"/>
      <c r="BX32" s="384"/>
      <c r="BY32" s="384"/>
      <c r="BZ32" s="384"/>
      <c r="CA32" s="384"/>
      <c r="CB32" s="384"/>
      <c r="CC32" s="384"/>
    </row>
    <row r="33" spans="1:81" s="68" customForma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1"/>
        <v>0</v>
      </c>
      <c r="X33" s="139"/>
      <c r="Y33" s="133"/>
      <c r="Z33" s="134"/>
      <c r="AA33" s="139"/>
      <c r="AB33" s="138"/>
      <c r="AE33" s="384"/>
      <c r="AF33" s="384"/>
      <c r="AG33" s="384"/>
      <c r="AH33" s="384"/>
      <c r="AI33" s="384"/>
      <c r="AJ33" s="384"/>
      <c r="AK33" s="384"/>
      <c r="AL33" s="384"/>
      <c r="AM33" s="384"/>
      <c r="AN33" s="384"/>
      <c r="AO33" s="384"/>
      <c r="AP33" s="384"/>
      <c r="AQ33" s="384"/>
      <c r="AR33" s="384"/>
      <c r="AS33" s="384"/>
      <c r="AT33" s="384"/>
      <c r="AU33" s="384"/>
      <c r="AV33" s="384"/>
      <c r="AW33" s="384"/>
      <c r="AX33" s="384"/>
      <c r="AY33" s="384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M33" s="384"/>
      <c r="BN33" s="384"/>
      <c r="BO33" s="384"/>
      <c r="BP33" s="384"/>
      <c r="BQ33" s="384"/>
      <c r="BR33" s="384"/>
      <c r="BS33" s="384"/>
      <c r="BT33" s="384"/>
      <c r="BU33" s="384"/>
      <c r="BV33" s="384"/>
      <c r="BW33" s="384"/>
      <c r="BX33" s="384"/>
      <c r="BY33" s="384"/>
      <c r="BZ33" s="384"/>
      <c r="CA33" s="384"/>
      <c r="CB33" s="384"/>
      <c r="CC33" s="384"/>
    </row>
    <row r="34" spans="1:81" s="68" customFormat="1" ht="9.9499999999999993" customHeight="1">
      <c r="A34" s="157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3">
        <f>0.5*W34</f>
        <v>0</v>
      </c>
      <c r="L34" s="139"/>
      <c r="M34" s="134"/>
      <c r="N34" s="133"/>
      <c r="O34" s="134"/>
      <c r="P34" s="134"/>
      <c r="Q34" s="156"/>
      <c r="R34" s="139"/>
      <c r="S34" s="139"/>
      <c r="T34" s="138"/>
      <c r="U34" s="144"/>
      <c r="V34" s="1531"/>
      <c r="W34" s="124">
        <f t="shared" si="1"/>
        <v>0</v>
      </c>
      <c r="X34" s="139"/>
      <c r="Y34" s="133"/>
      <c r="Z34" s="134"/>
      <c r="AA34" s="139"/>
      <c r="AB34" s="138"/>
      <c r="AE34" s="384"/>
      <c r="AF34" s="384"/>
      <c r="AG34" s="384"/>
      <c r="AH34" s="384"/>
      <c r="AI34" s="384"/>
      <c r="AJ34" s="384"/>
      <c r="AK34" s="384"/>
      <c r="AL34" s="384"/>
      <c r="AM34" s="384"/>
      <c r="AN34" s="384"/>
      <c r="AO34" s="384"/>
      <c r="AP34" s="384"/>
      <c r="AQ34" s="384"/>
      <c r="AR34" s="384"/>
      <c r="AS34" s="384"/>
      <c r="AT34" s="384"/>
      <c r="AU34" s="384"/>
      <c r="AV34" s="384"/>
      <c r="AW34" s="384"/>
      <c r="AX34" s="384"/>
      <c r="AY34" s="384"/>
      <c r="AZ34" s="384"/>
      <c r="BA34" s="384"/>
      <c r="BB34" s="384"/>
      <c r="BC34" s="384"/>
      <c r="BD34" s="384"/>
      <c r="BE34" s="384"/>
      <c r="BF34" s="384"/>
      <c r="BG34" s="384"/>
      <c r="BH34" s="384"/>
      <c r="BI34" s="384"/>
      <c r="BJ34" s="384"/>
      <c r="BK34" s="384"/>
      <c r="BL34" s="384"/>
      <c r="BM34" s="384"/>
      <c r="BN34" s="384"/>
      <c r="BO34" s="384"/>
      <c r="BP34" s="384"/>
      <c r="BQ34" s="384"/>
      <c r="BR34" s="384"/>
      <c r="BS34" s="384"/>
      <c r="BT34" s="384"/>
      <c r="BU34" s="384"/>
      <c r="BV34" s="384"/>
      <c r="BW34" s="384"/>
      <c r="BX34" s="384"/>
      <c r="BY34" s="384"/>
      <c r="BZ34" s="384"/>
      <c r="CA34" s="384"/>
      <c r="CB34" s="384"/>
      <c r="CC34" s="384"/>
    </row>
    <row r="35" spans="1:81" s="68" customFormat="1">
      <c r="A35" s="1530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1"/>
        <v>0</v>
      </c>
      <c r="X35" s="139"/>
      <c r="Y35" s="134"/>
      <c r="Z35" s="134"/>
      <c r="AA35" s="139"/>
      <c r="AB35" s="138"/>
      <c r="AE35" s="384"/>
      <c r="AF35" s="384"/>
      <c r="AG35" s="384"/>
      <c r="AH35" s="384"/>
      <c r="AI35" s="384"/>
      <c r="AJ35" s="384"/>
      <c r="AK35" s="384"/>
      <c r="AL35" s="384"/>
      <c r="AM35" s="384"/>
      <c r="AN35" s="384"/>
      <c r="AO35" s="384"/>
      <c r="AP35" s="384"/>
      <c r="AQ35" s="384"/>
      <c r="AR35" s="384"/>
      <c r="AS35" s="384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84"/>
      <c r="BV35" s="384"/>
      <c r="BW35" s="384"/>
      <c r="BX35" s="384"/>
      <c r="BY35" s="384"/>
      <c r="BZ35" s="384"/>
      <c r="CA35" s="384"/>
      <c r="CB35" s="384"/>
      <c r="CC35" s="384"/>
    </row>
    <row r="36" spans="1:81" s="68" customFormat="1">
      <c r="A36" s="157"/>
      <c r="B36" s="152"/>
      <c r="C36" s="124">
        <f>D36*E36</f>
        <v>0</v>
      </c>
      <c r="D36" s="131"/>
      <c r="E36" s="1531"/>
      <c r="F36" s="124">
        <f>D36*E36</f>
        <v>0</v>
      </c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>
        <f t="shared" si="1"/>
        <v>0</v>
      </c>
      <c r="X36" s="139"/>
      <c r="Y36" s="134"/>
      <c r="Z36" s="134"/>
      <c r="AA36" s="139"/>
      <c r="AB36" s="138"/>
      <c r="AE36" s="384"/>
      <c r="AF36" s="384"/>
      <c r="AG36" s="384"/>
      <c r="AH36" s="384"/>
      <c r="AI36" s="384"/>
      <c r="AJ36" s="384"/>
      <c r="AK36" s="384"/>
      <c r="AL36" s="384"/>
      <c r="AM36" s="384"/>
      <c r="AN36" s="384"/>
      <c r="AO36" s="384"/>
      <c r="AP36" s="384"/>
      <c r="AQ36" s="384"/>
      <c r="AR36" s="384"/>
      <c r="AS36" s="384"/>
      <c r="AT36" s="384"/>
      <c r="AU36" s="384"/>
      <c r="AV36" s="384"/>
      <c r="AW36" s="384"/>
      <c r="AX36" s="384"/>
      <c r="AY36" s="384"/>
      <c r="AZ36" s="384"/>
      <c r="BA36" s="384"/>
      <c r="BB36" s="384"/>
      <c r="BC36" s="384"/>
      <c r="BD36" s="384"/>
      <c r="BE36" s="384"/>
      <c r="BF36" s="384"/>
      <c r="BG36" s="384"/>
      <c r="BH36" s="384"/>
      <c r="BI36" s="384"/>
      <c r="BJ36" s="384"/>
      <c r="BK36" s="384"/>
      <c r="BL36" s="384"/>
      <c r="BM36" s="384"/>
      <c r="BN36" s="384"/>
      <c r="BO36" s="384"/>
      <c r="BP36" s="384"/>
      <c r="BQ36" s="384"/>
      <c r="BR36" s="384"/>
      <c r="BS36" s="384"/>
      <c r="BT36" s="384"/>
      <c r="BU36" s="384"/>
      <c r="BV36" s="384"/>
      <c r="BW36" s="384"/>
      <c r="BX36" s="384"/>
      <c r="BY36" s="384"/>
      <c r="BZ36" s="384"/>
      <c r="CA36" s="384"/>
      <c r="CB36" s="384"/>
      <c r="CC36" s="384"/>
    </row>
    <row r="37" spans="1:81" s="68" customFormat="1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  <c r="AE37" s="384"/>
      <c r="AF37" s="384"/>
      <c r="AG37" s="384"/>
      <c r="AH37" s="384"/>
      <c r="AI37" s="384"/>
      <c r="AJ37" s="384"/>
      <c r="AK37" s="384"/>
      <c r="AL37" s="384"/>
      <c r="AM37" s="384"/>
      <c r="AN37" s="384"/>
      <c r="AO37" s="384"/>
      <c r="AP37" s="384"/>
      <c r="AQ37" s="384"/>
      <c r="AR37" s="384"/>
      <c r="AS37" s="384"/>
      <c r="AT37" s="384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84"/>
      <c r="BV37" s="384"/>
      <c r="BW37" s="384"/>
      <c r="BX37" s="384"/>
      <c r="BY37" s="384"/>
      <c r="BZ37" s="384"/>
      <c r="CA37" s="384"/>
      <c r="CB37" s="384"/>
      <c r="CC37" s="384"/>
    </row>
    <row r="38" spans="1:81" s="68" customFormat="1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4"/>
      <c r="AS38" s="384"/>
      <c r="AT38" s="384"/>
      <c r="AU38" s="384"/>
      <c r="AV38" s="384"/>
      <c r="AW38" s="384"/>
      <c r="AX38" s="384"/>
      <c r="AY38" s="384"/>
      <c r="AZ38" s="384"/>
      <c r="BA38" s="384"/>
      <c r="BB38" s="384"/>
      <c r="BC38" s="384"/>
      <c r="BD38" s="384"/>
      <c r="BE38" s="384"/>
      <c r="BF38" s="384"/>
      <c r="BG38" s="384"/>
      <c r="BH38" s="384"/>
      <c r="BI38" s="384"/>
      <c r="BJ38" s="384"/>
      <c r="BK38" s="384"/>
      <c r="BL38" s="384"/>
      <c r="BM38" s="384"/>
      <c r="BN38" s="384"/>
      <c r="BO38" s="384"/>
      <c r="BP38" s="384"/>
      <c r="BQ38" s="384"/>
      <c r="BR38" s="384"/>
      <c r="BS38" s="384"/>
      <c r="BT38" s="384"/>
      <c r="BU38" s="384"/>
      <c r="BV38" s="384"/>
      <c r="BW38" s="384"/>
      <c r="BX38" s="384"/>
      <c r="BY38" s="384"/>
      <c r="BZ38" s="384"/>
      <c r="CA38" s="384"/>
      <c r="CB38" s="384"/>
      <c r="CC38" s="384"/>
    </row>
    <row r="39" spans="1:81" s="68" customFormat="1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4"/>
      <c r="AS39" s="384"/>
      <c r="AT39" s="384"/>
      <c r="AU39" s="384"/>
      <c r="AV39" s="384"/>
      <c r="AW39" s="384"/>
      <c r="AX39" s="384"/>
      <c r="AY39" s="384"/>
      <c r="AZ39" s="384"/>
      <c r="BA39" s="384"/>
      <c r="BB39" s="384"/>
      <c r="BC39" s="384"/>
      <c r="BD39" s="384"/>
      <c r="BE39" s="384"/>
      <c r="BF39" s="384"/>
      <c r="BG39" s="384"/>
      <c r="BH39" s="384"/>
      <c r="BI39" s="384"/>
      <c r="BJ39" s="384"/>
      <c r="BK39" s="384"/>
      <c r="BL39" s="384"/>
      <c r="BM39" s="384"/>
      <c r="BN39" s="384"/>
      <c r="BO39" s="384"/>
      <c r="BP39" s="384"/>
      <c r="BQ39" s="384"/>
      <c r="BR39" s="384"/>
      <c r="BS39" s="384"/>
      <c r="BT39" s="384"/>
      <c r="BU39" s="384"/>
      <c r="BV39" s="384"/>
      <c r="BW39" s="384"/>
      <c r="BX39" s="384"/>
      <c r="BY39" s="384"/>
      <c r="BZ39" s="384"/>
      <c r="CA39" s="384"/>
      <c r="CB39" s="384"/>
      <c r="CC39" s="384"/>
    </row>
    <row r="40" spans="1:81" s="68" customFormat="1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4"/>
      <c r="AS40" s="384"/>
      <c r="AT40" s="384"/>
      <c r="AU40" s="384"/>
      <c r="AV40" s="384"/>
      <c r="AW40" s="384"/>
      <c r="AX40" s="384"/>
      <c r="AY40" s="384"/>
      <c r="AZ40" s="384"/>
      <c r="BA40" s="384"/>
      <c r="BB40" s="384"/>
      <c r="BC40" s="384"/>
      <c r="BD40" s="384"/>
      <c r="BE40" s="384"/>
      <c r="BF40" s="384"/>
      <c r="BG40" s="384"/>
      <c r="BH40" s="384"/>
      <c r="BI40" s="384"/>
      <c r="BJ40" s="384"/>
      <c r="BK40" s="384"/>
      <c r="BL40" s="384"/>
      <c r="BM40" s="384"/>
      <c r="BN40" s="384"/>
      <c r="BO40" s="384"/>
      <c r="BP40" s="384"/>
      <c r="BQ40" s="384"/>
      <c r="BR40" s="384"/>
      <c r="BS40" s="384"/>
      <c r="BT40" s="384"/>
      <c r="BU40" s="384"/>
      <c r="BV40" s="384"/>
      <c r="BW40" s="384"/>
      <c r="BX40" s="384"/>
      <c r="BY40" s="384"/>
      <c r="BZ40" s="384"/>
      <c r="CA40" s="384"/>
      <c r="CB40" s="384"/>
      <c r="CC40" s="384"/>
    </row>
    <row r="41" spans="1:81" s="68" customFormat="1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</row>
    <row r="42" spans="1:81" s="68" customFormat="1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4"/>
      <c r="AS42" s="384"/>
      <c r="AT42" s="384"/>
      <c r="AU42" s="384"/>
      <c r="AV42" s="384"/>
      <c r="AW42" s="384"/>
      <c r="AX42" s="384"/>
      <c r="AY42" s="384"/>
      <c r="AZ42" s="384"/>
      <c r="BA42" s="384"/>
      <c r="BB42" s="384"/>
      <c r="BC42" s="384"/>
      <c r="BD42" s="384"/>
      <c r="BE42" s="384"/>
      <c r="BF42" s="384"/>
      <c r="BG42" s="384"/>
      <c r="BH42" s="384"/>
      <c r="BI42" s="384"/>
      <c r="BJ42" s="384"/>
      <c r="BK42" s="384"/>
      <c r="BL42" s="384"/>
      <c r="BM42" s="384"/>
      <c r="BN42" s="384"/>
      <c r="BO42" s="384"/>
      <c r="BP42" s="384"/>
      <c r="BQ42" s="384"/>
      <c r="BR42" s="384"/>
      <c r="BS42" s="384"/>
      <c r="BT42" s="384"/>
      <c r="BU42" s="384"/>
      <c r="BV42" s="384"/>
      <c r="BW42" s="384"/>
      <c r="BX42" s="384"/>
      <c r="BY42" s="384"/>
      <c r="BZ42" s="384"/>
      <c r="CA42" s="384"/>
      <c r="CB42" s="384"/>
      <c r="CC42" s="384"/>
    </row>
    <row r="43" spans="1:81" s="68" customFormat="1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  <c r="AE43" s="384"/>
      <c r="AF43" s="384"/>
      <c r="AG43" s="384"/>
      <c r="AH43" s="384"/>
      <c r="AI43" s="384"/>
      <c r="AJ43" s="384"/>
      <c r="AK43" s="384"/>
      <c r="AL43" s="384"/>
      <c r="AM43" s="384"/>
      <c r="AN43" s="384"/>
      <c r="AO43" s="384"/>
      <c r="AP43" s="384"/>
      <c r="AQ43" s="384"/>
      <c r="AR43" s="384"/>
      <c r="AS43" s="384"/>
      <c r="AT43" s="384"/>
      <c r="AU43" s="384"/>
      <c r="AV43" s="384"/>
      <c r="AW43" s="384"/>
      <c r="AX43" s="384"/>
      <c r="AY43" s="384"/>
      <c r="AZ43" s="384"/>
      <c r="BA43" s="384"/>
      <c r="BB43" s="384"/>
      <c r="BC43" s="384"/>
      <c r="BD43" s="384"/>
      <c r="BE43" s="384"/>
      <c r="BF43" s="384"/>
      <c r="BG43" s="384"/>
      <c r="BH43" s="384"/>
      <c r="BI43" s="384"/>
      <c r="BJ43" s="384"/>
      <c r="BK43" s="384"/>
      <c r="BL43" s="384"/>
      <c r="BM43" s="384"/>
      <c r="BN43" s="384"/>
      <c r="BO43" s="384"/>
      <c r="BP43" s="384"/>
      <c r="BQ43" s="384"/>
      <c r="BR43" s="384"/>
      <c r="BS43" s="384"/>
      <c r="BT43" s="384"/>
      <c r="BU43" s="384"/>
      <c r="BV43" s="384"/>
      <c r="BW43" s="384"/>
      <c r="BX43" s="384"/>
      <c r="BY43" s="384"/>
      <c r="BZ43" s="384"/>
      <c r="CA43" s="384"/>
      <c r="CB43" s="384"/>
      <c r="CC43" s="384"/>
    </row>
    <row r="44" spans="1:81" s="68" customFormat="1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  <c r="AE44" s="384"/>
      <c r="AF44" s="384"/>
      <c r="AG44" s="384"/>
      <c r="AH44" s="384"/>
      <c r="AI44" s="384"/>
      <c r="AJ44" s="384"/>
      <c r="AK44" s="384"/>
      <c r="AL44" s="384"/>
      <c r="AM44" s="384"/>
      <c r="AN44" s="384"/>
      <c r="AO44" s="384"/>
      <c r="AP44" s="384"/>
      <c r="AQ44" s="384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4"/>
      <c r="BM44" s="384"/>
      <c r="BN44" s="384"/>
      <c r="BO44" s="384"/>
      <c r="BP44" s="384"/>
      <c r="BQ44" s="384"/>
      <c r="BR44" s="384"/>
      <c r="BS44" s="384"/>
      <c r="BT44" s="384"/>
      <c r="BU44" s="384"/>
      <c r="BV44" s="384"/>
      <c r="BW44" s="384"/>
      <c r="BX44" s="384"/>
      <c r="BY44" s="384"/>
      <c r="BZ44" s="384"/>
      <c r="CA44" s="384"/>
      <c r="CB44" s="384"/>
      <c r="CC44" s="384"/>
    </row>
    <row r="45" spans="1:81" s="68" customFormat="1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  <c r="AE45" s="384"/>
      <c r="AF45" s="384"/>
      <c r="AG45" s="384"/>
      <c r="AH45" s="384"/>
      <c r="AI45" s="384"/>
      <c r="AJ45" s="384"/>
      <c r="AK45" s="384"/>
      <c r="AL45" s="384"/>
      <c r="AM45" s="384"/>
      <c r="AN45" s="384"/>
      <c r="AO45" s="384"/>
      <c r="AP45" s="384"/>
      <c r="AQ45" s="384"/>
      <c r="AR45" s="384"/>
      <c r="AS45" s="384"/>
      <c r="AT45" s="384"/>
      <c r="AU45" s="384"/>
      <c r="AV45" s="384"/>
      <c r="AW45" s="384"/>
      <c r="AX45" s="384"/>
      <c r="AY45" s="384"/>
      <c r="AZ45" s="384"/>
      <c r="BA45" s="384"/>
      <c r="BB45" s="384"/>
      <c r="BC45" s="384"/>
      <c r="BD45" s="384"/>
      <c r="BE45" s="384"/>
      <c r="BF45" s="384"/>
      <c r="BG45" s="384"/>
      <c r="BH45" s="384"/>
      <c r="BI45" s="384"/>
      <c r="BJ45" s="384"/>
      <c r="BK45" s="384"/>
      <c r="BL45" s="384"/>
      <c r="BM45" s="384"/>
      <c r="BN45" s="384"/>
      <c r="BO45" s="384"/>
      <c r="BP45" s="384"/>
      <c r="BQ45" s="384"/>
      <c r="BR45" s="384"/>
      <c r="BS45" s="384"/>
      <c r="BT45" s="384"/>
      <c r="BU45" s="384"/>
      <c r="BV45" s="384"/>
      <c r="BW45" s="384"/>
      <c r="BX45" s="384"/>
      <c r="BY45" s="384"/>
      <c r="BZ45" s="384"/>
      <c r="CA45" s="384"/>
      <c r="CB45" s="384"/>
      <c r="CC45" s="384"/>
    </row>
    <row r="46" spans="1:81" s="68" customFormat="1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  <c r="AE46" s="384"/>
      <c r="AF46" s="384"/>
      <c r="AG46" s="384"/>
      <c r="AH46" s="384"/>
      <c r="AI46" s="384"/>
      <c r="AJ46" s="384"/>
      <c r="AK46" s="384"/>
      <c r="AL46" s="384"/>
      <c r="AM46" s="384"/>
      <c r="AN46" s="384"/>
      <c r="AO46" s="384"/>
      <c r="AP46" s="384"/>
      <c r="AQ46" s="384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4"/>
      <c r="BM46" s="384"/>
      <c r="BN46" s="384"/>
      <c r="BO46" s="384"/>
      <c r="BP46" s="384"/>
      <c r="BQ46" s="384"/>
      <c r="BR46" s="384"/>
      <c r="BS46" s="384"/>
      <c r="BT46" s="384"/>
      <c r="BU46" s="384"/>
      <c r="BV46" s="384"/>
      <c r="BW46" s="384"/>
      <c r="BX46" s="384"/>
      <c r="BY46" s="384"/>
      <c r="BZ46" s="384"/>
      <c r="CA46" s="384"/>
      <c r="CB46" s="384"/>
      <c r="CC46" s="384"/>
    </row>
    <row r="47" spans="1:81" s="68" customFormat="1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  <c r="AE47" s="384"/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384"/>
      <c r="AW47" s="384"/>
      <c r="AX47" s="384"/>
      <c r="AY47" s="384"/>
      <c r="AZ47" s="384"/>
      <c r="BA47" s="384"/>
      <c r="BB47" s="384"/>
      <c r="BC47" s="384"/>
      <c r="BD47" s="384"/>
      <c r="BE47" s="384"/>
      <c r="BF47" s="384"/>
      <c r="BG47" s="384"/>
      <c r="BH47" s="384"/>
      <c r="BI47" s="384"/>
      <c r="BJ47" s="384"/>
      <c r="BK47" s="384"/>
      <c r="BL47" s="384"/>
      <c r="BM47" s="384"/>
      <c r="BN47" s="384"/>
      <c r="BO47" s="384"/>
      <c r="BP47" s="384"/>
      <c r="BQ47" s="384"/>
      <c r="BR47" s="384"/>
      <c r="BS47" s="384"/>
      <c r="BT47" s="384"/>
      <c r="BU47" s="384"/>
      <c r="BV47" s="384"/>
      <c r="BW47" s="384"/>
      <c r="BX47" s="384"/>
      <c r="BY47" s="384"/>
      <c r="BZ47" s="384"/>
      <c r="CA47" s="384"/>
      <c r="CB47" s="384"/>
      <c r="CC47" s="384"/>
    </row>
    <row r="48" spans="1:81" s="68" customFormat="1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  <c r="AE48" s="384"/>
      <c r="AF48" s="384"/>
      <c r="AG48" s="384"/>
      <c r="AH48" s="384"/>
      <c r="AI48" s="384"/>
      <c r="AJ48" s="384"/>
      <c r="AK48" s="384"/>
      <c r="AL48" s="384"/>
      <c r="AM48" s="384"/>
      <c r="AN48" s="384"/>
      <c r="AO48" s="384"/>
      <c r="AP48" s="384"/>
      <c r="AQ48" s="384"/>
      <c r="AR48" s="384"/>
      <c r="AS48" s="384"/>
      <c r="AT48" s="384"/>
      <c r="AU48" s="384"/>
      <c r="AV48" s="384"/>
      <c r="AW48" s="384"/>
      <c r="AX48" s="384"/>
      <c r="AY48" s="384"/>
      <c r="AZ48" s="384"/>
      <c r="BA48" s="384"/>
      <c r="BB48" s="384"/>
      <c r="BC48" s="384"/>
      <c r="BD48" s="384"/>
      <c r="BE48" s="384"/>
      <c r="BF48" s="384"/>
      <c r="BG48" s="384"/>
      <c r="BH48" s="384"/>
      <c r="BI48" s="384"/>
      <c r="BJ48" s="384"/>
      <c r="BK48" s="384"/>
      <c r="BL48" s="384"/>
      <c r="BM48" s="384"/>
      <c r="BN48" s="384"/>
      <c r="BO48" s="384"/>
      <c r="BP48" s="384"/>
      <c r="BQ48" s="384"/>
      <c r="BR48" s="384"/>
      <c r="BS48" s="384"/>
      <c r="BT48" s="384"/>
      <c r="BU48" s="384"/>
      <c r="BV48" s="384"/>
      <c r="BW48" s="384"/>
      <c r="BX48" s="384"/>
      <c r="BY48" s="384"/>
      <c r="BZ48" s="384"/>
      <c r="CA48" s="384"/>
      <c r="CB48" s="384"/>
      <c r="CC48" s="384"/>
    </row>
    <row r="49" spans="1:81" s="68" customFormat="1">
      <c r="A49" s="157"/>
      <c r="B49" s="152"/>
      <c r="C49" s="124"/>
      <c r="D49" s="131"/>
      <c r="E49" s="1531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4"/>
      <c r="Q49" s="156"/>
      <c r="R49" s="139"/>
      <c r="S49" s="139"/>
      <c r="T49" s="138"/>
      <c r="U49" s="144"/>
      <c r="V49" s="1531"/>
      <c r="W49" s="124"/>
      <c r="X49" s="139"/>
      <c r="Y49" s="134"/>
      <c r="Z49" s="134"/>
      <c r="AA49" s="139"/>
      <c r="AB49" s="138"/>
      <c r="AE49" s="384"/>
      <c r="AF49" s="384"/>
      <c r="AG49" s="384"/>
      <c r="AH49" s="384"/>
      <c r="AI49" s="384"/>
      <c r="AJ49" s="384"/>
      <c r="AK49" s="384"/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  <c r="BC49" s="384"/>
      <c r="BD49" s="384"/>
      <c r="BE49" s="384"/>
      <c r="BF49" s="384"/>
      <c r="BG49" s="384"/>
      <c r="BH49" s="384"/>
      <c r="BI49" s="384"/>
      <c r="BJ49" s="384"/>
      <c r="BK49" s="384"/>
      <c r="BL49" s="384"/>
      <c r="BM49" s="384"/>
      <c r="BN49" s="384"/>
      <c r="BO49" s="384"/>
      <c r="BP49" s="384"/>
      <c r="BQ49" s="384"/>
      <c r="BR49" s="384"/>
      <c r="BS49" s="384"/>
      <c r="BT49" s="384"/>
      <c r="BU49" s="384"/>
      <c r="BV49" s="384"/>
      <c r="BW49" s="384"/>
      <c r="BX49" s="384"/>
      <c r="BY49" s="384"/>
      <c r="BZ49" s="384"/>
      <c r="CA49" s="384"/>
      <c r="CB49" s="384"/>
      <c r="CC49" s="384"/>
    </row>
    <row r="50" spans="1:81" s="68" customFormat="1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ref="W50:W59" si="2">U50*V50</f>
        <v>0</v>
      </c>
      <c r="X50" s="139"/>
      <c r="Y50" s="134"/>
      <c r="Z50" s="139"/>
      <c r="AA50" s="139"/>
      <c r="AB50" s="138"/>
      <c r="AE50" s="384"/>
      <c r="AF50" s="384"/>
      <c r="AG50" s="384"/>
      <c r="AH50" s="384"/>
      <c r="AI50" s="384"/>
      <c r="AJ50" s="384"/>
      <c r="AK50" s="384"/>
      <c r="AL50" s="384"/>
      <c r="AM50" s="384"/>
      <c r="AN50" s="384"/>
      <c r="AO50" s="384"/>
      <c r="AP50" s="384"/>
      <c r="AQ50" s="384"/>
      <c r="AR50" s="384"/>
      <c r="AS50" s="384"/>
      <c r="AT50" s="384"/>
      <c r="AU50" s="384"/>
      <c r="AV50" s="384"/>
      <c r="AW50" s="384"/>
      <c r="AX50" s="384"/>
      <c r="AY50" s="384"/>
      <c r="AZ50" s="384"/>
      <c r="BA50" s="384"/>
      <c r="BB50" s="384"/>
      <c r="BC50" s="384"/>
      <c r="BD50" s="384"/>
      <c r="BE50" s="384"/>
      <c r="BF50" s="384"/>
      <c r="BG50" s="384"/>
      <c r="BH50" s="384"/>
      <c r="BI50" s="384"/>
      <c r="BJ50" s="384"/>
      <c r="BK50" s="384"/>
      <c r="BL50" s="384"/>
      <c r="BM50" s="384"/>
      <c r="BN50" s="384"/>
      <c r="BO50" s="384"/>
      <c r="BP50" s="384"/>
      <c r="BQ50" s="384"/>
      <c r="BR50" s="384"/>
      <c r="BS50" s="384"/>
      <c r="BT50" s="384"/>
      <c r="BU50" s="384"/>
      <c r="BV50" s="384"/>
      <c r="BW50" s="384"/>
      <c r="BX50" s="384"/>
      <c r="BY50" s="384"/>
      <c r="BZ50" s="384"/>
      <c r="CA50" s="384"/>
      <c r="CB50" s="384"/>
      <c r="CC50" s="384"/>
    </row>
    <row r="51" spans="1:81" s="68" customFormat="1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2"/>
        <v>0</v>
      </c>
      <c r="X51" s="139"/>
      <c r="Y51" s="134"/>
      <c r="Z51" s="139"/>
      <c r="AA51" s="139"/>
      <c r="AB51" s="138"/>
      <c r="AE51" s="384"/>
      <c r="AF51" s="384"/>
      <c r="AG51" s="384"/>
      <c r="AH51" s="384"/>
      <c r="AI51" s="384"/>
      <c r="AJ51" s="384"/>
      <c r="AK51" s="384"/>
      <c r="AL51" s="384"/>
      <c r="AM51" s="384"/>
      <c r="AN51" s="384"/>
      <c r="AO51" s="384"/>
      <c r="AP51" s="384"/>
      <c r="AQ51" s="384"/>
      <c r="AR51" s="384"/>
      <c r="AS51" s="384"/>
      <c r="AT51" s="384"/>
      <c r="AU51" s="384"/>
      <c r="AV51" s="384"/>
      <c r="AW51" s="384"/>
      <c r="AX51" s="384"/>
      <c r="AY51" s="384"/>
      <c r="AZ51" s="384"/>
      <c r="BA51" s="384"/>
      <c r="BB51" s="384"/>
      <c r="BC51" s="384"/>
      <c r="BD51" s="384"/>
      <c r="BE51" s="384"/>
      <c r="BF51" s="384"/>
      <c r="BG51" s="384"/>
      <c r="BH51" s="384"/>
      <c r="BI51" s="384"/>
      <c r="BJ51" s="384"/>
      <c r="BK51" s="384"/>
      <c r="BL51" s="384"/>
      <c r="BM51" s="384"/>
      <c r="BN51" s="384"/>
      <c r="BO51" s="384"/>
      <c r="BP51" s="384"/>
      <c r="BQ51" s="384"/>
      <c r="BR51" s="384"/>
      <c r="BS51" s="384"/>
      <c r="BT51" s="384"/>
      <c r="BU51" s="384"/>
      <c r="BV51" s="384"/>
      <c r="BW51" s="384"/>
      <c r="BX51" s="384"/>
      <c r="BY51" s="384"/>
      <c r="BZ51" s="384"/>
      <c r="CA51" s="384"/>
      <c r="CB51" s="384"/>
      <c r="CC51" s="384"/>
    </row>
    <row r="52" spans="1:81" s="68" customFormat="1">
      <c r="A52" s="157"/>
      <c r="B52" s="152"/>
      <c r="C52" s="124">
        <f>D52*E52</f>
        <v>0</v>
      </c>
      <c r="D52" s="131"/>
      <c r="E52" s="1531"/>
      <c r="F52" s="124">
        <f>D52*E52</f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31"/>
      <c r="W52" s="124">
        <f t="shared" si="2"/>
        <v>0</v>
      </c>
      <c r="X52" s="139"/>
      <c r="Y52" s="134"/>
      <c r="Z52" s="139"/>
      <c r="AA52" s="139"/>
      <c r="AB52" s="138"/>
      <c r="AE52" s="384"/>
      <c r="AF52" s="384"/>
      <c r="AG52" s="384"/>
      <c r="AH52" s="384"/>
      <c r="AI52" s="384"/>
      <c r="AJ52" s="384"/>
      <c r="AK52" s="384"/>
      <c r="AL52" s="384"/>
      <c r="AM52" s="384"/>
      <c r="AN52" s="384"/>
      <c r="AO52" s="384"/>
      <c r="AP52" s="384"/>
      <c r="AQ52" s="384"/>
      <c r="AR52" s="384"/>
      <c r="AS52" s="384"/>
      <c r="AT52" s="384"/>
      <c r="AU52" s="384"/>
      <c r="AV52" s="384"/>
      <c r="AW52" s="384"/>
      <c r="AX52" s="384"/>
      <c r="AY52" s="384"/>
      <c r="AZ52" s="384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N52" s="384"/>
      <c r="BO52" s="384"/>
      <c r="BP52" s="384"/>
      <c r="BQ52" s="384"/>
      <c r="BR52" s="384"/>
      <c r="BS52" s="384"/>
      <c r="BT52" s="384"/>
      <c r="BU52" s="384"/>
      <c r="BV52" s="384"/>
      <c r="BW52" s="384"/>
      <c r="BX52" s="384"/>
      <c r="BY52" s="384"/>
      <c r="BZ52" s="384"/>
      <c r="CA52" s="384"/>
      <c r="CB52" s="384"/>
      <c r="CC52" s="384"/>
    </row>
    <row r="53" spans="1:81" s="68" customFormat="1">
      <c r="A53" s="157"/>
      <c r="B53" s="152"/>
      <c r="C53" s="124"/>
      <c r="D53" s="131"/>
      <c r="E53" s="157"/>
      <c r="F53" s="124"/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2"/>
        <v>0</v>
      </c>
      <c r="X53" s="139"/>
      <c r="Y53" s="134"/>
      <c r="Z53" s="139"/>
      <c r="AA53" s="139"/>
      <c r="AB53" s="138"/>
      <c r="AE53" s="384"/>
      <c r="AF53" s="384"/>
      <c r="AG53" s="384"/>
      <c r="AH53" s="384"/>
      <c r="AI53" s="384"/>
      <c r="AJ53" s="384"/>
      <c r="AK53" s="384"/>
      <c r="AL53" s="384"/>
      <c r="AM53" s="384"/>
      <c r="AN53" s="384"/>
      <c r="AO53" s="384"/>
      <c r="AP53" s="384"/>
      <c r="AQ53" s="384"/>
      <c r="AR53" s="384"/>
      <c r="AS53" s="384"/>
      <c r="AT53" s="384"/>
      <c r="AU53" s="384"/>
      <c r="AV53" s="384"/>
      <c r="AW53" s="384"/>
      <c r="AX53" s="384"/>
      <c r="AY53" s="384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M53" s="384"/>
      <c r="BN53" s="384"/>
      <c r="BO53" s="384"/>
      <c r="BP53" s="384"/>
      <c r="BQ53" s="384"/>
      <c r="BR53" s="384"/>
      <c r="BS53" s="384"/>
      <c r="BT53" s="384"/>
      <c r="BU53" s="384"/>
      <c r="BV53" s="384"/>
      <c r="BW53" s="384"/>
      <c r="BX53" s="384"/>
      <c r="BY53" s="384"/>
      <c r="BZ53" s="384"/>
      <c r="CA53" s="384"/>
      <c r="CB53" s="384"/>
      <c r="CC53" s="384"/>
    </row>
    <row r="54" spans="1:81" s="68" customFormat="1">
      <c r="A54" s="1530"/>
      <c r="B54" s="152"/>
      <c r="C54" s="124">
        <f t="shared" ref="C54:C59" si="3">D54*E54</f>
        <v>0</v>
      </c>
      <c r="D54" s="131"/>
      <c r="E54" s="157"/>
      <c r="F54" s="124">
        <f t="shared" ref="F54:F59" si="4">D54*E54</f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2"/>
        <v>0</v>
      </c>
      <c r="X54" s="139"/>
      <c r="Y54" s="134"/>
      <c r="Z54" s="139"/>
      <c r="AA54" s="139"/>
      <c r="AB54" s="138"/>
      <c r="AE54" s="384"/>
      <c r="AF54" s="384"/>
      <c r="AG54" s="384"/>
      <c r="AH54" s="384"/>
      <c r="AI54" s="384"/>
      <c r="AJ54" s="384"/>
      <c r="AK54" s="384"/>
      <c r="AL54" s="384"/>
      <c r="AM54" s="384"/>
      <c r="AN54" s="384"/>
      <c r="AO54" s="384"/>
      <c r="AP54" s="384"/>
      <c r="AQ54" s="384"/>
      <c r="AR54" s="384"/>
      <c r="AS54" s="384"/>
      <c r="AT54" s="384"/>
      <c r="AU54" s="384"/>
      <c r="AV54" s="384"/>
      <c r="AW54" s="384"/>
      <c r="AX54" s="384"/>
      <c r="AY54" s="384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M54" s="384"/>
      <c r="BN54" s="384"/>
      <c r="BO54" s="384"/>
      <c r="BP54" s="384"/>
      <c r="BQ54" s="384"/>
      <c r="BR54" s="384"/>
      <c r="BS54" s="384"/>
      <c r="BT54" s="384"/>
      <c r="BU54" s="384"/>
      <c r="BV54" s="384"/>
      <c r="BW54" s="384"/>
      <c r="BX54" s="384"/>
      <c r="BY54" s="384"/>
      <c r="BZ54" s="384"/>
      <c r="CA54" s="384"/>
      <c r="CB54" s="384"/>
      <c r="CC54" s="384"/>
    </row>
    <row r="55" spans="1:81" s="68" customFormat="1">
      <c r="A55" s="157"/>
      <c r="B55" s="152"/>
      <c r="C55" s="124">
        <f t="shared" si="3"/>
        <v>0</v>
      </c>
      <c r="D55" s="131"/>
      <c r="E55" s="146"/>
      <c r="F55" s="124">
        <f t="shared" si="4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46"/>
      <c r="W55" s="124">
        <f t="shared" si="2"/>
        <v>0</v>
      </c>
      <c r="X55" s="139"/>
      <c r="Y55" s="134"/>
      <c r="Z55" s="139"/>
      <c r="AA55" s="139"/>
      <c r="AB55" s="138"/>
      <c r="AE55" s="384"/>
      <c r="AF55" s="384"/>
      <c r="AG55" s="384"/>
      <c r="AH55" s="384"/>
      <c r="AI55" s="384"/>
      <c r="AJ55" s="384"/>
      <c r="AK55" s="384"/>
      <c r="AL55" s="384"/>
      <c r="AM55" s="384"/>
      <c r="AN55" s="384"/>
      <c r="AO55" s="384"/>
      <c r="AP55" s="384"/>
      <c r="AQ55" s="384"/>
      <c r="AR55" s="384"/>
      <c r="AS55" s="384"/>
      <c r="AT55" s="384"/>
      <c r="AU55" s="384"/>
      <c r="AV55" s="384"/>
      <c r="AW55" s="384"/>
      <c r="AX55" s="384"/>
      <c r="AY55" s="384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M55" s="384"/>
      <c r="BN55" s="384"/>
      <c r="BO55" s="384"/>
      <c r="BP55" s="384"/>
      <c r="BQ55" s="384"/>
      <c r="BR55" s="384"/>
      <c r="BS55" s="384"/>
      <c r="BT55" s="384"/>
      <c r="BU55" s="384"/>
      <c r="BV55" s="384"/>
      <c r="BW55" s="384"/>
      <c r="BX55" s="384"/>
      <c r="BY55" s="384"/>
      <c r="BZ55" s="384"/>
      <c r="CA55" s="384"/>
      <c r="CB55" s="384"/>
      <c r="CC55" s="384"/>
    </row>
    <row r="56" spans="1:81" s="68" customFormat="1">
      <c r="A56" s="157"/>
      <c r="B56" s="152"/>
      <c r="C56" s="124">
        <f t="shared" si="3"/>
        <v>0</v>
      </c>
      <c r="D56" s="131"/>
      <c r="E56" s="157"/>
      <c r="F56" s="124">
        <f t="shared" si="4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57"/>
      <c r="W56" s="124">
        <f t="shared" si="2"/>
        <v>0</v>
      </c>
      <c r="X56" s="139"/>
      <c r="Y56" s="134"/>
      <c r="Z56" s="139"/>
      <c r="AA56" s="139"/>
      <c r="AB56" s="138"/>
      <c r="AE56" s="384"/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384"/>
      <c r="AW56" s="384"/>
      <c r="AX56" s="384"/>
      <c r="AY56" s="384"/>
      <c r="AZ56" s="384"/>
      <c r="BA56" s="384"/>
      <c r="BB56" s="384"/>
      <c r="BC56" s="384"/>
      <c r="BD56" s="384"/>
      <c r="BE56" s="384"/>
      <c r="BF56" s="384"/>
      <c r="BG56" s="384"/>
      <c r="BH56" s="384"/>
      <c r="BI56" s="384"/>
      <c r="BJ56" s="384"/>
      <c r="BK56" s="384"/>
      <c r="BL56" s="384"/>
      <c r="BM56" s="384"/>
      <c r="BN56" s="384"/>
      <c r="BO56" s="384"/>
      <c r="BP56" s="384"/>
      <c r="BQ56" s="384"/>
      <c r="BR56" s="384"/>
      <c r="BS56" s="384"/>
      <c r="BT56" s="384"/>
      <c r="BU56" s="384"/>
      <c r="BV56" s="384"/>
      <c r="BW56" s="384"/>
      <c r="BX56" s="384"/>
      <c r="BY56" s="384"/>
      <c r="BZ56" s="384"/>
      <c r="CA56" s="384"/>
      <c r="CB56" s="384"/>
      <c r="CC56" s="384"/>
    </row>
    <row r="57" spans="1:81" s="68" customFormat="1">
      <c r="A57" s="157"/>
      <c r="B57" s="152"/>
      <c r="C57" s="124">
        <f t="shared" si="3"/>
        <v>0</v>
      </c>
      <c r="D57" s="131"/>
      <c r="E57" s="146"/>
      <c r="F57" s="124">
        <f t="shared" si="4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46"/>
      <c r="W57" s="124">
        <f t="shared" si="2"/>
        <v>0</v>
      </c>
      <c r="X57" s="139"/>
      <c r="Y57" s="134"/>
      <c r="Z57" s="139"/>
      <c r="AA57" s="139"/>
      <c r="AB57" s="138"/>
      <c r="AE57" s="384"/>
      <c r="AF57" s="384"/>
      <c r="AG57" s="384"/>
      <c r="AH57" s="384"/>
      <c r="AI57" s="384"/>
      <c r="AJ57" s="384"/>
      <c r="AK57" s="384"/>
      <c r="AL57" s="384"/>
      <c r="AM57" s="384"/>
      <c r="AN57" s="384"/>
      <c r="AO57" s="384"/>
      <c r="AP57" s="384"/>
      <c r="AQ57" s="384"/>
      <c r="AR57" s="384"/>
      <c r="AS57" s="384"/>
      <c r="AT57" s="384"/>
      <c r="AU57" s="384"/>
      <c r="AV57" s="384"/>
      <c r="AW57" s="384"/>
      <c r="AX57" s="384"/>
      <c r="AY57" s="384"/>
      <c r="AZ57" s="384"/>
      <c r="BA57" s="384"/>
      <c r="BB57" s="384"/>
      <c r="BC57" s="384"/>
      <c r="BD57" s="384"/>
      <c r="BE57" s="384"/>
      <c r="BF57" s="384"/>
      <c r="BG57" s="384"/>
      <c r="BH57" s="384"/>
      <c r="BI57" s="384"/>
      <c r="BJ57" s="384"/>
      <c r="BK57" s="384"/>
      <c r="BL57" s="384"/>
      <c r="BM57" s="384"/>
      <c r="BN57" s="384"/>
      <c r="BO57" s="384"/>
      <c r="BP57" s="384"/>
      <c r="BQ57" s="384"/>
      <c r="BR57" s="384"/>
      <c r="BS57" s="384"/>
      <c r="BT57" s="384"/>
      <c r="BU57" s="384"/>
      <c r="BV57" s="384"/>
      <c r="BW57" s="384"/>
      <c r="BX57" s="384"/>
      <c r="BY57" s="384"/>
      <c r="BZ57" s="384"/>
      <c r="CA57" s="384"/>
      <c r="CB57" s="384"/>
      <c r="CC57" s="384"/>
    </row>
    <row r="58" spans="1:81" s="68" customFormat="1">
      <c r="A58" s="157"/>
      <c r="B58" s="152"/>
      <c r="C58" s="124">
        <f t="shared" si="3"/>
        <v>0</v>
      </c>
      <c r="D58" s="131"/>
      <c r="E58" s="157"/>
      <c r="F58" s="124">
        <f t="shared" si="4"/>
        <v>0</v>
      </c>
      <c r="G58" s="134"/>
      <c r="H58" s="134"/>
      <c r="I58" s="135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57"/>
      <c r="W58" s="124">
        <f t="shared" si="2"/>
        <v>0</v>
      </c>
      <c r="X58" s="139"/>
      <c r="Y58" s="134"/>
      <c r="Z58" s="139"/>
      <c r="AA58" s="139"/>
      <c r="AB58" s="138"/>
      <c r="AE58" s="384"/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384"/>
      <c r="BC58" s="384"/>
      <c r="BD58" s="384"/>
      <c r="BE58" s="384"/>
      <c r="BF58" s="384"/>
      <c r="BG58" s="384"/>
      <c r="BH58" s="384"/>
      <c r="BI58" s="384"/>
      <c r="BJ58" s="384"/>
      <c r="BK58" s="384"/>
      <c r="BL58" s="384"/>
      <c r="BM58" s="384"/>
      <c r="BN58" s="384"/>
      <c r="BO58" s="384"/>
      <c r="BP58" s="384"/>
      <c r="BQ58" s="384"/>
      <c r="BR58" s="384"/>
      <c r="BS58" s="384"/>
      <c r="BT58" s="384"/>
      <c r="BU58" s="384"/>
      <c r="BV58" s="384"/>
      <c r="BW58" s="384"/>
      <c r="BX58" s="384"/>
      <c r="BY58" s="384"/>
      <c r="BZ58" s="384"/>
      <c r="CA58" s="384"/>
      <c r="CB58" s="384"/>
      <c r="CC58" s="384"/>
    </row>
    <row r="59" spans="1:81" s="68" customFormat="1">
      <c r="A59" s="157"/>
      <c r="B59" s="158"/>
      <c r="C59" s="124">
        <f t="shared" si="3"/>
        <v>0</v>
      </c>
      <c r="D59" s="131"/>
      <c r="E59" s="132"/>
      <c r="F59" s="124">
        <f t="shared" si="4"/>
        <v>0</v>
      </c>
      <c r="G59" s="134"/>
      <c r="H59" s="134"/>
      <c r="I59" s="134"/>
      <c r="J59" s="134"/>
      <c r="K59" s="134"/>
      <c r="L59" s="139"/>
      <c r="M59" s="134"/>
      <c r="N59" s="134"/>
      <c r="O59" s="134"/>
      <c r="P59" s="139"/>
      <c r="Q59" s="134"/>
      <c r="R59" s="139"/>
      <c r="S59" s="139"/>
      <c r="T59" s="138"/>
      <c r="U59" s="144"/>
      <c r="V59" s="132"/>
      <c r="W59" s="124">
        <f t="shared" si="2"/>
        <v>0</v>
      </c>
      <c r="X59" s="139"/>
      <c r="Y59" s="134"/>
      <c r="Z59" s="139"/>
      <c r="AA59" s="139"/>
      <c r="AB59" s="138"/>
      <c r="AE59" s="384"/>
      <c r="AF59" s="384"/>
      <c r="AG59" s="384"/>
      <c r="AH59" s="384"/>
      <c r="AI59" s="384"/>
      <c r="AJ59" s="384"/>
      <c r="AK59" s="384"/>
      <c r="AL59" s="384"/>
      <c r="AM59" s="384"/>
      <c r="AN59" s="384"/>
      <c r="AO59" s="384"/>
      <c r="AP59" s="384"/>
      <c r="AQ59" s="384"/>
      <c r="AR59" s="384"/>
      <c r="AS59" s="384"/>
      <c r="AT59" s="384"/>
      <c r="AU59" s="384"/>
      <c r="AV59" s="384"/>
      <c r="AW59" s="384"/>
      <c r="AX59" s="384"/>
      <c r="AY59" s="384"/>
      <c r="AZ59" s="384"/>
      <c r="BA59" s="384"/>
      <c r="BB59" s="384"/>
      <c r="BC59" s="384"/>
      <c r="BD59" s="384"/>
      <c r="BE59" s="384"/>
      <c r="BF59" s="384"/>
      <c r="BG59" s="384"/>
      <c r="BH59" s="384"/>
      <c r="BI59" s="384"/>
      <c r="BJ59" s="384"/>
      <c r="BK59" s="384"/>
      <c r="BL59" s="384"/>
      <c r="BM59" s="384"/>
      <c r="BN59" s="384"/>
      <c r="BO59" s="384"/>
      <c r="BP59" s="384"/>
      <c r="BQ59" s="384"/>
      <c r="BR59" s="384"/>
      <c r="BS59" s="384"/>
      <c r="BT59" s="384"/>
      <c r="BU59" s="384"/>
      <c r="BV59" s="384"/>
      <c r="BW59" s="384"/>
      <c r="BX59" s="384"/>
      <c r="BY59" s="384"/>
      <c r="BZ59" s="384"/>
      <c r="CA59" s="384"/>
      <c r="CB59" s="384"/>
      <c r="CC59" s="384"/>
    </row>
    <row r="60" spans="1:81" s="68" customFormat="1">
      <c r="A60" s="159"/>
      <c r="B60" s="160" t="s">
        <v>17</v>
      </c>
      <c r="C60" s="1535">
        <f>SUM(C15:C59)</f>
        <v>1620000</v>
      </c>
      <c r="D60" s="1536"/>
      <c r="E60" s="1536"/>
      <c r="F60" s="1536">
        <f>SUM(F15:F59)</f>
        <v>1620000</v>
      </c>
      <c r="G60" s="1536">
        <f t="shared" ref="G60:N60" si="5">SUM(G16:G59)</f>
        <v>0</v>
      </c>
      <c r="H60" s="1536">
        <f t="shared" si="5"/>
        <v>0</v>
      </c>
      <c r="I60" s="1536">
        <f t="shared" si="5"/>
        <v>363000</v>
      </c>
      <c r="J60" s="1536">
        <f>SUM(J15:J59)</f>
        <v>326700</v>
      </c>
      <c r="K60" s="1536">
        <f t="shared" si="5"/>
        <v>0</v>
      </c>
      <c r="L60" s="1536">
        <f>SUM(L15:L59)</f>
        <v>326700</v>
      </c>
      <c r="M60" s="1536">
        <f t="shared" si="5"/>
        <v>0</v>
      </c>
      <c r="N60" s="1536">
        <f t="shared" si="5"/>
        <v>0</v>
      </c>
      <c r="O60" s="1536">
        <f>SUM(O14:O59)</f>
        <v>0</v>
      </c>
      <c r="P60" s="1536">
        <f>SUM(P14:P59)</f>
        <v>0</v>
      </c>
      <c r="Q60" s="1536">
        <f>SUM(Q14:Q59)</f>
        <v>0</v>
      </c>
      <c r="R60" s="1536">
        <f>SUM(R14:R59)</f>
        <v>0</v>
      </c>
      <c r="S60" s="1536">
        <f>SUM(S16:S59)</f>
        <v>0</v>
      </c>
      <c r="T60" s="1537">
        <f>W60-L60</f>
        <v>883800</v>
      </c>
      <c r="U60" s="1536"/>
      <c r="V60" s="1536"/>
      <c r="W60" s="1536">
        <f>SUM(W14:W59)</f>
        <v>1210500</v>
      </c>
      <c r="X60" s="1536">
        <f>SUM(X16:X59)</f>
        <v>0</v>
      </c>
      <c r="Y60" s="1536">
        <f>SUM(Y16:Y59)</f>
        <v>0</v>
      </c>
      <c r="Z60" s="1536">
        <f>SUM(Z16:Z59)</f>
        <v>0</v>
      </c>
      <c r="AA60" s="1536">
        <v>0</v>
      </c>
      <c r="AB60" s="1536">
        <f>SUM(AB16:AB59)</f>
        <v>0</v>
      </c>
      <c r="AE60" s="384"/>
      <c r="AF60" s="384"/>
      <c r="AG60" s="384"/>
      <c r="AH60" s="384"/>
      <c r="AI60" s="384"/>
      <c r="AJ60" s="384"/>
      <c r="AK60" s="384"/>
      <c r="AL60" s="384"/>
      <c r="AM60" s="384"/>
      <c r="AN60" s="384"/>
      <c r="AO60" s="384"/>
      <c r="AP60" s="384"/>
      <c r="AQ60" s="384"/>
      <c r="AR60" s="384"/>
      <c r="AS60" s="384"/>
      <c r="AT60" s="384"/>
      <c r="AU60" s="384"/>
      <c r="AV60" s="384"/>
      <c r="AW60" s="384"/>
      <c r="AX60" s="384"/>
      <c r="AY60" s="384"/>
      <c r="AZ60" s="384"/>
      <c r="BA60" s="384"/>
      <c r="BB60" s="384"/>
      <c r="BC60" s="384"/>
      <c r="BD60" s="384"/>
      <c r="BE60" s="384"/>
      <c r="BF60" s="384"/>
      <c r="BG60" s="384"/>
      <c r="BH60" s="384"/>
      <c r="BI60" s="384"/>
      <c r="BJ60" s="384"/>
      <c r="BK60" s="384"/>
      <c r="BL60" s="384"/>
      <c r="BM60" s="384"/>
      <c r="BN60" s="384"/>
      <c r="BO60" s="384"/>
      <c r="BP60" s="384"/>
      <c r="BQ60" s="384"/>
      <c r="BR60" s="384"/>
      <c r="BS60" s="384"/>
      <c r="BT60" s="384"/>
      <c r="BU60" s="384"/>
      <c r="BV60" s="384"/>
      <c r="BW60" s="384"/>
      <c r="BX60" s="384"/>
      <c r="BY60" s="384"/>
      <c r="BZ60" s="384"/>
      <c r="CA60" s="384"/>
      <c r="CB60" s="384"/>
      <c r="CC60" s="384"/>
    </row>
    <row r="61" spans="1:81" s="68" customFormat="1">
      <c r="A61" s="161"/>
      <c r="B61" s="162"/>
      <c r="C61" s="67"/>
      <c r="D61" s="67"/>
      <c r="E61" s="67"/>
      <c r="F61" s="163"/>
      <c r="G61" s="163"/>
      <c r="H61" s="163"/>
      <c r="I61" s="163"/>
      <c r="J61" s="163"/>
      <c r="K61" s="163"/>
      <c r="L61" s="163"/>
      <c r="M61" s="163"/>
      <c r="N61" s="163"/>
      <c r="O61" s="67"/>
      <c r="P61" s="163"/>
      <c r="Q61" s="67"/>
      <c r="R61" s="67"/>
      <c r="U61" s="67"/>
      <c r="V61" s="67"/>
      <c r="W61" s="163"/>
      <c r="AE61" s="384"/>
      <c r="AF61" s="384"/>
      <c r="AG61" s="384"/>
      <c r="AH61" s="384"/>
      <c r="AI61" s="384"/>
      <c r="AJ61" s="384"/>
      <c r="AK61" s="384"/>
      <c r="AL61" s="384"/>
      <c r="AM61" s="384"/>
      <c r="AN61" s="384"/>
      <c r="AO61" s="384"/>
      <c r="AP61" s="384"/>
      <c r="AQ61" s="384"/>
      <c r="AR61" s="384"/>
      <c r="AS61" s="384"/>
      <c r="AT61" s="384"/>
      <c r="AU61" s="384"/>
      <c r="AV61" s="384"/>
      <c r="AW61" s="384"/>
      <c r="AX61" s="384"/>
      <c r="AY61" s="384"/>
      <c r="AZ61" s="384"/>
      <c r="BA61" s="384"/>
      <c r="BB61" s="384"/>
      <c r="BC61" s="384"/>
      <c r="BD61" s="384"/>
      <c r="BE61" s="384"/>
      <c r="BF61" s="384"/>
      <c r="BG61" s="384"/>
      <c r="BH61" s="384"/>
      <c r="BI61" s="384"/>
      <c r="BJ61" s="384"/>
      <c r="BK61" s="384"/>
      <c r="BL61" s="384"/>
      <c r="BM61" s="384"/>
      <c r="BN61" s="384"/>
      <c r="BO61" s="384"/>
      <c r="BP61" s="384"/>
      <c r="BQ61" s="384"/>
      <c r="BR61" s="384"/>
      <c r="BS61" s="384"/>
      <c r="BT61" s="384"/>
      <c r="BU61" s="384"/>
      <c r="BV61" s="384"/>
      <c r="BW61" s="384"/>
      <c r="BX61" s="384"/>
      <c r="BY61" s="384"/>
      <c r="BZ61" s="384"/>
      <c r="CA61" s="384"/>
      <c r="CB61" s="384"/>
      <c r="CC61" s="384"/>
    </row>
    <row r="62" spans="1:81" s="68" customFormat="1">
      <c r="A62" s="164"/>
      <c r="B62" s="162"/>
      <c r="C62" s="67"/>
      <c r="D62" s="67"/>
      <c r="E62" s="67"/>
      <c r="F62" s="163"/>
      <c r="G62" s="163"/>
      <c r="H62" s="163"/>
      <c r="I62" s="163"/>
      <c r="J62" s="163"/>
      <c r="K62" s="163"/>
      <c r="L62" s="163"/>
      <c r="M62" s="163"/>
      <c r="N62" s="163"/>
      <c r="O62" s="67"/>
      <c r="P62" s="163"/>
      <c r="Q62" s="67"/>
      <c r="R62" s="67"/>
      <c r="U62" s="67"/>
      <c r="V62" s="67"/>
      <c r="W62" s="163"/>
      <c r="AE62" s="384"/>
      <c r="AF62" s="384"/>
      <c r="AG62" s="384"/>
      <c r="AH62" s="384"/>
      <c r="AI62" s="384"/>
      <c r="AJ62" s="384"/>
      <c r="AK62" s="384"/>
      <c r="AL62" s="384"/>
      <c r="AM62" s="384"/>
      <c r="AN62" s="384"/>
      <c r="AO62" s="384"/>
      <c r="AP62" s="384"/>
      <c r="AQ62" s="384"/>
      <c r="AR62" s="384"/>
      <c r="AS62" s="384"/>
      <c r="AT62" s="384"/>
      <c r="AU62" s="384"/>
      <c r="AV62" s="384"/>
      <c r="AW62" s="384"/>
      <c r="AX62" s="384"/>
      <c r="AY62" s="384"/>
      <c r="AZ62" s="384"/>
      <c r="BA62" s="384"/>
      <c r="BB62" s="384"/>
      <c r="BC62" s="384"/>
      <c r="BD62" s="384"/>
      <c r="BE62" s="384"/>
      <c r="BF62" s="384"/>
      <c r="BG62" s="384"/>
      <c r="BH62" s="384"/>
      <c r="BI62" s="384"/>
      <c r="BJ62" s="384"/>
      <c r="BK62" s="384"/>
      <c r="BL62" s="384"/>
      <c r="BM62" s="384"/>
      <c r="BN62" s="384"/>
      <c r="BO62" s="384"/>
      <c r="BP62" s="384"/>
      <c r="BQ62" s="384"/>
      <c r="BR62" s="384"/>
      <c r="BS62" s="384"/>
      <c r="BT62" s="384"/>
      <c r="BU62" s="384"/>
      <c r="BV62" s="384"/>
      <c r="BW62" s="384"/>
      <c r="BX62" s="384"/>
      <c r="BY62" s="384"/>
      <c r="BZ62" s="384"/>
      <c r="CA62" s="384"/>
      <c r="CB62" s="384"/>
      <c r="CC62" s="384"/>
    </row>
    <row r="63" spans="1:81" s="68" customFormat="1">
      <c r="A63" s="67"/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R63" s="67"/>
      <c r="U63" s="67"/>
      <c r="V63" s="67"/>
      <c r="W63" s="163"/>
      <c r="AE63" s="384"/>
      <c r="AF63" s="384"/>
      <c r="AG63" s="384"/>
      <c r="AH63" s="384"/>
      <c r="AI63" s="384"/>
      <c r="AJ63" s="384"/>
      <c r="AK63" s="384"/>
      <c r="AL63" s="384"/>
      <c r="AM63" s="384"/>
      <c r="AN63" s="384"/>
      <c r="AO63" s="384"/>
      <c r="AP63" s="384"/>
      <c r="AQ63" s="384"/>
      <c r="AR63" s="384"/>
      <c r="AS63" s="384"/>
      <c r="AT63" s="384"/>
      <c r="AU63" s="384"/>
      <c r="AV63" s="384"/>
      <c r="AW63" s="384"/>
      <c r="AX63" s="384"/>
      <c r="AY63" s="384"/>
      <c r="AZ63" s="384"/>
      <c r="BA63" s="384"/>
      <c r="BB63" s="384"/>
      <c r="BC63" s="384"/>
      <c r="BD63" s="384"/>
      <c r="BE63" s="384"/>
      <c r="BF63" s="384"/>
      <c r="BG63" s="384"/>
      <c r="BH63" s="384"/>
      <c r="BI63" s="384"/>
      <c r="BJ63" s="384"/>
      <c r="BK63" s="384"/>
      <c r="BL63" s="384"/>
      <c r="BM63" s="384"/>
      <c r="BN63" s="384"/>
      <c r="BO63" s="384"/>
      <c r="BP63" s="384"/>
      <c r="BQ63" s="384"/>
      <c r="BR63" s="384"/>
      <c r="BS63" s="384"/>
      <c r="BT63" s="384"/>
      <c r="BU63" s="384"/>
      <c r="BV63" s="384"/>
      <c r="BW63" s="384"/>
      <c r="BX63" s="384"/>
      <c r="BY63" s="384"/>
      <c r="BZ63" s="384"/>
      <c r="CA63" s="384"/>
      <c r="CB63" s="384"/>
      <c r="CC63" s="384"/>
    </row>
    <row r="64" spans="1:81" s="68" customFormat="1">
      <c r="A64" s="67"/>
      <c r="B64" s="67"/>
      <c r="C64" s="67"/>
      <c r="D64" s="67"/>
      <c r="E64" s="67"/>
      <c r="F64" s="163"/>
      <c r="G64" s="67"/>
      <c r="H64" s="67"/>
      <c r="I64" s="67"/>
      <c r="J64" s="67"/>
      <c r="K64" s="67"/>
      <c r="L64" s="67"/>
      <c r="M64" s="67"/>
      <c r="N64" s="67"/>
      <c r="O64" s="67"/>
      <c r="P64" s="67"/>
      <c r="R64" s="67"/>
      <c r="U64" s="67"/>
      <c r="V64" s="67"/>
      <c r="W64" s="163"/>
      <c r="AE64" s="384"/>
      <c r="AF64" s="384"/>
      <c r="AG64" s="384"/>
      <c r="AH64" s="384"/>
      <c r="AI64" s="384"/>
      <c r="AJ64" s="384"/>
      <c r="AK64" s="384"/>
      <c r="AL64" s="384"/>
      <c r="AM64" s="384"/>
      <c r="AN64" s="384"/>
      <c r="AO64" s="384"/>
      <c r="AP64" s="384"/>
      <c r="AQ64" s="384"/>
      <c r="AR64" s="384"/>
      <c r="AS64" s="384"/>
      <c r="AT64" s="384"/>
      <c r="AU64" s="384"/>
      <c r="AV64" s="384"/>
      <c r="AW64" s="384"/>
      <c r="AX64" s="384"/>
      <c r="AY64" s="384"/>
      <c r="AZ64" s="384"/>
      <c r="BA64" s="384"/>
      <c r="BB64" s="384"/>
      <c r="BC64" s="384"/>
      <c r="BD64" s="384"/>
      <c r="BE64" s="384"/>
      <c r="BF64" s="384"/>
      <c r="BG64" s="384"/>
      <c r="BH64" s="384"/>
      <c r="BI64" s="384"/>
      <c r="BJ64" s="384"/>
      <c r="BK64" s="384"/>
      <c r="BL64" s="384"/>
      <c r="BM64" s="384"/>
      <c r="BN64" s="384"/>
      <c r="BO64" s="384"/>
      <c r="BP64" s="384"/>
      <c r="BQ64" s="384"/>
      <c r="BR64" s="384"/>
      <c r="BS64" s="384"/>
      <c r="BT64" s="384"/>
      <c r="BU64" s="384"/>
      <c r="BV64" s="384"/>
      <c r="BW64" s="384"/>
      <c r="BX64" s="384"/>
      <c r="BY64" s="384"/>
      <c r="BZ64" s="384"/>
      <c r="CA64" s="384"/>
      <c r="CB64" s="384"/>
      <c r="CC64" s="384"/>
    </row>
    <row r="65" spans="1:81" s="68" customFormat="1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R65" s="67"/>
      <c r="U65" s="67"/>
      <c r="V65" s="67"/>
      <c r="W65" s="67"/>
      <c r="AE65" s="384"/>
      <c r="AF65" s="384"/>
      <c r="AG65" s="384"/>
      <c r="AH65" s="384"/>
      <c r="AI65" s="384"/>
      <c r="AJ65" s="384"/>
      <c r="AK65" s="384"/>
      <c r="AL65" s="384"/>
      <c r="AM65" s="384"/>
      <c r="AN65" s="384"/>
      <c r="AO65" s="384"/>
      <c r="AP65" s="384"/>
      <c r="AQ65" s="384"/>
      <c r="AR65" s="384"/>
      <c r="AS65" s="384"/>
      <c r="AT65" s="384"/>
      <c r="AU65" s="384"/>
      <c r="AV65" s="384"/>
      <c r="AW65" s="384"/>
      <c r="AX65" s="384"/>
      <c r="AY65" s="384"/>
      <c r="AZ65" s="384"/>
      <c r="BA65" s="384"/>
      <c r="BB65" s="384"/>
      <c r="BC65" s="384"/>
      <c r="BD65" s="384"/>
      <c r="BE65" s="384"/>
      <c r="BF65" s="384"/>
      <c r="BG65" s="384"/>
      <c r="BH65" s="384"/>
      <c r="BI65" s="384"/>
      <c r="BJ65" s="384"/>
      <c r="BK65" s="384"/>
      <c r="BL65" s="384"/>
      <c r="BM65" s="384"/>
      <c r="BN65" s="384"/>
      <c r="BO65" s="384"/>
      <c r="BP65" s="384"/>
      <c r="BQ65" s="384"/>
      <c r="BR65" s="384"/>
      <c r="BS65" s="384"/>
      <c r="BT65" s="384"/>
      <c r="BU65" s="384"/>
      <c r="BV65" s="384"/>
      <c r="BW65" s="384"/>
      <c r="BX65" s="384"/>
      <c r="BY65" s="384"/>
      <c r="BZ65" s="384"/>
      <c r="CA65" s="384"/>
      <c r="CB65" s="384"/>
      <c r="CC65" s="384"/>
    </row>
    <row r="66" spans="1:81" s="68" customFormat="1">
      <c r="A66" s="67" t="s">
        <v>59</v>
      </c>
      <c r="B66" s="67"/>
      <c r="C66" s="67"/>
      <c r="D66" s="67"/>
      <c r="E66" s="67"/>
      <c r="F66" s="163"/>
      <c r="G66" s="67"/>
      <c r="H66" s="67"/>
      <c r="I66" s="67"/>
      <c r="J66" s="67"/>
      <c r="K66" s="67"/>
      <c r="L66" s="67"/>
      <c r="M66" s="67"/>
      <c r="N66" s="67"/>
      <c r="O66" s="67"/>
      <c r="P66" s="67"/>
      <c r="U66" s="67"/>
      <c r="V66" s="67"/>
      <c r="W66" s="163"/>
      <c r="AE66" s="384"/>
      <c r="AF66" s="384"/>
      <c r="AG66" s="384"/>
      <c r="AH66" s="384"/>
      <c r="AI66" s="384"/>
      <c r="AJ66" s="384"/>
      <c r="AK66" s="384"/>
      <c r="AL66" s="384"/>
      <c r="AM66" s="384"/>
      <c r="AN66" s="384"/>
      <c r="AO66" s="384"/>
      <c r="AP66" s="384"/>
      <c r="AQ66" s="384"/>
      <c r="AR66" s="384"/>
      <c r="AS66" s="384"/>
      <c r="AT66" s="384"/>
      <c r="AU66" s="384"/>
      <c r="AV66" s="384"/>
      <c r="AW66" s="384"/>
      <c r="AX66" s="384"/>
      <c r="AY66" s="384"/>
      <c r="AZ66" s="384"/>
      <c r="BA66" s="384"/>
      <c r="BB66" s="384"/>
      <c r="BC66" s="384"/>
      <c r="BD66" s="384"/>
      <c r="BE66" s="384"/>
      <c r="BF66" s="384"/>
      <c r="BG66" s="384"/>
      <c r="BH66" s="384"/>
      <c r="BI66" s="384"/>
      <c r="BJ66" s="384"/>
      <c r="BK66" s="384"/>
      <c r="BL66" s="384"/>
      <c r="BM66" s="384"/>
      <c r="BN66" s="384"/>
      <c r="BO66" s="384"/>
      <c r="BP66" s="384"/>
      <c r="BQ66" s="384"/>
      <c r="BR66" s="384"/>
      <c r="BS66" s="384"/>
      <c r="BT66" s="384"/>
      <c r="BU66" s="384"/>
      <c r="BV66" s="384"/>
      <c r="BW66" s="384"/>
      <c r="BX66" s="384"/>
      <c r="BY66" s="384"/>
      <c r="BZ66" s="384"/>
      <c r="CA66" s="384"/>
      <c r="CB66" s="384"/>
      <c r="CC66" s="384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4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1"/>
  <sheetViews>
    <sheetView showGridLines="0" showZeros="0" view="pageBreakPreview" topLeftCell="B70" zoomScaleNormal="100" zoomScaleSheetLayoutView="100" workbookViewId="0">
      <selection activeCell="L88" sqref="L88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875" style="304" bestFit="1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165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795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328</v>
      </c>
      <c r="E3" s="2149"/>
      <c r="F3" s="243" t="s">
        <v>84</v>
      </c>
      <c r="G3" s="65" t="s">
        <v>499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796</v>
      </c>
      <c r="C4" s="2385" t="s">
        <v>467</v>
      </c>
      <c r="D4" s="1325" t="s">
        <v>797</v>
      </c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201500445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653"/>
      <c r="C6" s="828"/>
      <c r="D6" s="828"/>
      <c r="E6" s="831"/>
      <c r="F6" s="825"/>
      <c r="G6" s="825"/>
      <c r="H6" s="833"/>
      <c r="I6" s="834"/>
      <c r="J6" s="878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798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58" t="s">
        <v>3</v>
      </c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56</v>
      </c>
      <c r="V11" s="858"/>
      <c r="W11" s="855" t="s">
        <v>56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36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876" t="s">
        <v>86</v>
      </c>
      <c r="Y13" s="328"/>
      <c r="Z13" s="328"/>
      <c r="AA13" s="328"/>
      <c r="AB13" s="328"/>
    </row>
    <row r="14" spans="1:31" ht="15.75" customHeight="1">
      <c r="A14" s="2512"/>
      <c r="B14" s="2513" t="s">
        <v>205</v>
      </c>
      <c r="C14" s="2514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1479"/>
      <c r="B15" s="2515" t="s">
        <v>799</v>
      </c>
      <c r="C15" s="2516">
        <v>490941</v>
      </c>
      <c r="D15" s="124">
        <v>81510</v>
      </c>
      <c r="E15" s="357">
        <v>1</v>
      </c>
      <c r="F15" s="124">
        <f>E15*D15</f>
        <v>81510</v>
      </c>
      <c r="G15" s="188"/>
      <c r="H15" s="188"/>
      <c r="I15" s="124"/>
      <c r="J15" s="188"/>
      <c r="K15" s="188"/>
      <c r="L15" s="143">
        <f>I15-J15+K15</f>
        <v>0</v>
      </c>
      <c r="M15" s="188"/>
      <c r="N15" s="188"/>
      <c r="O15" s="188"/>
      <c r="P15" s="124"/>
      <c r="Q15" s="188"/>
      <c r="R15" s="191"/>
      <c r="S15" s="191"/>
      <c r="T15" s="1508">
        <f t="shared" ref="T15:T78" si="0">W15-L15</f>
        <v>0</v>
      </c>
      <c r="U15" s="124">
        <v>0</v>
      </c>
      <c r="V15" s="357"/>
      <c r="W15" s="124">
        <f>V15*U15</f>
        <v>0</v>
      </c>
      <c r="X15" s="143"/>
      <c r="Z15" s="1508"/>
      <c r="AA15" s="136"/>
      <c r="AB15" s="136"/>
    </row>
    <row r="16" spans="1:31" ht="15">
      <c r="A16" s="1479"/>
      <c r="B16" s="2515" t="s">
        <v>800</v>
      </c>
      <c r="C16" s="2516">
        <v>741114</v>
      </c>
      <c r="D16" s="124">
        <v>114114</v>
      </c>
      <c r="E16" s="357">
        <v>1</v>
      </c>
      <c r="F16" s="124">
        <f t="shared" ref="F16:F42" si="1">E16*D16</f>
        <v>114114</v>
      </c>
      <c r="G16" s="143"/>
      <c r="H16" s="143"/>
      <c r="I16" s="187"/>
      <c r="J16" s="143"/>
      <c r="K16" s="143"/>
      <c r="L16" s="143">
        <f t="shared" ref="L16:L79" si="2">I16-J16+K16</f>
        <v>0</v>
      </c>
      <c r="M16" s="143"/>
      <c r="N16" s="143">
        <f>G16</f>
        <v>0</v>
      </c>
      <c r="O16" s="143"/>
      <c r="P16" s="124"/>
      <c r="Q16" s="358"/>
      <c r="R16" s="124"/>
      <c r="S16" s="143"/>
      <c r="T16" s="1508">
        <f t="shared" si="0"/>
        <v>0</v>
      </c>
      <c r="U16" s="304">
        <v>0</v>
      </c>
      <c r="V16" s="879"/>
      <c r="W16" s="124">
        <f t="shared" ref="W16:W79" si="3">V16*U16</f>
        <v>0</v>
      </c>
      <c r="X16" s="143"/>
      <c r="Y16" s="143"/>
      <c r="Z16" s="143"/>
      <c r="AA16" s="143"/>
      <c r="AB16" s="143"/>
    </row>
    <row r="17" spans="1:31" ht="15">
      <c r="A17" s="1479"/>
      <c r="B17" s="2515" t="s">
        <v>801</v>
      </c>
      <c r="C17" s="2516">
        <v>1156188</v>
      </c>
      <c r="D17" s="124">
        <v>1156188</v>
      </c>
      <c r="E17" s="357">
        <v>1</v>
      </c>
      <c r="F17" s="124">
        <f t="shared" si="1"/>
        <v>1156188</v>
      </c>
      <c r="G17" s="143"/>
      <c r="H17" s="143"/>
      <c r="I17" s="143"/>
      <c r="J17" s="143"/>
      <c r="K17" s="143"/>
      <c r="L17" s="143">
        <f t="shared" si="2"/>
        <v>0</v>
      </c>
      <c r="M17" s="143">
        <f>+M16/1.2</f>
        <v>0</v>
      </c>
      <c r="N17" s="143">
        <f>+N16/1.2</f>
        <v>0</v>
      </c>
      <c r="O17" s="143"/>
      <c r="P17" s="143"/>
      <c r="Q17" s="141"/>
      <c r="R17" s="124"/>
      <c r="S17" s="143"/>
      <c r="T17" s="1508">
        <f t="shared" si="0"/>
        <v>0</v>
      </c>
      <c r="U17" s="124">
        <v>0</v>
      </c>
      <c r="V17" s="190"/>
      <c r="W17" s="124">
        <f t="shared" si="3"/>
        <v>0</v>
      </c>
      <c r="X17" s="143"/>
      <c r="Y17" s="143"/>
      <c r="Z17" s="143"/>
      <c r="AA17" s="143"/>
      <c r="AB17" s="143"/>
      <c r="AC17" s="305"/>
      <c r="AD17" s="305"/>
      <c r="AE17" s="305"/>
    </row>
    <row r="18" spans="1:31" ht="15">
      <c r="A18" s="1479"/>
      <c r="B18" s="2515" t="s">
        <v>802</v>
      </c>
      <c r="C18" s="2516">
        <v>1803250.8081983998</v>
      </c>
      <c r="D18" s="124">
        <v>386232</v>
      </c>
      <c r="E18" s="357">
        <v>1</v>
      </c>
      <c r="F18" s="124">
        <f t="shared" si="1"/>
        <v>386232</v>
      </c>
      <c r="G18" s="143"/>
      <c r="H18" s="143"/>
      <c r="I18" s="143"/>
      <c r="J18" s="143"/>
      <c r="K18" s="143"/>
      <c r="L18" s="143">
        <f t="shared" si="2"/>
        <v>0</v>
      </c>
      <c r="M18" s="143"/>
      <c r="N18" s="143"/>
      <c r="O18" s="143"/>
      <c r="P18" s="2269"/>
      <c r="Q18" s="141"/>
      <c r="R18" s="143"/>
      <c r="S18" s="143"/>
      <c r="T18" s="1508">
        <f t="shared" si="0"/>
        <v>0</v>
      </c>
      <c r="U18" s="124">
        <v>0</v>
      </c>
      <c r="V18" s="190"/>
      <c r="W18" s="124">
        <f t="shared" si="3"/>
        <v>0</v>
      </c>
      <c r="X18" s="143"/>
      <c r="Y18" s="143"/>
      <c r="Z18" s="143"/>
      <c r="AA18" s="143"/>
      <c r="AB18" s="143"/>
      <c r="AC18" s="305"/>
      <c r="AD18" s="305"/>
      <c r="AE18" s="305"/>
    </row>
    <row r="19" spans="1:31" ht="15">
      <c r="A19" s="1479"/>
      <c r="B19" s="2515" t="s">
        <v>803</v>
      </c>
      <c r="C19" s="2516">
        <v>3698046</v>
      </c>
      <c r="D19" s="124">
        <v>3698046</v>
      </c>
      <c r="E19" s="357">
        <v>1</v>
      </c>
      <c r="F19" s="124">
        <f t="shared" si="1"/>
        <v>3698046</v>
      </c>
      <c r="G19" s="143"/>
      <c r="H19" s="143"/>
      <c r="I19" s="143"/>
      <c r="J19" s="143"/>
      <c r="K19" s="143"/>
      <c r="L19" s="143">
        <f t="shared" si="2"/>
        <v>0</v>
      </c>
      <c r="M19" s="143"/>
      <c r="N19" s="143"/>
      <c r="O19" s="143"/>
      <c r="P19" s="143"/>
      <c r="Q19" s="141"/>
      <c r="R19" s="143"/>
      <c r="S19" s="143"/>
      <c r="T19" s="1508">
        <f t="shared" si="0"/>
        <v>0</v>
      </c>
      <c r="U19" s="124">
        <v>0</v>
      </c>
      <c r="V19" s="190"/>
      <c r="W19" s="124">
        <f t="shared" si="3"/>
        <v>0</v>
      </c>
      <c r="X19" s="143"/>
      <c r="Y19" s="143"/>
      <c r="Z19" s="143"/>
      <c r="AA19" s="143"/>
      <c r="AB19" s="143"/>
      <c r="AC19" s="305"/>
      <c r="AD19" s="305"/>
      <c r="AE19" s="305"/>
    </row>
    <row r="20" spans="1:31" ht="15">
      <c r="A20" s="1479"/>
      <c r="B20" s="2515" t="s">
        <v>804</v>
      </c>
      <c r="C20" s="2516">
        <v>124146</v>
      </c>
      <c r="D20" s="124">
        <v>124146</v>
      </c>
      <c r="E20" s="357">
        <v>1</v>
      </c>
      <c r="F20" s="124">
        <f t="shared" si="1"/>
        <v>124146</v>
      </c>
      <c r="G20" s="143"/>
      <c r="H20" s="143"/>
      <c r="I20" s="143"/>
      <c r="J20" s="143"/>
      <c r="K20" s="143"/>
      <c r="L20" s="143">
        <f t="shared" si="2"/>
        <v>0</v>
      </c>
      <c r="M20" s="143"/>
      <c r="N20" s="143"/>
      <c r="O20" s="143"/>
      <c r="P20" s="143"/>
      <c r="Q20" s="141"/>
      <c r="R20" s="124"/>
      <c r="S20" s="143">
        <f>+P20-R20</f>
        <v>0</v>
      </c>
      <c r="T20" s="1508">
        <f t="shared" si="0"/>
        <v>0</v>
      </c>
      <c r="U20" s="124">
        <v>0</v>
      </c>
      <c r="V20" s="190"/>
      <c r="W20" s="124">
        <f t="shared" si="3"/>
        <v>0</v>
      </c>
      <c r="X20" s="143"/>
      <c r="Y20" s="143"/>
      <c r="Z20" s="143"/>
      <c r="AA20" s="143"/>
      <c r="AB20" s="143"/>
      <c r="AC20" s="305"/>
      <c r="AD20" s="305"/>
      <c r="AE20" s="305"/>
    </row>
    <row r="21" spans="1:31" ht="12.75" customHeight="1">
      <c r="A21" s="1479"/>
      <c r="B21" s="2517" t="s">
        <v>805</v>
      </c>
      <c r="C21" s="2516">
        <v>372438</v>
      </c>
      <c r="D21" s="124">
        <v>372438</v>
      </c>
      <c r="E21" s="357">
        <v>1</v>
      </c>
      <c r="F21" s="124">
        <f t="shared" si="1"/>
        <v>372438</v>
      </c>
      <c r="G21" s="143"/>
      <c r="H21" s="143"/>
      <c r="I21" s="143"/>
      <c r="J21" s="143"/>
      <c r="K21" s="143"/>
      <c r="L21" s="143">
        <f t="shared" si="2"/>
        <v>0</v>
      </c>
      <c r="M21" s="143"/>
      <c r="N21" s="143"/>
      <c r="O21" s="143"/>
      <c r="P21" s="143"/>
      <c r="Q21" s="141"/>
      <c r="R21" s="124"/>
      <c r="S21" s="143"/>
      <c r="T21" s="1508">
        <f t="shared" si="0"/>
        <v>0</v>
      </c>
      <c r="U21" s="124">
        <v>0</v>
      </c>
      <c r="V21" s="190"/>
      <c r="W21" s="124">
        <f t="shared" si="3"/>
        <v>0</v>
      </c>
      <c r="X21" s="143"/>
      <c r="Y21" s="143"/>
      <c r="Z21" s="143"/>
      <c r="AA21" s="143"/>
      <c r="AB21" s="143"/>
      <c r="AC21" s="305"/>
      <c r="AD21" s="305"/>
      <c r="AE21" s="305"/>
    </row>
    <row r="22" spans="1:31" ht="15">
      <c r="A22" s="1479"/>
      <c r="B22" s="2515" t="s">
        <v>806</v>
      </c>
      <c r="C22" s="2516">
        <v>342342</v>
      </c>
      <c r="D22" s="124">
        <v>342342</v>
      </c>
      <c r="E22" s="357">
        <v>1</v>
      </c>
      <c r="F22" s="124">
        <f t="shared" si="1"/>
        <v>342342</v>
      </c>
      <c r="G22" s="143"/>
      <c r="H22" s="143"/>
      <c r="I22" s="143"/>
      <c r="J22" s="143"/>
      <c r="K22" s="143"/>
      <c r="L22" s="143">
        <f t="shared" si="2"/>
        <v>0</v>
      </c>
      <c r="M22" s="143"/>
      <c r="N22" s="143"/>
      <c r="O22" s="143"/>
      <c r="P22" s="143"/>
      <c r="Q22" s="141"/>
      <c r="R22" s="143"/>
      <c r="S22" s="143"/>
      <c r="T22" s="1508">
        <f t="shared" si="0"/>
        <v>0</v>
      </c>
      <c r="U22" s="124">
        <v>0</v>
      </c>
      <c r="V22" s="190"/>
      <c r="W22" s="124">
        <f t="shared" si="3"/>
        <v>0</v>
      </c>
      <c r="X22" s="143"/>
      <c r="Y22" s="143"/>
      <c r="Z22" s="143"/>
      <c r="AA22" s="143"/>
      <c r="AB22" s="143"/>
      <c r="AC22" s="305"/>
      <c r="AD22" s="305"/>
      <c r="AE22" s="305"/>
    </row>
    <row r="23" spans="1:31" ht="15">
      <c r="A23" s="1479"/>
      <c r="B23" s="2515" t="s">
        <v>807</v>
      </c>
      <c r="C23" s="2516">
        <v>663366</v>
      </c>
      <c r="D23" s="124">
        <v>193116</v>
      </c>
      <c r="E23" s="357">
        <v>1</v>
      </c>
      <c r="F23" s="124">
        <f t="shared" si="1"/>
        <v>193116</v>
      </c>
      <c r="G23" s="143"/>
      <c r="H23" s="143"/>
      <c r="I23" s="143"/>
      <c r="J23" s="143"/>
      <c r="K23" s="143"/>
      <c r="L23" s="143">
        <f t="shared" si="2"/>
        <v>0</v>
      </c>
      <c r="M23" s="143"/>
      <c r="N23" s="143"/>
      <c r="O23" s="143"/>
      <c r="P23" s="143"/>
      <c r="Q23" s="141"/>
      <c r="R23" s="143"/>
      <c r="S23" s="143"/>
      <c r="T23" s="1508">
        <f t="shared" si="0"/>
        <v>0</v>
      </c>
      <c r="U23" s="124">
        <v>0</v>
      </c>
      <c r="V23" s="190"/>
      <c r="W23" s="124">
        <f t="shared" si="3"/>
        <v>0</v>
      </c>
      <c r="X23" s="143"/>
      <c r="Y23" s="143"/>
      <c r="Z23" s="143"/>
      <c r="AA23" s="143"/>
      <c r="AB23" s="143"/>
      <c r="AC23" s="305"/>
      <c r="AD23" s="305"/>
      <c r="AE23" s="305"/>
    </row>
    <row r="24" spans="1:31" ht="24.75">
      <c r="A24" s="1480"/>
      <c r="B24" s="2518" t="s">
        <v>808</v>
      </c>
      <c r="C24" s="2516">
        <v>96558</v>
      </c>
      <c r="D24" s="124">
        <v>96558</v>
      </c>
      <c r="E24" s="357">
        <v>1</v>
      </c>
      <c r="F24" s="124">
        <f t="shared" si="1"/>
        <v>96558</v>
      </c>
      <c r="G24" s="143"/>
      <c r="H24" s="143"/>
      <c r="I24" s="143"/>
      <c r="J24" s="143"/>
      <c r="K24" s="143"/>
      <c r="L24" s="143">
        <f t="shared" si="2"/>
        <v>0</v>
      </c>
      <c r="M24" s="143"/>
      <c r="N24" s="143"/>
      <c r="O24" s="143"/>
      <c r="P24" s="143"/>
      <c r="Q24" s="141"/>
      <c r="R24" s="143"/>
      <c r="S24" s="143"/>
      <c r="T24" s="1508">
        <f t="shared" si="0"/>
        <v>0</v>
      </c>
      <c r="U24" s="124">
        <v>0</v>
      </c>
      <c r="V24" s="190"/>
      <c r="W24" s="124">
        <f t="shared" si="3"/>
        <v>0</v>
      </c>
      <c r="X24" s="143"/>
      <c r="Y24" s="143"/>
      <c r="Z24" s="143"/>
      <c r="AA24" s="143"/>
      <c r="AB24" s="143"/>
      <c r="AC24" s="305"/>
      <c r="AD24" s="305"/>
      <c r="AE24" s="305"/>
    </row>
    <row r="25" spans="1:31" ht="15">
      <c r="A25" s="1479"/>
      <c r="B25" s="2515" t="s">
        <v>809</v>
      </c>
      <c r="C25" s="2516">
        <v>82764</v>
      </c>
      <c r="D25" s="124">
        <v>82764</v>
      </c>
      <c r="E25" s="357">
        <v>1</v>
      </c>
      <c r="F25" s="124">
        <f t="shared" si="1"/>
        <v>82764</v>
      </c>
      <c r="G25" s="143"/>
      <c r="H25" s="143"/>
      <c r="I25" s="143"/>
      <c r="J25" s="143"/>
      <c r="K25" s="143"/>
      <c r="L25" s="143">
        <f t="shared" si="2"/>
        <v>0</v>
      </c>
      <c r="M25" s="143"/>
      <c r="N25" s="143"/>
      <c r="O25" s="143"/>
      <c r="P25" s="143"/>
      <c r="Q25" s="141"/>
      <c r="R25" s="143"/>
      <c r="S25" s="143"/>
      <c r="T25" s="1508">
        <f t="shared" si="0"/>
        <v>0</v>
      </c>
      <c r="U25" s="124">
        <v>0</v>
      </c>
      <c r="V25" s="190"/>
      <c r="W25" s="124">
        <f t="shared" si="3"/>
        <v>0</v>
      </c>
      <c r="X25" s="143"/>
      <c r="Y25" s="143"/>
      <c r="Z25" s="143"/>
      <c r="AA25" s="143"/>
      <c r="AB25" s="143"/>
      <c r="AC25" s="305"/>
      <c r="AD25" s="305"/>
      <c r="AE25" s="305"/>
    </row>
    <row r="26" spans="1:31" ht="15">
      <c r="A26" s="1479"/>
      <c r="B26" s="2523" t="s">
        <v>810</v>
      </c>
      <c r="C26" s="2516">
        <v>5589078</v>
      </c>
      <c r="D26" s="124">
        <v>5269308</v>
      </c>
      <c r="E26" s="357">
        <v>1</v>
      </c>
      <c r="F26" s="124">
        <f t="shared" si="1"/>
        <v>5269308</v>
      </c>
      <c r="G26" s="143">
        <v>119880</v>
      </c>
      <c r="H26" s="143" t="s">
        <v>104</v>
      </c>
      <c r="I26" s="143"/>
      <c r="J26" s="143"/>
      <c r="K26" s="143">
        <f>N26</f>
        <v>119880</v>
      </c>
      <c r="L26" s="143">
        <f t="shared" si="2"/>
        <v>119880</v>
      </c>
      <c r="M26" s="143"/>
      <c r="N26" s="143">
        <f>G26</f>
        <v>119880</v>
      </c>
      <c r="O26" s="143"/>
      <c r="P26" s="143"/>
      <c r="Q26" s="337"/>
      <c r="R26" s="143"/>
      <c r="S26" s="143"/>
      <c r="T26" s="1508">
        <f t="shared" si="0"/>
        <v>2466495</v>
      </c>
      <c r="U26" s="124">
        <v>2586375</v>
      </c>
      <c r="V26" s="356">
        <v>1</v>
      </c>
      <c r="W26" s="124">
        <f t="shared" si="3"/>
        <v>2586375</v>
      </c>
      <c r="X26" s="143"/>
      <c r="Y26" s="143"/>
      <c r="Z26" s="143"/>
      <c r="AA26" s="143"/>
      <c r="AB26" s="143"/>
      <c r="AC26" s="305"/>
      <c r="AD26" s="305"/>
      <c r="AE26" s="305"/>
    </row>
    <row r="27" spans="1:31" ht="15">
      <c r="A27" s="1479"/>
      <c r="B27" s="2515" t="s">
        <v>811</v>
      </c>
      <c r="C27" s="2516">
        <v>5784702</v>
      </c>
      <c r="D27" s="124">
        <v>5784702</v>
      </c>
      <c r="E27" s="357">
        <v>1</v>
      </c>
      <c r="F27" s="124">
        <f t="shared" si="1"/>
        <v>5784702</v>
      </c>
      <c r="G27" s="143">
        <v>98580</v>
      </c>
      <c r="H27" s="143" t="s">
        <v>373</v>
      </c>
      <c r="I27" s="143"/>
      <c r="J27" s="143"/>
      <c r="K27" s="143">
        <f>N27</f>
        <v>98580</v>
      </c>
      <c r="L27" s="143">
        <f t="shared" si="2"/>
        <v>98580</v>
      </c>
      <c r="M27" s="143"/>
      <c r="N27" s="143">
        <f>G27</f>
        <v>98580</v>
      </c>
      <c r="O27" s="143"/>
      <c r="P27" s="143"/>
      <c r="Q27" s="184"/>
      <c r="R27" s="143"/>
      <c r="S27" s="143"/>
      <c r="T27" s="1508">
        <f t="shared" si="0"/>
        <v>-98580</v>
      </c>
      <c r="U27" s="124">
        <v>0</v>
      </c>
      <c r="V27" s="190"/>
      <c r="W27" s="124">
        <f t="shared" si="3"/>
        <v>0</v>
      </c>
      <c r="X27" s="143"/>
      <c r="Y27" s="143"/>
      <c r="Z27" s="143"/>
      <c r="AA27" s="143"/>
      <c r="AB27" s="143"/>
      <c r="AC27" s="305"/>
      <c r="AD27" s="305"/>
      <c r="AE27" s="305"/>
    </row>
    <row r="28" spans="1:31" ht="15">
      <c r="A28" s="1479"/>
      <c r="B28" s="2515" t="s">
        <v>812</v>
      </c>
      <c r="C28" s="2516">
        <v>389994</v>
      </c>
      <c r="D28" s="124">
        <v>82764</v>
      </c>
      <c r="E28" s="357">
        <v>1</v>
      </c>
      <c r="F28" s="124">
        <f t="shared" si="1"/>
        <v>82764</v>
      </c>
      <c r="G28" s="143"/>
      <c r="H28" s="143"/>
      <c r="I28" s="143"/>
      <c r="J28" s="143"/>
      <c r="K28" s="143"/>
      <c r="L28" s="143">
        <f t="shared" si="2"/>
        <v>0</v>
      </c>
      <c r="M28" s="143"/>
      <c r="N28" s="143"/>
      <c r="O28" s="143"/>
      <c r="P28" s="143"/>
      <c r="Q28" s="184"/>
      <c r="R28" s="143"/>
      <c r="S28" s="143"/>
      <c r="T28" s="1508">
        <f t="shared" si="0"/>
        <v>0</v>
      </c>
      <c r="U28" s="124">
        <v>0</v>
      </c>
      <c r="V28" s="190"/>
      <c r="W28" s="124">
        <f t="shared" si="3"/>
        <v>0</v>
      </c>
      <c r="X28" s="143"/>
      <c r="Y28" s="143"/>
      <c r="Z28" s="143"/>
      <c r="AA28" s="143"/>
      <c r="AB28" s="143"/>
      <c r="AC28" s="305"/>
      <c r="AD28" s="305"/>
      <c r="AE28" s="305"/>
    </row>
    <row r="29" spans="1:31" ht="15">
      <c r="A29" s="1479"/>
      <c r="B29" s="2515" t="s">
        <v>813</v>
      </c>
      <c r="C29" s="2516">
        <v>96558</v>
      </c>
      <c r="D29" s="124">
        <v>96558</v>
      </c>
      <c r="E29" s="357">
        <v>1</v>
      </c>
      <c r="F29" s="124">
        <f t="shared" si="1"/>
        <v>96558</v>
      </c>
      <c r="G29" s="124"/>
      <c r="H29" s="124"/>
      <c r="I29" s="191"/>
      <c r="J29" s="124"/>
      <c r="K29" s="124"/>
      <c r="L29" s="143">
        <f t="shared" si="2"/>
        <v>0</v>
      </c>
      <c r="M29" s="124"/>
      <c r="N29" s="124"/>
      <c r="O29" s="124"/>
      <c r="P29" s="143"/>
      <c r="Q29" s="184"/>
      <c r="R29" s="143"/>
      <c r="S29" s="143"/>
      <c r="T29" s="1508">
        <f t="shared" si="0"/>
        <v>0</v>
      </c>
      <c r="U29" s="124">
        <v>0</v>
      </c>
      <c r="V29" s="190"/>
      <c r="W29" s="124">
        <f t="shared" si="3"/>
        <v>0</v>
      </c>
      <c r="X29" s="143"/>
      <c r="Y29" s="338"/>
      <c r="Z29" s="338"/>
      <c r="AA29" s="338"/>
      <c r="AB29" s="338"/>
      <c r="AC29" s="305"/>
      <c r="AD29" s="305"/>
      <c r="AE29" s="305"/>
    </row>
    <row r="30" spans="1:31" ht="15">
      <c r="A30" s="1479"/>
      <c r="B30" s="2515" t="s">
        <v>814</v>
      </c>
      <c r="C30" s="2516">
        <v>310992</v>
      </c>
      <c r="D30" s="124">
        <v>310992</v>
      </c>
      <c r="E30" s="357">
        <v>1</v>
      </c>
      <c r="F30" s="124">
        <f t="shared" si="1"/>
        <v>310992</v>
      </c>
      <c r="G30" s="124"/>
      <c r="H30" s="124"/>
      <c r="I30" s="191"/>
      <c r="J30" s="124"/>
      <c r="K30" s="124"/>
      <c r="L30" s="143">
        <f t="shared" si="2"/>
        <v>0</v>
      </c>
      <c r="M30" s="124"/>
      <c r="N30" s="124"/>
      <c r="O30" s="124"/>
      <c r="P30" s="124"/>
      <c r="Q30" s="184"/>
      <c r="R30" s="143"/>
      <c r="S30" s="143"/>
      <c r="T30" s="1508">
        <f t="shared" si="0"/>
        <v>0</v>
      </c>
      <c r="U30" s="124">
        <v>0</v>
      </c>
      <c r="V30" s="190"/>
      <c r="W30" s="124">
        <f t="shared" si="3"/>
        <v>0</v>
      </c>
      <c r="X30" s="338"/>
      <c r="Y30" s="338"/>
      <c r="Z30" s="338"/>
      <c r="AA30" s="338"/>
      <c r="AB30" s="338"/>
      <c r="AC30" s="305"/>
      <c r="AD30" s="305"/>
      <c r="AE30" s="305"/>
    </row>
    <row r="31" spans="1:31" ht="15">
      <c r="A31" s="1479"/>
      <c r="B31" s="2515" t="s">
        <v>815</v>
      </c>
      <c r="C31" s="2516">
        <v>1410750</v>
      </c>
      <c r="D31" s="124">
        <v>1410750</v>
      </c>
      <c r="E31" s="357">
        <v>1</v>
      </c>
      <c r="F31" s="124">
        <f t="shared" si="1"/>
        <v>1410750</v>
      </c>
      <c r="G31" s="124"/>
      <c r="H31" s="124"/>
      <c r="I31" s="191"/>
      <c r="J31" s="124"/>
      <c r="K31" s="124"/>
      <c r="L31" s="143">
        <f t="shared" si="2"/>
        <v>0</v>
      </c>
      <c r="M31" s="124"/>
      <c r="N31" s="124"/>
      <c r="O31" s="124"/>
      <c r="P31" s="124"/>
      <c r="Q31" s="184"/>
      <c r="R31" s="143"/>
      <c r="S31" s="143"/>
      <c r="T31" s="1508">
        <f t="shared" si="0"/>
        <v>0</v>
      </c>
      <c r="U31" s="124">
        <v>0</v>
      </c>
      <c r="V31" s="190"/>
      <c r="W31" s="124">
        <f t="shared" si="3"/>
        <v>0</v>
      </c>
      <c r="X31" s="338"/>
      <c r="Y31" s="338"/>
      <c r="Z31" s="338"/>
      <c r="AA31" s="338"/>
      <c r="AB31" s="338"/>
      <c r="AC31" s="305"/>
      <c r="AD31" s="305"/>
      <c r="AE31" s="305"/>
    </row>
    <row r="32" spans="1:31" ht="15">
      <c r="A32" s="1479"/>
      <c r="B32" s="2515" t="s">
        <v>816</v>
      </c>
      <c r="C32" s="2516">
        <v>68970</v>
      </c>
      <c r="D32" s="124">
        <v>68970</v>
      </c>
      <c r="E32" s="357">
        <v>1</v>
      </c>
      <c r="F32" s="124">
        <f t="shared" si="1"/>
        <v>68970</v>
      </c>
      <c r="G32" s="124"/>
      <c r="H32" s="124"/>
      <c r="I32" s="191"/>
      <c r="J32" s="124"/>
      <c r="K32" s="124"/>
      <c r="L32" s="143">
        <f t="shared" si="2"/>
        <v>0</v>
      </c>
      <c r="M32" s="124"/>
      <c r="N32" s="124"/>
      <c r="O32" s="124"/>
      <c r="P32" s="124"/>
      <c r="Q32" s="184"/>
      <c r="R32" s="143"/>
      <c r="S32" s="143"/>
      <c r="T32" s="1508">
        <f t="shared" si="0"/>
        <v>0</v>
      </c>
      <c r="U32" s="124">
        <v>0</v>
      </c>
      <c r="V32" s="190"/>
      <c r="W32" s="124">
        <f t="shared" si="3"/>
        <v>0</v>
      </c>
      <c r="X32" s="338"/>
      <c r="Y32" s="338"/>
      <c r="Z32" s="338"/>
      <c r="AA32" s="338"/>
      <c r="AB32" s="338"/>
      <c r="AC32" s="305"/>
      <c r="AD32" s="305"/>
      <c r="AE32" s="305"/>
    </row>
    <row r="33" spans="1:31" ht="15">
      <c r="A33" s="1479"/>
      <c r="B33" s="2515" t="s">
        <v>817</v>
      </c>
      <c r="C33" s="2516">
        <v>183084</v>
      </c>
      <c r="D33" s="124">
        <v>183084</v>
      </c>
      <c r="E33" s="357">
        <v>1</v>
      </c>
      <c r="F33" s="124">
        <f t="shared" si="1"/>
        <v>183084</v>
      </c>
      <c r="G33" s="124"/>
      <c r="H33" s="124"/>
      <c r="I33" s="191"/>
      <c r="J33" s="124"/>
      <c r="K33" s="124"/>
      <c r="L33" s="143">
        <f t="shared" si="2"/>
        <v>0</v>
      </c>
      <c r="M33" s="124"/>
      <c r="N33" s="124"/>
      <c r="O33" s="124"/>
      <c r="P33" s="124"/>
      <c r="Q33" s="184"/>
      <c r="R33" s="143"/>
      <c r="S33" s="143"/>
      <c r="T33" s="1508">
        <f t="shared" si="0"/>
        <v>0</v>
      </c>
      <c r="U33" s="124">
        <v>0</v>
      </c>
      <c r="V33" s="190"/>
      <c r="W33" s="124">
        <f t="shared" si="3"/>
        <v>0</v>
      </c>
      <c r="X33" s="338"/>
      <c r="Y33" s="338"/>
      <c r="Z33" s="338"/>
      <c r="AA33" s="338"/>
      <c r="AB33" s="338"/>
      <c r="AC33" s="305"/>
      <c r="AD33" s="305"/>
      <c r="AE33" s="305"/>
    </row>
    <row r="34" spans="1:31" ht="15">
      <c r="A34" s="1479"/>
      <c r="B34" s="2515" t="s">
        <v>818</v>
      </c>
      <c r="C34" s="2516">
        <v>996930</v>
      </c>
      <c r="D34" s="124">
        <v>996930</v>
      </c>
      <c r="E34" s="357">
        <v>1</v>
      </c>
      <c r="F34" s="124">
        <f t="shared" si="1"/>
        <v>996930</v>
      </c>
      <c r="G34" s="124"/>
      <c r="H34" s="124"/>
      <c r="I34" s="191"/>
      <c r="J34" s="124"/>
      <c r="K34" s="124"/>
      <c r="L34" s="143">
        <f t="shared" si="2"/>
        <v>0</v>
      </c>
      <c r="M34" s="124"/>
      <c r="N34" s="124"/>
      <c r="O34" s="124"/>
      <c r="P34" s="143"/>
      <c r="Q34" s="124"/>
      <c r="R34" s="143"/>
      <c r="S34" s="143"/>
      <c r="T34" s="1508">
        <f t="shared" si="0"/>
        <v>0</v>
      </c>
      <c r="U34" s="124">
        <v>0</v>
      </c>
      <c r="V34" s="356"/>
      <c r="W34" s="124">
        <f t="shared" si="3"/>
        <v>0</v>
      </c>
      <c r="X34" s="338"/>
      <c r="Y34" s="338"/>
      <c r="Z34" s="338"/>
      <c r="AA34" s="338"/>
      <c r="AB34" s="338"/>
      <c r="AC34" s="305"/>
      <c r="AD34" s="305"/>
      <c r="AE34" s="305"/>
    </row>
    <row r="35" spans="1:31" ht="15">
      <c r="A35" s="1479"/>
      <c r="B35" s="2515" t="s">
        <v>819</v>
      </c>
      <c r="C35" s="2516">
        <v>137940</v>
      </c>
      <c r="D35" s="124">
        <v>137940</v>
      </c>
      <c r="E35" s="357">
        <v>1</v>
      </c>
      <c r="F35" s="124">
        <f t="shared" si="1"/>
        <v>137940</v>
      </c>
      <c r="G35" s="124"/>
      <c r="H35" s="124"/>
      <c r="I35" s="191"/>
      <c r="J35" s="124"/>
      <c r="K35" s="124"/>
      <c r="L35" s="143">
        <f t="shared" si="2"/>
        <v>0</v>
      </c>
      <c r="M35" s="124"/>
      <c r="N35" s="124"/>
      <c r="O35" s="124"/>
      <c r="P35" s="143"/>
      <c r="Q35" s="124"/>
      <c r="R35" s="143"/>
      <c r="S35" s="143"/>
      <c r="T35" s="1508">
        <f t="shared" si="0"/>
        <v>0</v>
      </c>
      <c r="U35" s="124">
        <v>0</v>
      </c>
      <c r="V35" s="356"/>
      <c r="W35" s="124">
        <f t="shared" si="3"/>
        <v>0</v>
      </c>
      <c r="X35" s="338"/>
      <c r="Y35" s="338"/>
      <c r="Z35" s="338"/>
      <c r="AA35" s="338"/>
      <c r="AB35" s="338"/>
      <c r="AC35" s="305"/>
      <c r="AD35" s="305"/>
      <c r="AE35" s="305"/>
    </row>
    <row r="36" spans="1:31" ht="15">
      <c r="A36" s="1479"/>
      <c r="B36" s="2515" t="s">
        <v>324</v>
      </c>
      <c r="C36" s="2516">
        <v>7447155.9001289997</v>
      </c>
      <c r="D36" s="124">
        <v>6775011.9001289997</v>
      </c>
      <c r="E36" s="357">
        <v>1</v>
      </c>
      <c r="F36" s="124">
        <f t="shared" si="1"/>
        <v>6775011.9001289997</v>
      </c>
      <c r="G36" s="124"/>
      <c r="H36" s="124"/>
      <c r="I36" s="191"/>
      <c r="J36" s="124"/>
      <c r="K36" s="124"/>
      <c r="L36" s="143">
        <f t="shared" si="2"/>
        <v>0</v>
      </c>
      <c r="M36" s="124"/>
      <c r="N36" s="124"/>
      <c r="O36" s="124"/>
      <c r="P36" s="143"/>
      <c r="Q36" s="124"/>
      <c r="R36" s="143"/>
      <c r="S36" s="143"/>
      <c r="T36" s="1508">
        <f t="shared" si="0"/>
        <v>482790</v>
      </c>
      <c r="U36" s="124">
        <v>482790</v>
      </c>
      <c r="V36" s="356">
        <v>1</v>
      </c>
      <c r="W36" s="124">
        <f t="shared" si="3"/>
        <v>482790</v>
      </c>
      <c r="X36" s="338"/>
      <c r="Y36" s="338"/>
      <c r="Z36" s="338"/>
      <c r="AA36" s="338"/>
      <c r="AB36" s="338"/>
      <c r="AC36" s="305"/>
      <c r="AD36" s="305"/>
      <c r="AE36" s="305"/>
    </row>
    <row r="37" spans="1:31" ht="15">
      <c r="A37" s="1479"/>
      <c r="B37" s="2515" t="s">
        <v>325</v>
      </c>
      <c r="C37" s="2516">
        <v>10322301</v>
      </c>
      <c r="D37" s="124">
        <v>9822582</v>
      </c>
      <c r="E37" s="357">
        <v>1</v>
      </c>
      <c r="F37" s="124">
        <f t="shared" si="1"/>
        <v>9822582</v>
      </c>
      <c r="G37" s="124"/>
      <c r="H37" s="124"/>
      <c r="I37" s="191"/>
      <c r="J37" s="124"/>
      <c r="K37" s="124"/>
      <c r="L37" s="143">
        <f t="shared" si="2"/>
        <v>0</v>
      </c>
      <c r="M37" s="124"/>
      <c r="N37" s="124"/>
      <c r="O37" s="124"/>
      <c r="P37" s="143"/>
      <c r="Q37" s="124"/>
      <c r="R37" s="143"/>
      <c r="S37" s="143"/>
      <c r="T37" s="1508">
        <f t="shared" si="0"/>
        <v>0</v>
      </c>
      <c r="U37" s="124">
        <v>0</v>
      </c>
      <c r="V37" s="356"/>
      <c r="W37" s="124">
        <f t="shared" si="3"/>
        <v>0</v>
      </c>
      <c r="X37" s="338"/>
      <c r="Y37" s="338"/>
      <c r="Z37" s="338"/>
      <c r="AA37" s="338"/>
      <c r="AB37" s="338"/>
      <c r="AC37" s="305"/>
      <c r="AD37" s="305"/>
      <c r="AE37" s="305"/>
    </row>
    <row r="38" spans="1:31" ht="15">
      <c r="A38" s="1479"/>
      <c r="B38" s="2515" t="s">
        <v>326</v>
      </c>
      <c r="C38" s="2516">
        <v>3546312</v>
      </c>
      <c r="D38" s="124">
        <v>505362</v>
      </c>
      <c r="E38" s="357">
        <v>1</v>
      </c>
      <c r="F38" s="124">
        <f t="shared" si="1"/>
        <v>505362</v>
      </c>
      <c r="G38" s="124"/>
      <c r="H38" s="124"/>
      <c r="I38" s="191"/>
      <c r="J38" s="124"/>
      <c r="K38" s="124"/>
      <c r="L38" s="143">
        <f t="shared" si="2"/>
        <v>0</v>
      </c>
      <c r="M38" s="124"/>
      <c r="N38" s="124"/>
      <c r="O38" s="124"/>
      <c r="P38" s="143"/>
      <c r="Q38" s="124"/>
      <c r="R38" s="143"/>
      <c r="S38" s="143"/>
      <c r="T38" s="1508">
        <f t="shared" si="0"/>
        <v>0</v>
      </c>
      <c r="U38" s="124">
        <v>0</v>
      </c>
      <c r="V38" s="356"/>
      <c r="W38" s="124">
        <f t="shared" si="3"/>
        <v>0</v>
      </c>
      <c r="X38" s="338"/>
      <c r="Y38" s="338"/>
      <c r="Z38" s="338"/>
      <c r="AA38" s="338"/>
      <c r="AB38" s="338"/>
      <c r="AC38" s="305"/>
      <c r="AD38" s="305"/>
      <c r="AE38" s="305"/>
    </row>
    <row r="39" spans="1:31" ht="15">
      <c r="A39" s="1479"/>
      <c r="B39" s="2515" t="s">
        <v>327</v>
      </c>
      <c r="C39" s="2516">
        <v>5293410.9107879987</v>
      </c>
      <c r="D39" s="124">
        <v>4682085.9107879996</v>
      </c>
      <c r="E39" s="357">
        <v>1</v>
      </c>
      <c r="F39" s="124">
        <f t="shared" si="1"/>
        <v>4682085.9107879996</v>
      </c>
      <c r="G39" s="124"/>
      <c r="H39" s="124"/>
      <c r="I39" s="191"/>
      <c r="J39" s="124"/>
      <c r="K39" s="124"/>
      <c r="L39" s="143">
        <f t="shared" si="2"/>
        <v>0</v>
      </c>
      <c r="M39" s="124"/>
      <c r="N39" s="124"/>
      <c r="O39" s="124"/>
      <c r="P39" s="143"/>
      <c r="Q39" s="124"/>
      <c r="R39" s="143"/>
      <c r="S39" s="143"/>
      <c r="T39" s="1508">
        <f t="shared" si="0"/>
        <v>2088361.9553939996</v>
      </c>
      <c r="U39" s="124">
        <v>2088361.9553939996</v>
      </c>
      <c r="V39" s="356">
        <v>1</v>
      </c>
      <c r="W39" s="124">
        <f t="shared" si="3"/>
        <v>2088361.9553939996</v>
      </c>
      <c r="X39" s="338"/>
      <c r="Y39" s="338"/>
      <c r="Z39" s="338"/>
      <c r="AA39" s="338"/>
      <c r="AB39" s="338"/>
      <c r="AC39" s="305"/>
      <c r="AD39" s="305"/>
      <c r="AE39" s="305"/>
    </row>
    <row r="40" spans="1:31" ht="15">
      <c r="A40" s="1479"/>
      <c r="B40" s="2515" t="s">
        <v>328</v>
      </c>
      <c r="C40" s="2516">
        <v>22833797.756563202</v>
      </c>
      <c r="D40" s="124">
        <v>832956.96000000008</v>
      </c>
      <c r="E40" s="357">
        <v>1</v>
      </c>
      <c r="F40" s="124">
        <f t="shared" si="1"/>
        <v>832956.96000000008</v>
      </c>
      <c r="G40" s="124"/>
      <c r="H40" s="124"/>
      <c r="I40" s="191"/>
      <c r="J40" s="124"/>
      <c r="K40" s="124"/>
      <c r="L40" s="143">
        <f t="shared" si="2"/>
        <v>0</v>
      </c>
      <c r="M40" s="124"/>
      <c r="N40" s="124"/>
      <c r="O40" s="124"/>
      <c r="P40" s="143"/>
      <c r="Q40" s="124"/>
      <c r="R40" s="143"/>
      <c r="S40" s="143"/>
      <c r="T40" s="1508">
        <f t="shared" si="0"/>
        <v>0</v>
      </c>
      <c r="U40" s="124">
        <v>0</v>
      </c>
      <c r="V40" s="356"/>
      <c r="W40" s="124">
        <f t="shared" si="3"/>
        <v>0</v>
      </c>
      <c r="X40" s="338"/>
      <c r="Y40" s="338"/>
      <c r="Z40" s="338"/>
      <c r="AA40" s="338"/>
      <c r="AB40" s="338"/>
      <c r="AC40" s="305"/>
      <c r="AD40" s="305"/>
      <c r="AE40" s="305"/>
    </row>
    <row r="41" spans="1:31" ht="15">
      <c r="A41" s="1479"/>
      <c r="B41" s="2515" t="s">
        <v>329</v>
      </c>
      <c r="C41" s="2516">
        <v>8859760.7999999989</v>
      </c>
      <c r="D41" s="124">
        <v>0</v>
      </c>
      <c r="E41" s="357"/>
      <c r="F41" s="124">
        <f t="shared" si="1"/>
        <v>0</v>
      </c>
      <c r="G41" s="124"/>
      <c r="H41" s="124"/>
      <c r="I41" s="191"/>
      <c r="J41" s="124"/>
      <c r="K41" s="124"/>
      <c r="L41" s="143">
        <f t="shared" si="2"/>
        <v>0</v>
      </c>
      <c r="M41" s="124"/>
      <c r="N41" s="124"/>
      <c r="O41" s="124"/>
      <c r="P41" s="143"/>
      <c r="Q41" s="124"/>
      <c r="R41" s="143"/>
      <c r="S41" s="143"/>
      <c r="T41" s="1508">
        <f t="shared" si="0"/>
        <v>0</v>
      </c>
      <c r="U41" s="124">
        <v>0</v>
      </c>
      <c r="V41" s="356"/>
      <c r="W41" s="124">
        <f t="shared" si="3"/>
        <v>0</v>
      </c>
      <c r="X41" s="338"/>
      <c r="Y41" s="338"/>
      <c r="Z41" s="338"/>
      <c r="AA41" s="338"/>
      <c r="AB41" s="338"/>
      <c r="AC41" s="305"/>
      <c r="AD41" s="305"/>
      <c r="AE41" s="305"/>
    </row>
    <row r="42" spans="1:31" ht="15">
      <c r="A42" s="1479"/>
      <c r="B42" s="2515" t="s">
        <v>330</v>
      </c>
      <c r="C42" s="2516">
        <v>1943449.2</v>
      </c>
      <c r="D42" s="124">
        <v>0</v>
      </c>
      <c r="E42" s="357"/>
      <c r="F42" s="124">
        <f t="shared" si="1"/>
        <v>0</v>
      </c>
      <c r="G42" s="124"/>
      <c r="H42" s="124"/>
      <c r="I42" s="191"/>
      <c r="J42" s="124"/>
      <c r="K42" s="124"/>
      <c r="L42" s="143">
        <f t="shared" si="2"/>
        <v>0</v>
      </c>
      <c r="M42" s="124"/>
      <c r="N42" s="124"/>
      <c r="O42" s="124"/>
      <c r="P42" s="143"/>
      <c r="Q42" s="124"/>
      <c r="R42" s="143"/>
      <c r="S42" s="143"/>
      <c r="T42" s="1508">
        <f t="shared" si="0"/>
        <v>0</v>
      </c>
      <c r="U42" s="124">
        <v>0</v>
      </c>
      <c r="V42" s="356"/>
      <c r="W42" s="124">
        <f t="shared" si="3"/>
        <v>0</v>
      </c>
      <c r="X42" s="338"/>
      <c r="Y42" s="338"/>
      <c r="Z42" s="338"/>
      <c r="AA42" s="338"/>
      <c r="AB42" s="338"/>
      <c r="AC42" s="305"/>
      <c r="AD42" s="305"/>
      <c r="AE42" s="305"/>
    </row>
    <row r="43" spans="1:31" ht="15">
      <c r="A43" s="1479"/>
      <c r="B43" s="2515" t="s">
        <v>333</v>
      </c>
      <c r="C43" s="2516">
        <v>0</v>
      </c>
      <c r="D43" s="124"/>
      <c r="E43" s="357"/>
      <c r="F43" s="124"/>
      <c r="G43" s="124"/>
      <c r="H43" s="124"/>
      <c r="I43" s="191"/>
      <c r="J43" s="124"/>
      <c r="K43" s="124"/>
      <c r="L43" s="143">
        <f t="shared" si="2"/>
        <v>0</v>
      </c>
      <c r="M43" s="124"/>
      <c r="N43" s="124"/>
      <c r="O43" s="124"/>
      <c r="P43" s="143"/>
      <c r="Q43" s="124"/>
      <c r="R43" s="143"/>
      <c r="S43" s="143"/>
      <c r="T43" s="1508">
        <f t="shared" si="0"/>
        <v>0</v>
      </c>
      <c r="U43" s="124">
        <v>0</v>
      </c>
      <c r="V43" s="356"/>
      <c r="W43" s="124">
        <f t="shared" si="3"/>
        <v>0</v>
      </c>
      <c r="X43" s="338"/>
      <c r="Y43" s="338"/>
      <c r="Z43" s="338"/>
      <c r="AA43" s="338"/>
      <c r="AB43" s="338"/>
      <c r="AC43" s="305"/>
      <c r="AD43" s="305"/>
      <c r="AE43" s="305"/>
    </row>
    <row r="44" spans="1:31" ht="15">
      <c r="A44" s="1479"/>
      <c r="B44" s="2515" t="s">
        <v>334</v>
      </c>
      <c r="C44" s="2516">
        <v>0</v>
      </c>
      <c r="D44" s="124"/>
      <c r="E44" s="357"/>
      <c r="F44" s="124"/>
      <c r="G44" s="124"/>
      <c r="H44" s="124"/>
      <c r="I44" s="191"/>
      <c r="J44" s="124"/>
      <c r="K44" s="124"/>
      <c r="L44" s="143">
        <f t="shared" si="2"/>
        <v>0</v>
      </c>
      <c r="M44" s="124"/>
      <c r="N44" s="124"/>
      <c r="O44" s="124"/>
      <c r="P44" s="143"/>
      <c r="Q44" s="124"/>
      <c r="R44" s="143"/>
      <c r="S44" s="143"/>
      <c r="T44" s="1508">
        <f t="shared" si="0"/>
        <v>0</v>
      </c>
      <c r="U44" s="124">
        <v>0</v>
      </c>
      <c r="V44" s="356"/>
      <c r="W44" s="124">
        <f t="shared" si="3"/>
        <v>0</v>
      </c>
      <c r="X44" s="338"/>
      <c r="Y44" s="338"/>
      <c r="Z44" s="338"/>
      <c r="AA44" s="338"/>
      <c r="AB44" s="338"/>
      <c r="AC44" s="305"/>
      <c r="AD44" s="305"/>
      <c r="AE44" s="305"/>
    </row>
    <row r="45" spans="1:31" ht="15">
      <c r="A45" s="1479"/>
      <c r="B45" s="2515" t="s">
        <v>335</v>
      </c>
      <c r="C45" s="2516">
        <v>0</v>
      </c>
      <c r="D45" s="124"/>
      <c r="E45" s="357"/>
      <c r="F45" s="124"/>
      <c r="G45" s="124"/>
      <c r="H45" s="124"/>
      <c r="I45" s="191"/>
      <c r="J45" s="124"/>
      <c r="K45" s="124"/>
      <c r="L45" s="143">
        <f t="shared" si="2"/>
        <v>0</v>
      </c>
      <c r="M45" s="124"/>
      <c r="N45" s="124"/>
      <c r="O45" s="124"/>
      <c r="P45" s="143"/>
      <c r="Q45" s="124"/>
      <c r="R45" s="143"/>
      <c r="S45" s="143"/>
      <c r="T45" s="1508">
        <f t="shared" si="0"/>
        <v>0</v>
      </c>
      <c r="U45" s="124">
        <v>0</v>
      </c>
      <c r="V45" s="356"/>
      <c r="W45" s="124">
        <f t="shared" si="3"/>
        <v>0</v>
      </c>
      <c r="X45" s="338"/>
      <c r="Y45" s="338"/>
      <c r="Z45" s="338"/>
      <c r="AA45" s="338"/>
      <c r="AB45" s="338"/>
      <c r="AC45" s="305"/>
      <c r="AD45" s="305"/>
      <c r="AE45" s="305"/>
    </row>
    <row r="46" spans="1:31" ht="15">
      <c r="A46" s="1479"/>
      <c r="B46" s="2515" t="s">
        <v>820</v>
      </c>
      <c r="C46" s="2516">
        <v>0</v>
      </c>
      <c r="D46" s="124"/>
      <c r="E46" s="357"/>
      <c r="F46" s="124"/>
      <c r="G46" s="124"/>
      <c r="H46" s="124"/>
      <c r="I46" s="191"/>
      <c r="J46" s="124"/>
      <c r="K46" s="124"/>
      <c r="L46" s="143">
        <f t="shared" si="2"/>
        <v>0</v>
      </c>
      <c r="M46" s="124"/>
      <c r="N46" s="124"/>
      <c r="O46" s="124"/>
      <c r="P46" s="143"/>
      <c r="Q46" s="124"/>
      <c r="R46" s="143"/>
      <c r="S46" s="143"/>
      <c r="T46" s="1508">
        <f t="shared" si="0"/>
        <v>0</v>
      </c>
      <c r="U46" s="124">
        <v>0</v>
      </c>
      <c r="V46" s="356"/>
      <c r="W46" s="124">
        <f t="shared" si="3"/>
        <v>0</v>
      </c>
      <c r="X46" s="338"/>
      <c r="Y46" s="338"/>
      <c r="Z46" s="338"/>
      <c r="AA46" s="338"/>
      <c r="AB46" s="338"/>
      <c r="AC46" s="305"/>
      <c r="AD46" s="305"/>
      <c r="AE46" s="305"/>
    </row>
    <row r="47" spans="1:31" ht="15">
      <c r="A47" s="1479"/>
      <c r="B47" s="179"/>
      <c r="C47" s="2516">
        <v>0</v>
      </c>
      <c r="D47" s="124"/>
      <c r="E47" s="357"/>
      <c r="F47" s="124"/>
      <c r="G47" s="124"/>
      <c r="H47" s="124"/>
      <c r="I47" s="191"/>
      <c r="J47" s="124"/>
      <c r="K47" s="124"/>
      <c r="L47" s="143">
        <f t="shared" si="2"/>
        <v>0</v>
      </c>
      <c r="M47" s="124"/>
      <c r="N47" s="124"/>
      <c r="O47" s="124"/>
      <c r="P47" s="143"/>
      <c r="Q47" s="124"/>
      <c r="R47" s="143"/>
      <c r="S47" s="143"/>
      <c r="T47" s="1508">
        <f t="shared" si="0"/>
        <v>0</v>
      </c>
      <c r="U47" s="124">
        <v>0</v>
      </c>
      <c r="V47" s="356"/>
      <c r="W47" s="124">
        <f t="shared" si="3"/>
        <v>0</v>
      </c>
      <c r="X47" s="338"/>
      <c r="Y47" s="338"/>
      <c r="Z47" s="338"/>
      <c r="AA47" s="338"/>
      <c r="AB47" s="338"/>
      <c r="AC47" s="305"/>
      <c r="AD47" s="305"/>
      <c r="AE47" s="305"/>
    </row>
    <row r="48" spans="1:31">
      <c r="A48" s="1479"/>
      <c r="B48" s="350" t="s">
        <v>214</v>
      </c>
      <c r="C48" s="1481"/>
      <c r="D48" s="124"/>
      <c r="E48" s="357"/>
      <c r="F48" s="124"/>
      <c r="G48" s="124"/>
      <c r="H48" s="124"/>
      <c r="I48" s="191"/>
      <c r="J48" s="124"/>
      <c r="K48" s="124"/>
      <c r="L48" s="143">
        <f t="shared" si="2"/>
        <v>0</v>
      </c>
      <c r="M48" s="124"/>
      <c r="N48" s="124"/>
      <c r="O48" s="124"/>
      <c r="P48" s="143"/>
      <c r="Q48" s="124"/>
      <c r="R48" s="143"/>
      <c r="S48" s="143"/>
      <c r="T48" s="1508">
        <f t="shared" si="0"/>
        <v>0</v>
      </c>
      <c r="U48" s="124"/>
      <c r="V48" s="356"/>
      <c r="W48" s="124">
        <f t="shared" si="3"/>
        <v>0</v>
      </c>
      <c r="X48" s="338"/>
      <c r="Y48" s="338"/>
      <c r="Z48" s="338"/>
      <c r="AA48" s="338"/>
      <c r="AB48" s="338"/>
      <c r="AC48" s="305"/>
      <c r="AD48" s="305"/>
      <c r="AE48" s="305"/>
    </row>
    <row r="49" spans="1:31">
      <c r="A49" s="1479"/>
      <c r="B49" s="2515" t="s">
        <v>799</v>
      </c>
      <c r="C49" s="1481">
        <v>53295</v>
      </c>
      <c r="D49" s="124">
        <v>0</v>
      </c>
      <c r="E49" s="357"/>
      <c r="F49" s="124">
        <f>E49*D49</f>
        <v>0</v>
      </c>
      <c r="G49" s="124"/>
      <c r="H49" s="124"/>
      <c r="I49" s="191"/>
      <c r="J49" s="124"/>
      <c r="K49" s="124"/>
      <c r="L49" s="143">
        <f t="shared" si="2"/>
        <v>0</v>
      </c>
      <c r="M49" s="124"/>
      <c r="N49" s="124"/>
      <c r="O49" s="124"/>
      <c r="P49" s="143"/>
      <c r="Q49" s="124"/>
      <c r="R49" s="143"/>
      <c r="S49" s="143"/>
      <c r="T49" s="1508">
        <f t="shared" si="0"/>
        <v>0</v>
      </c>
      <c r="U49" s="124">
        <v>0</v>
      </c>
      <c r="V49" s="356"/>
      <c r="W49" s="124">
        <f t="shared" si="3"/>
        <v>0</v>
      </c>
      <c r="X49" s="338"/>
      <c r="Y49" s="338"/>
      <c r="Z49" s="338"/>
      <c r="AA49" s="338"/>
      <c r="AB49" s="338"/>
      <c r="AC49" s="305"/>
      <c r="AD49" s="305"/>
      <c r="AE49" s="305"/>
    </row>
    <row r="50" spans="1:31">
      <c r="A50" s="1479"/>
      <c r="B50" s="2515" t="s">
        <v>800</v>
      </c>
      <c r="C50" s="1481">
        <v>97185</v>
      </c>
      <c r="D50" s="124">
        <v>0</v>
      </c>
      <c r="E50" s="357"/>
      <c r="F50" s="124">
        <f t="shared" ref="F50:F76" si="4">E50*D50</f>
        <v>0</v>
      </c>
      <c r="G50" s="124"/>
      <c r="H50" s="124"/>
      <c r="I50" s="191"/>
      <c r="J50" s="124"/>
      <c r="K50" s="124"/>
      <c r="L50" s="143">
        <f t="shared" si="2"/>
        <v>0</v>
      </c>
      <c r="M50" s="124"/>
      <c r="N50" s="124"/>
      <c r="O50" s="124"/>
      <c r="P50" s="143"/>
      <c r="Q50" s="124"/>
      <c r="R50" s="143"/>
      <c r="S50" s="143"/>
      <c r="T50" s="1508">
        <f t="shared" si="0"/>
        <v>0</v>
      </c>
      <c r="U50" s="124">
        <v>0</v>
      </c>
      <c r="V50" s="356"/>
      <c r="W50" s="124">
        <f t="shared" si="3"/>
        <v>0</v>
      </c>
      <c r="X50" s="338"/>
      <c r="Y50" s="338"/>
      <c r="Z50" s="338"/>
      <c r="AA50" s="338"/>
      <c r="AB50" s="338"/>
      <c r="AC50" s="305"/>
      <c r="AD50" s="305"/>
      <c r="AE50" s="305"/>
    </row>
    <row r="51" spans="1:31">
      <c r="A51" s="1479"/>
      <c r="B51" s="2515" t="s">
        <v>801</v>
      </c>
      <c r="C51" s="1481">
        <v>41382</v>
      </c>
      <c r="D51" s="124">
        <v>41382</v>
      </c>
      <c r="E51" s="357">
        <v>1</v>
      </c>
      <c r="F51" s="124">
        <f t="shared" si="4"/>
        <v>41382</v>
      </c>
      <c r="G51" s="124"/>
      <c r="H51" s="124"/>
      <c r="I51" s="191"/>
      <c r="J51" s="124"/>
      <c r="K51" s="124"/>
      <c r="L51" s="143">
        <f t="shared" si="2"/>
        <v>0</v>
      </c>
      <c r="M51" s="124"/>
      <c r="N51" s="124"/>
      <c r="O51" s="124"/>
      <c r="P51" s="143"/>
      <c r="Q51" s="124"/>
      <c r="R51" s="143"/>
      <c r="S51" s="143"/>
      <c r="T51" s="1508">
        <f t="shared" si="0"/>
        <v>0</v>
      </c>
      <c r="U51" s="124">
        <v>0</v>
      </c>
      <c r="V51" s="356"/>
      <c r="W51" s="124">
        <f t="shared" si="3"/>
        <v>0</v>
      </c>
      <c r="X51" s="338"/>
      <c r="Y51" s="338"/>
      <c r="Z51" s="338"/>
      <c r="AA51" s="338"/>
      <c r="AB51" s="338"/>
      <c r="AC51" s="305"/>
      <c r="AD51" s="305"/>
      <c r="AE51" s="305"/>
    </row>
    <row r="52" spans="1:31">
      <c r="A52" s="1479"/>
      <c r="B52" s="2515" t="s">
        <v>802</v>
      </c>
      <c r="C52" s="1481">
        <v>0</v>
      </c>
      <c r="D52" s="124">
        <v>0</v>
      </c>
      <c r="E52" s="357"/>
      <c r="F52" s="124">
        <f t="shared" si="4"/>
        <v>0</v>
      </c>
      <c r="G52" s="124"/>
      <c r="H52" s="124"/>
      <c r="I52" s="191"/>
      <c r="J52" s="124"/>
      <c r="K52" s="124"/>
      <c r="L52" s="143">
        <f t="shared" si="2"/>
        <v>0</v>
      </c>
      <c r="M52" s="124"/>
      <c r="N52" s="124"/>
      <c r="O52" s="124"/>
      <c r="P52" s="143"/>
      <c r="Q52" s="124"/>
      <c r="R52" s="143"/>
      <c r="S52" s="143"/>
      <c r="T52" s="1508">
        <f t="shared" si="0"/>
        <v>0</v>
      </c>
      <c r="U52" s="124">
        <v>0</v>
      </c>
      <c r="V52" s="356"/>
      <c r="W52" s="124">
        <f t="shared" si="3"/>
        <v>0</v>
      </c>
      <c r="X52" s="338"/>
      <c r="Y52" s="338"/>
      <c r="Z52" s="338"/>
      <c r="AA52" s="338"/>
      <c r="AB52" s="338"/>
      <c r="AC52" s="305"/>
      <c r="AD52" s="305"/>
      <c r="AE52" s="305"/>
    </row>
    <row r="53" spans="1:31">
      <c r="A53" s="1479"/>
      <c r="B53" s="2515" t="s">
        <v>803</v>
      </c>
      <c r="C53" s="1481">
        <v>0</v>
      </c>
      <c r="D53" s="124">
        <v>0</v>
      </c>
      <c r="E53" s="357"/>
      <c r="F53" s="124">
        <f t="shared" si="4"/>
        <v>0</v>
      </c>
      <c r="G53" s="124"/>
      <c r="H53" s="124"/>
      <c r="I53" s="191"/>
      <c r="J53" s="124"/>
      <c r="K53" s="124"/>
      <c r="L53" s="143">
        <f t="shared" si="2"/>
        <v>0</v>
      </c>
      <c r="M53" s="124"/>
      <c r="N53" s="124"/>
      <c r="O53" s="124"/>
      <c r="P53" s="143"/>
      <c r="Q53" s="124"/>
      <c r="R53" s="143"/>
      <c r="S53" s="143"/>
      <c r="T53" s="1508">
        <f t="shared" si="0"/>
        <v>0</v>
      </c>
      <c r="U53" s="124">
        <v>0</v>
      </c>
      <c r="V53" s="356"/>
      <c r="W53" s="124">
        <f t="shared" si="3"/>
        <v>0</v>
      </c>
      <c r="X53" s="338"/>
      <c r="Y53" s="338"/>
      <c r="Z53" s="338"/>
      <c r="AA53" s="338"/>
      <c r="AB53" s="338"/>
      <c r="AC53" s="305"/>
      <c r="AD53" s="305"/>
      <c r="AE53" s="305"/>
    </row>
    <row r="54" spans="1:31">
      <c r="A54" s="1479"/>
      <c r="B54" s="2515" t="s">
        <v>804</v>
      </c>
      <c r="C54" s="1481">
        <v>0</v>
      </c>
      <c r="D54" s="124">
        <v>0</v>
      </c>
      <c r="E54" s="357"/>
      <c r="F54" s="124">
        <f t="shared" si="4"/>
        <v>0</v>
      </c>
      <c r="G54" s="124"/>
      <c r="H54" s="124"/>
      <c r="I54" s="191"/>
      <c r="J54" s="124"/>
      <c r="K54" s="124"/>
      <c r="L54" s="143">
        <f t="shared" si="2"/>
        <v>0</v>
      </c>
      <c r="M54" s="124"/>
      <c r="N54" s="124"/>
      <c r="O54" s="124"/>
      <c r="P54" s="143"/>
      <c r="Q54" s="124"/>
      <c r="R54" s="143"/>
      <c r="S54" s="143"/>
      <c r="T54" s="1508">
        <f t="shared" si="0"/>
        <v>0</v>
      </c>
      <c r="U54" s="124">
        <v>0</v>
      </c>
      <c r="V54" s="356"/>
      <c r="W54" s="124">
        <f t="shared" si="3"/>
        <v>0</v>
      </c>
      <c r="X54" s="338"/>
      <c r="Y54" s="338"/>
      <c r="Z54" s="338"/>
      <c r="AA54" s="338"/>
      <c r="AB54" s="338"/>
      <c r="AC54" s="305"/>
      <c r="AD54" s="305"/>
      <c r="AE54" s="305"/>
    </row>
    <row r="55" spans="1:31">
      <c r="A55" s="1479"/>
      <c r="B55" s="2517" t="s">
        <v>805</v>
      </c>
      <c r="C55" s="1481">
        <v>27588</v>
      </c>
      <c r="D55" s="124">
        <v>27588</v>
      </c>
      <c r="E55" s="357">
        <v>1</v>
      </c>
      <c r="F55" s="124">
        <f t="shared" si="4"/>
        <v>27588</v>
      </c>
      <c r="G55" s="124"/>
      <c r="H55" s="124"/>
      <c r="I55" s="191"/>
      <c r="J55" s="124"/>
      <c r="K55" s="124"/>
      <c r="L55" s="143">
        <f t="shared" si="2"/>
        <v>0</v>
      </c>
      <c r="M55" s="124"/>
      <c r="N55" s="124"/>
      <c r="O55" s="124"/>
      <c r="P55" s="143"/>
      <c r="Q55" s="124"/>
      <c r="R55" s="143"/>
      <c r="S55" s="143"/>
      <c r="T55" s="1508">
        <f t="shared" si="0"/>
        <v>0</v>
      </c>
      <c r="U55" s="124">
        <v>0</v>
      </c>
      <c r="V55" s="356"/>
      <c r="W55" s="124">
        <f t="shared" si="3"/>
        <v>0</v>
      </c>
      <c r="X55" s="338"/>
      <c r="Y55" s="338"/>
      <c r="Z55" s="338"/>
      <c r="AA55" s="338"/>
      <c r="AB55" s="338"/>
      <c r="AC55" s="305"/>
      <c r="AD55" s="305"/>
      <c r="AE55" s="305"/>
    </row>
    <row r="56" spans="1:31">
      <c r="A56" s="1479"/>
      <c r="B56" s="2515" t="s">
        <v>806</v>
      </c>
      <c r="C56" s="1481">
        <v>84018</v>
      </c>
      <c r="D56" s="124">
        <v>84018</v>
      </c>
      <c r="E56" s="357">
        <v>1</v>
      </c>
      <c r="F56" s="124">
        <f t="shared" si="4"/>
        <v>84018</v>
      </c>
      <c r="G56" s="124"/>
      <c r="H56" s="124"/>
      <c r="I56" s="191"/>
      <c r="J56" s="124"/>
      <c r="K56" s="124"/>
      <c r="L56" s="143">
        <f t="shared" si="2"/>
        <v>0</v>
      </c>
      <c r="M56" s="124"/>
      <c r="N56" s="124"/>
      <c r="O56" s="124"/>
      <c r="P56" s="143"/>
      <c r="Q56" s="124"/>
      <c r="R56" s="143"/>
      <c r="S56" s="143"/>
      <c r="T56" s="1508">
        <f t="shared" si="0"/>
        <v>0</v>
      </c>
      <c r="U56" s="124">
        <v>0</v>
      </c>
      <c r="V56" s="356"/>
      <c r="W56" s="124">
        <f t="shared" si="3"/>
        <v>0</v>
      </c>
      <c r="X56" s="338"/>
      <c r="Y56" s="338"/>
      <c r="Z56" s="338"/>
      <c r="AA56" s="338"/>
      <c r="AB56" s="338"/>
      <c r="AC56" s="305"/>
      <c r="AD56" s="305"/>
      <c r="AE56" s="305"/>
    </row>
    <row r="57" spans="1:31">
      <c r="A57" s="1479"/>
      <c r="B57" s="2515" t="s">
        <v>807</v>
      </c>
      <c r="C57" s="1481">
        <v>122265</v>
      </c>
      <c r="D57" s="124">
        <v>0</v>
      </c>
      <c r="E57" s="357"/>
      <c r="F57" s="124">
        <f t="shared" si="4"/>
        <v>0</v>
      </c>
      <c r="G57" s="124"/>
      <c r="H57" s="124"/>
      <c r="I57" s="191"/>
      <c r="J57" s="124"/>
      <c r="K57" s="124"/>
      <c r="L57" s="143">
        <f t="shared" si="2"/>
        <v>0</v>
      </c>
      <c r="M57" s="124"/>
      <c r="N57" s="124"/>
      <c r="O57" s="124"/>
      <c r="P57" s="143"/>
      <c r="Q57" s="124"/>
      <c r="R57" s="143"/>
      <c r="S57" s="143"/>
      <c r="T57" s="1508">
        <f t="shared" si="0"/>
        <v>0</v>
      </c>
      <c r="U57" s="124">
        <v>0</v>
      </c>
      <c r="V57" s="356"/>
      <c r="W57" s="124">
        <f t="shared" si="3"/>
        <v>0</v>
      </c>
      <c r="X57" s="338"/>
      <c r="Y57" s="338"/>
      <c r="Z57" s="338"/>
      <c r="AA57" s="338"/>
      <c r="AB57" s="338"/>
      <c r="AC57" s="305"/>
      <c r="AD57" s="305"/>
      <c r="AE57" s="305"/>
    </row>
    <row r="58" spans="1:31" ht="24">
      <c r="A58" s="1479"/>
      <c r="B58" s="2518" t="s">
        <v>808</v>
      </c>
      <c r="C58" s="1481">
        <v>0</v>
      </c>
      <c r="D58" s="124">
        <v>0</v>
      </c>
      <c r="E58" s="357"/>
      <c r="F58" s="124">
        <f t="shared" si="4"/>
        <v>0</v>
      </c>
      <c r="G58" s="124"/>
      <c r="H58" s="124"/>
      <c r="I58" s="191"/>
      <c r="J58" s="124"/>
      <c r="K58" s="124"/>
      <c r="L58" s="143">
        <f t="shared" si="2"/>
        <v>0</v>
      </c>
      <c r="M58" s="124"/>
      <c r="N58" s="124"/>
      <c r="O58" s="124"/>
      <c r="P58" s="143"/>
      <c r="Q58" s="124"/>
      <c r="R58" s="143"/>
      <c r="S58" s="143"/>
      <c r="T58" s="1508">
        <f t="shared" si="0"/>
        <v>0</v>
      </c>
      <c r="U58" s="124">
        <v>0</v>
      </c>
      <c r="V58" s="356"/>
      <c r="W58" s="124">
        <f t="shared" si="3"/>
        <v>0</v>
      </c>
      <c r="X58" s="338"/>
      <c r="Y58" s="338"/>
      <c r="Z58" s="338"/>
      <c r="AA58" s="338"/>
      <c r="AB58" s="338"/>
      <c r="AC58" s="305"/>
      <c r="AD58" s="305"/>
      <c r="AE58" s="305"/>
    </row>
    <row r="59" spans="1:31">
      <c r="A59" s="1479"/>
      <c r="B59" s="2515" t="s">
        <v>809</v>
      </c>
      <c r="C59" s="1481">
        <v>0</v>
      </c>
      <c r="D59" s="124">
        <v>0</v>
      </c>
      <c r="E59" s="357"/>
      <c r="F59" s="124">
        <f t="shared" si="4"/>
        <v>0</v>
      </c>
      <c r="G59" s="124"/>
      <c r="H59" s="124"/>
      <c r="I59" s="191"/>
      <c r="J59" s="124"/>
      <c r="K59" s="124"/>
      <c r="L59" s="143">
        <f t="shared" si="2"/>
        <v>0</v>
      </c>
      <c r="M59" s="124"/>
      <c r="N59" s="124"/>
      <c r="O59" s="124"/>
      <c r="P59" s="143"/>
      <c r="Q59" s="124"/>
      <c r="R59" s="143"/>
      <c r="S59" s="143"/>
      <c r="T59" s="1508">
        <f t="shared" si="0"/>
        <v>0</v>
      </c>
      <c r="U59" s="124">
        <v>0</v>
      </c>
      <c r="V59" s="356"/>
      <c r="W59" s="124">
        <f t="shared" si="3"/>
        <v>0</v>
      </c>
      <c r="X59" s="338"/>
      <c r="Y59" s="338"/>
      <c r="Z59" s="338"/>
      <c r="AA59" s="338"/>
      <c r="AB59" s="338"/>
      <c r="AC59" s="305"/>
      <c r="AD59" s="305"/>
      <c r="AE59" s="305"/>
    </row>
    <row r="60" spans="1:31">
      <c r="A60" s="1479"/>
      <c r="B60" s="2515" t="s">
        <v>810</v>
      </c>
      <c r="C60" s="1481">
        <v>351120</v>
      </c>
      <c r="D60" s="124">
        <v>275880</v>
      </c>
      <c r="E60" s="357">
        <v>1</v>
      </c>
      <c r="F60" s="124">
        <f t="shared" si="4"/>
        <v>275880</v>
      </c>
      <c r="G60" s="124"/>
      <c r="H60" s="124"/>
      <c r="I60" s="191"/>
      <c r="J60" s="124"/>
      <c r="K60" s="124"/>
      <c r="L60" s="143">
        <f t="shared" si="2"/>
        <v>0</v>
      </c>
      <c r="M60" s="124"/>
      <c r="N60" s="124"/>
      <c r="O60" s="124"/>
      <c r="P60" s="143"/>
      <c r="Q60" s="124"/>
      <c r="R60" s="143"/>
      <c r="S60" s="143"/>
      <c r="T60" s="1508">
        <f t="shared" si="0"/>
        <v>137940</v>
      </c>
      <c r="U60" s="124">
        <v>137940</v>
      </c>
      <c r="V60" s="356">
        <v>1</v>
      </c>
      <c r="W60" s="124">
        <f t="shared" si="3"/>
        <v>137940</v>
      </c>
      <c r="X60" s="338"/>
      <c r="Y60" s="338"/>
      <c r="Z60" s="338"/>
      <c r="AA60" s="338"/>
      <c r="AB60" s="338"/>
      <c r="AC60" s="305"/>
      <c r="AD60" s="305"/>
      <c r="AE60" s="305"/>
    </row>
    <row r="61" spans="1:31">
      <c r="A61" s="1479"/>
      <c r="B61" s="2515" t="s">
        <v>811</v>
      </c>
      <c r="C61" s="1481">
        <v>265848</v>
      </c>
      <c r="D61" s="124">
        <v>265848</v>
      </c>
      <c r="E61" s="357">
        <v>1</v>
      </c>
      <c r="F61" s="124">
        <f t="shared" si="4"/>
        <v>265848</v>
      </c>
      <c r="G61" s="124"/>
      <c r="H61" s="124"/>
      <c r="I61" s="191"/>
      <c r="J61" s="124"/>
      <c r="K61" s="124"/>
      <c r="L61" s="143">
        <f t="shared" si="2"/>
        <v>0</v>
      </c>
      <c r="M61" s="124"/>
      <c r="N61" s="124"/>
      <c r="O61" s="124"/>
      <c r="P61" s="143"/>
      <c r="Q61" s="124"/>
      <c r="R61" s="143"/>
      <c r="S61" s="143"/>
      <c r="T61" s="1508">
        <f t="shared" si="0"/>
        <v>0</v>
      </c>
      <c r="U61" s="124">
        <v>0</v>
      </c>
      <c r="V61" s="356"/>
      <c r="W61" s="124">
        <f t="shared" si="3"/>
        <v>0</v>
      </c>
      <c r="X61" s="338"/>
      <c r="Y61" s="338"/>
      <c r="Z61" s="338"/>
      <c r="AA61" s="338"/>
      <c r="AB61" s="338"/>
      <c r="AC61" s="305"/>
      <c r="AD61" s="305"/>
      <c r="AE61" s="305"/>
    </row>
    <row r="62" spans="1:31">
      <c r="A62" s="1479"/>
      <c r="B62" s="2515" t="s">
        <v>812</v>
      </c>
      <c r="C62" s="1481">
        <v>53295</v>
      </c>
      <c r="D62" s="124">
        <v>0</v>
      </c>
      <c r="E62" s="357"/>
      <c r="F62" s="124">
        <f t="shared" si="4"/>
        <v>0</v>
      </c>
      <c r="G62" s="124"/>
      <c r="H62" s="124"/>
      <c r="I62" s="191"/>
      <c r="J62" s="124"/>
      <c r="K62" s="124"/>
      <c r="L62" s="143">
        <f t="shared" si="2"/>
        <v>0</v>
      </c>
      <c r="M62" s="124"/>
      <c r="N62" s="124"/>
      <c r="O62" s="124"/>
      <c r="P62" s="143"/>
      <c r="Q62" s="124"/>
      <c r="R62" s="143"/>
      <c r="S62" s="143"/>
      <c r="T62" s="1508">
        <f t="shared" si="0"/>
        <v>0</v>
      </c>
      <c r="U62" s="124">
        <v>0</v>
      </c>
      <c r="V62" s="356"/>
      <c r="W62" s="124">
        <f t="shared" si="3"/>
        <v>0</v>
      </c>
      <c r="X62" s="338"/>
      <c r="Y62" s="338"/>
      <c r="Z62" s="338"/>
      <c r="AA62" s="338"/>
      <c r="AB62" s="338"/>
      <c r="AC62" s="305"/>
      <c r="AD62" s="305"/>
      <c r="AE62" s="305"/>
    </row>
    <row r="63" spans="1:31">
      <c r="A63" s="1479"/>
      <c r="B63" s="2515" t="s">
        <v>813</v>
      </c>
      <c r="C63" s="1481">
        <v>0</v>
      </c>
      <c r="D63" s="124">
        <v>0</v>
      </c>
      <c r="E63" s="357"/>
      <c r="F63" s="124">
        <f t="shared" si="4"/>
        <v>0</v>
      </c>
      <c r="G63" s="124"/>
      <c r="H63" s="124"/>
      <c r="I63" s="191"/>
      <c r="J63" s="124"/>
      <c r="K63" s="124"/>
      <c r="L63" s="143">
        <f t="shared" si="2"/>
        <v>0</v>
      </c>
      <c r="M63" s="124"/>
      <c r="N63" s="124"/>
      <c r="O63" s="124"/>
      <c r="P63" s="143"/>
      <c r="Q63" s="124"/>
      <c r="R63" s="143"/>
      <c r="S63" s="143"/>
      <c r="T63" s="1508">
        <f t="shared" si="0"/>
        <v>0</v>
      </c>
      <c r="U63" s="124">
        <v>0</v>
      </c>
      <c r="V63" s="356"/>
      <c r="W63" s="124">
        <f t="shared" si="3"/>
        <v>0</v>
      </c>
      <c r="X63" s="338"/>
      <c r="Y63" s="338"/>
      <c r="Z63" s="338"/>
      <c r="AA63" s="338"/>
      <c r="AB63" s="338"/>
      <c r="AC63" s="305"/>
      <c r="AD63" s="305"/>
      <c r="AE63" s="305"/>
    </row>
    <row r="64" spans="1:31">
      <c r="A64" s="1479"/>
      <c r="B64" s="2515" t="s">
        <v>814</v>
      </c>
      <c r="C64" s="1481">
        <v>0</v>
      </c>
      <c r="D64" s="124">
        <v>0</v>
      </c>
      <c r="E64" s="357"/>
      <c r="F64" s="124">
        <f t="shared" si="4"/>
        <v>0</v>
      </c>
      <c r="G64" s="124"/>
      <c r="H64" s="124"/>
      <c r="I64" s="191"/>
      <c r="J64" s="124"/>
      <c r="K64" s="124"/>
      <c r="L64" s="143">
        <f t="shared" si="2"/>
        <v>0</v>
      </c>
      <c r="M64" s="124"/>
      <c r="N64" s="124"/>
      <c r="O64" s="124"/>
      <c r="P64" s="143"/>
      <c r="Q64" s="124"/>
      <c r="R64" s="143"/>
      <c r="S64" s="143"/>
      <c r="T64" s="1508">
        <f t="shared" si="0"/>
        <v>0</v>
      </c>
      <c r="U64" s="124">
        <v>0</v>
      </c>
      <c r="V64" s="356"/>
      <c r="W64" s="124">
        <f t="shared" si="3"/>
        <v>0</v>
      </c>
      <c r="X64" s="338"/>
      <c r="Y64" s="338"/>
      <c r="Z64" s="338"/>
      <c r="AA64" s="338"/>
      <c r="AB64" s="338"/>
      <c r="AC64" s="305"/>
      <c r="AD64" s="305"/>
      <c r="AE64" s="305"/>
    </row>
    <row r="65" spans="1:31">
      <c r="A65" s="1479"/>
      <c r="B65" s="2515" t="s">
        <v>815</v>
      </c>
      <c r="C65" s="1481">
        <v>351120</v>
      </c>
      <c r="D65" s="124">
        <v>351120</v>
      </c>
      <c r="E65" s="357">
        <v>1</v>
      </c>
      <c r="F65" s="124">
        <f t="shared" si="4"/>
        <v>351120</v>
      </c>
      <c r="G65" s="124"/>
      <c r="H65" s="124"/>
      <c r="I65" s="191"/>
      <c r="J65" s="124"/>
      <c r="K65" s="124"/>
      <c r="L65" s="143">
        <f t="shared" si="2"/>
        <v>0</v>
      </c>
      <c r="M65" s="124"/>
      <c r="N65" s="124"/>
      <c r="O65" s="124"/>
      <c r="P65" s="143"/>
      <c r="Q65" s="124"/>
      <c r="R65" s="143"/>
      <c r="S65" s="143"/>
      <c r="T65" s="1508">
        <f t="shared" si="0"/>
        <v>0</v>
      </c>
      <c r="U65" s="124">
        <v>0</v>
      </c>
      <c r="V65" s="356"/>
      <c r="W65" s="124">
        <f t="shared" si="3"/>
        <v>0</v>
      </c>
      <c r="X65" s="338"/>
      <c r="Y65" s="338"/>
      <c r="Z65" s="338"/>
      <c r="AA65" s="338"/>
      <c r="AB65" s="338"/>
      <c r="AC65" s="305"/>
      <c r="AD65" s="305"/>
      <c r="AE65" s="305"/>
    </row>
    <row r="66" spans="1:31">
      <c r="A66" s="1479"/>
      <c r="B66" s="2515" t="s">
        <v>816</v>
      </c>
      <c r="C66" s="1481">
        <v>0</v>
      </c>
      <c r="D66" s="124">
        <v>0</v>
      </c>
      <c r="E66" s="357"/>
      <c r="F66" s="124">
        <f t="shared" si="4"/>
        <v>0</v>
      </c>
      <c r="G66" s="124"/>
      <c r="H66" s="124"/>
      <c r="I66" s="191"/>
      <c r="J66" s="124"/>
      <c r="K66" s="124"/>
      <c r="L66" s="143">
        <f t="shared" si="2"/>
        <v>0</v>
      </c>
      <c r="M66" s="124"/>
      <c r="N66" s="124"/>
      <c r="O66" s="124"/>
      <c r="P66" s="143"/>
      <c r="Q66" s="124"/>
      <c r="R66" s="143"/>
      <c r="S66" s="143"/>
      <c r="T66" s="1508">
        <f t="shared" si="0"/>
        <v>0</v>
      </c>
      <c r="U66" s="124">
        <v>0</v>
      </c>
      <c r="V66" s="356"/>
      <c r="W66" s="124">
        <f t="shared" si="3"/>
        <v>0</v>
      </c>
      <c r="X66" s="338"/>
      <c r="Y66" s="338"/>
      <c r="Z66" s="338"/>
      <c r="AA66" s="338"/>
      <c r="AB66" s="338"/>
      <c r="AC66" s="305"/>
      <c r="AD66" s="305"/>
      <c r="AE66" s="305"/>
    </row>
    <row r="67" spans="1:31">
      <c r="A67" s="1479"/>
      <c r="B67" s="2515" t="s">
        <v>817</v>
      </c>
      <c r="C67" s="1481">
        <v>0</v>
      </c>
      <c r="D67" s="124">
        <v>0</v>
      </c>
      <c r="E67" s="357"/>
      <c r="F67" s="124">
        <f t="shared" si="4"/>
        <v>0</v>
      </c>
      <c r="G67" s="124"/>
      <c r="H67" s="124"/>
      <c r="I67" s="191"/>
      <c r="J67" s="124"/>
      <c r="K67" s="124"/>
      <c r="L67" s="143">
        <f t="shared" si="2"/>
        <v>0</v>
      </c>
      <c r="M67" s="124"/>
      <c r="N67" s="124"/>
      <c r="O67" s="124"/>
      <c r="P67" s="143"/>
      <c r="Q67" s="124"/>
      <c r="R67" s="143"/>
      <c r="S67" s="143"/>
      <c r="T67" s="1508">
        <f t="shared" si="0"/>
        <v>0</v>
      </c>
      <c r="U67" s="124">
        <v>0</v>
      </c>
      <c r="V67" s="356"/>
      <c r="W67" s="124">
        <f t="shared" si="3"/>
        <v>0</v>
      </c>
      <c r="X67" s="338"/>
      <c r="Y67" s="338"/>
      <c r="Z67" s="338"/>
      <c r="AA67" s="338"/>
      <c r="AB67" s="338"/>
      <c r="AC67" s="305"/>
      <c r="AD67" s="305"/>
      <c r="AE67" s="305"/>
    </row>
    <row r="68" spans="1:31">
      <c r="A68" s="1479"/>
      <c r="B68" s="2515" t="s">
        <v>818</v>
      </c>
      <c r="C68" s="1481">
        <v>0</v>
      </c>
      <c r="D68" s="124">
        <v>0</v>
      </c>
      <c r="E68" s="357"/>
      <c r="F68" s="124">
        <f t="shared" si="4"/>
        <v>0</v>
      </c>
      <c r="G68" s="124"/>
      <c r="H68" s="124"/>
      <c r="I68" s="191"/>
      <c r="J68" s="124"/>
      <c r="K68" s="124"/>
      <c r="L68" s="143">
        <f t="shared" si="2"/>
        <v>0</v>
      </c>
      <c r="M68" s="124"/>
      <c r="N68" s="124"/>
      <c r="O68" s="124"/>
      <c r="P68" s="143"/>
      <c r="Q68" s="124"/>
      <c r="R68" s="143"/>
      <c r="S68" s="143"/>
      <c r="T68" s="1508">
        <f t="shared" si="0"/>
        <v>0</v>
      </c>
      <c r="U68" s="124">
        <v>0</v>
      </c>
      <c r="V68" s="356"/>
      <c r="W68" s="124">
        <f t="shared" si="3"/>
        <v>0</v>
      </c>
      <c r="X68" s="338"/>
      <c r="Y68" s="338"/>
      <c r="Z68" s="338"/>
      <c r="AA68" s="338"/>
      <c r="AB68" s="338"/>
      <c r="AC68" s="305"/>
      <c r="AD68" s="305"/>
      <c r="AE68" s="305"/>
    </row>
    <row r="69" spans="1:31">
      <c r="A69" s="1479"/>
      <c r="B69" s="2515" t="s">
        <v>819</v>
      </c>
      <c r="C69" s="1481">
        <v>0</v>
      </c>
      <c r="D69" s="124">
        <v>0</v>
      </c>
      <c r="E69" s="357"/>
      <c r="F69" s="124">
        <f t="shared" si="4"/>
        <v>0</v>
      </c>
      <c r="G69" s="124"/>
      <c r="H69" s="124"/>
      <c r="I69" s="191"/>
      <c r="J69" s="124"/>
      <c r="K69" s="124"/>
      <c r="L69" s="143">
        <f t="shared" si="2"/>
        <v>0</v>
      </c>
      <c r="M69" s="124"/>
      <c r="N69" s="124"/>
      <c r="O69" s="124"/>
      <c r="P69" s="143"/>
      <c r="Q69" s="124"/>
      <c r="R69" s="143"/>
      <c r="S69" s="143"/>
      <c r="T69" s="1508">
        <f t="shared" si="0"/>
        <v>0</v>
      </c>
      <c r="U69" s="124">
        <v>0</v>
      </c>
      <c r="V69" s="356"/>
      <c r="W69" s="124">
        <f t="shared" si="3"/>
        <v>0</v>
      </c>
      <c r="X69" s="338"/>
      <c r="Y69" s="338"/>
      <c r="Z69" s="338"/>
      <c r="AA69" s="338"/>
      <c r="AB69" s="338"/>
      <c r="AC69" s="305"/>
      <c r="AD69" s="305"/>
      <c r="AE69" s="305"/>
    </row>
    <row r="70" spans="1:31">
      <c r="A70" s="1479"/>
      <c r="B70" s="2515" t="s">
        <v>324</v>
      </c>
      <c r="C70" s="1481">
        <v>451440</v>
      </c>
      <c r="D70" s="124">
        <v>326040</v>
      </c>
      <c r="E70" s="357">
        <v>1</v>
      </c>
      <c r="F70" s="124">
        <f t="shared" si="4"/>
        <v>326040</v>
      </c>
      <c r="G70" s="124"/>
      <c r="H70" s="124"/>
      <c r="I70" s="191"/>
      <c r="J70" s="124"/>
      <c r="K70" s="124"/>
      <c r="L70" s="143">
        <f t="shared" si="2"/>
        <v>0</v>
      </c>
      <c r="M70" s="124"/>
      <c r="N70" s="124"/>
      <c r="O70" s="124"/>
      <c r="P70" s="143"/>
      <c r="Q70" s="124"/>
      <c r="R70" s="143"/>
      <c r="S70" s="143"/>
      <c r="T70" s="1508">
        <f t="shared" si="0"/>
        <v>68970</v>
      </c>
      <c r="U70" s="124">
        <v>68970</v>
      </c>
      <c r="V70" s="356">
        <v>1</v>
      </c>
      <c r="W70" s="124">
        <f t="shared" si="3"/>
        <v>68970</v>
      </c>
      <c r="X70" s="338"/>
      <c r="Y70" s="338"/>
      <c r="Z70" s="338"/>
      <c r="AA70" s="338"/>
      <c r="AB70" s="338"/>
      <c r="AC70" s="305"/>
      <c r="AD70" s="305"/>
      <c r="AE70" s="305"/>
    </row>
    <row r="71" spans="1:31">
      <c r="A71" s="1479"/>
      <c r="B71" s="2515" t="s">
        <v>325</v>
      </c>
      <c r="C71" s="1481">
        <v>200640</v>
      </c>
      <c r="D71" s="124">
        <v>200640</v>
      </c>
      <c r="E71" s="357">
        <v>1</v>
      </c>
      <c r="F71" s="124">
        <f t="shared" si="4"/>
        <v>200640</v>
      </c>
      <c r="G71" s="124"/>
      <c r="H71" s="124"/>
      <c r="I71" s="191"/>
      <c r="J71" s="124"/>
      <c r="K71" s="124"/>
      <c r="L71" s="143">
        <f t="shared" si="2"/>
        <v>0</v>
      </c>
      <c r="M71" s="124"/>
      <c r="N71" s="124"/>
      <c r="O71" s="124"/>
      <c r="P71" s="143"/>
      <c r="Q71" s="124"/>
      <c r="R71" s="143"/>
      <c r="S71" s="143"/>
      <c r="T71" s="1508">
        <f t="shared" si="0"/>
        <v>0</v>
      </c>
      <c r="U71" s="124">
        <v>0</v>
      </c>
      <c r="V71" s="356"/>
      <c r="W71" s="124">
        <f t="shared" si="3"/>
        <v>0</v>
      </c>
      <c r="X71" s="338"/>
      <c r="Y71" s="338"/>
      <c r="Z71" s="338"/>
      <c r="AA71" s="338"/>
      <c r="AB71" s="338"/>
      <c r="AC71" s="305"/>
      <c r="AD71" s="305"/>
      <c r="AE71" s="305"/>
    </row>
    <row r="72" spans="1:31">
      <c r="A72" s="1479"/>
      <c r="B72" s="2515" t="s">
        <v>326</v>
      </c>
      <c r="C72" s="1481">
        <v>522918</v>
      </c>
      <c r="D72" s="124">
        <v>0</v>
      </c>
      <c r="E72" s="357"/>
      <c r="F72" s="124">
        <f t="shared" si="4"/>
        <v>0</v>
      </c>
      <c r="G72" s="124"/>
      <c r="H72" s="124"/>
      <c r="I72" s="191"/>
      <c r="J72" s="124"/>
      <c r="K72" s="124"/>
      <c r="L72" s="143">
        <f t="shared" si="2"/>
        <v>0</v>
      </c>
      <c r="M72" s="124"/>
      <c r="N72" s="124"/>
      <c r="O72" s="124"/>
      <c r="P72" s="143"/>
      <c r="Q72" s="124"/>
      <c r="R72" s="143"/>
      <c r="S72" s="143"/>
      <c r="T72" s="1508">
        <f t="shared" si="0"/>
        <v>0</v>
      </c>
      <c r="U72" s="124">
        <v>0</v>
      </c>
      <c r="V72" s="356"/>
      <c r="W72" s="124">
        <f t="shared" si="3"/>
        <v>0</v>
      </c>
      <c r="X72" s="338"/>
      <c r="Y72" s="338"/>
      <c r="Z72" s="338"/>
      <c r="AA72" s="338"/>
      <c r="AB72" s="338"/>
      <c r="AC72" s="305"/>
      <c r="AD72" s="305"/>
      <c r="AE72" s="305"/>
    </row>
    <row r="73" spans="1:31">
      <c r="A73" s="1479"/>
      <c r="B73" s="2515" t="s">
        <v>327</v>
      </c>
      <c r="C73" s="1481">
        <v>539220</v>
      </c>
      <c r="D73" s="124">
        <v>275880</v>
      </c>
      <c r="E73" s="357">
        <v>1</v>
      </c>
      <c r="F73" s="124">
        <f t="shared" si="4"/>
        <v>275880</v>
      </c>
      <c r="G73" s="124"/>
      <c r="H73" s="124"/>
      <c r="I73" s="191"/>
      <c r="J73" s="124"/>
      <c r="K73" s="124"/>
      <c r="L73" s="143">
        <f t="shared" si="2"/>
        <v>0</v>
      </c>
      <c r="M73" s="124"/>
      <c r="N73" s="124"/>
      <c r="O73" s="124"/>
      <c r="P73" s="143"/>
      <c r="Q73" s="124"/>
      <c r="R73" s="143"/>
      <c r="S73" s="143"/>
      <c r="T73" s="1508">
        <f t="shared" si="0"/>
        <v>137940</v>
      </c>
      <c r="U73" s="124">
        <v>137940</v>
      </c>
      <c r="V73" s="356">
        <v>1</v>
      </c>
      <c r="W73" s="124">
        <f t="shared" si="3"/>
        <v>137940</v>
      </c>
      <c r="X73" s="338"/>
      <c r="Y73" s="338"/>
      <c r="Z73" s="338"/>
      <c r="AA73" s="338"/>
      <c r="AB73" s="338"/>
      <c r="AC73" s="305"/>
      <c r="AD73" s="305"/>
      <c r="AE73" s="305"/>
    </row>
    <row r="74" spans="1:31" ht="15.75">
      <c r="A74" s="2519"/>
      <c r="B74" s="2515" t="s">
        <v>328</v>
      </c>
      <c r="C74" s="1481">
        <v>508622.39999999997</v>
      </c>
      <c r="D74" s="124">
        <v>0</v>
      </c>
      <c r="E74" s="357"/>
      <c r="F74" s="124">
        <f t="shared" si="4"/>
        <v>0</v>
      </c>
      <c r="G74" s="124"/>
      <c r="H74" s="124"/>
      <c r="I74" s="124"/>
      <c r="J74" s="124"/>
      <c r="K74" s="124"/>
      <c r="L74" s="143">
        <f t="shared" si="2"/>
        <v>0</v>
      </c>
      <c r="M74" s="124"/>
      <c r="N74" s="124"/>
      <c r="O74" s="124"/>
      <c r="P74" s="143"/>
      <c r="Q74" s="124"/>
      <c r="R74" s="143"/>
      <c r="S74" s="143"/>
      <c r="T74" s="1508">
        <f t="shared" si="0"/>
        <v>0</v>
      </c>
      <c r="U74" s="124">
        <v>0</v>
      </c>
      <c r="V74" s="356"/>
      <c r="W74" s="124">
        <f t="shared" si="3"/>
        <v>0</v>
      </c>
      <c r="X74" s="338"/>
      <c r="Y74" s="338"/>
      <c r="Z74" s="338"/>
      <c r="AA74" s="338"/>
      <c r="AB74" s="338"/>
      <c r="AC74" s="305"/>
      <c r="AD74" s="305"/>
      <c r="AE74" s="305"/>
    </row>
    <row r="75" spans="1:31">
      <c r="A75" s="1479"/>
      <c r="B75" s="2515" t="s">
        <v>329</v>
      </c>
      <c r="C75" s="1481">
        <v>0</v>
      </c>
      <c r="D75" s="124">
        <v>0</v>
      </c>
      <c r="E75" s="357"/>
      <c r="F75" s="124">
        <f t="shared" si="4"/>
        <v>0</v>
      </c>
      <c r="G75" s="188"/>
      <c r="H75" s="188"/>
      <c r="I75" s="188"/>
      <c r="J75" s="188"/>
      <c r="K75" s="188"/>
      <c r="L75" s="143">
        <f t="shared" si="2"/>
        <v>0</v>
      </c>
      <c r="M75" s="188"/>
      <c r="N75" s="188"/>
      <c r="O75" s="188"/>
      <c r="P75" s="143">
        <f>O75*D75</f>
        <v>0</v>
      </c>
      <c r="Q75" s="188"/>
      <c r="R75" s="143">
        <f>Q75*D75</f>
        <v>0</v>
      </c>
      <c r="S75" s="143">
        <f>+P75-R75</f>
        <v>0</v>
      </c>
      <c r="T75" s="1508">
        <f t="shared" si="0"/>
        <v>0</v>
      </c>
      <c r="U75" s="124">
        <v>0</v>
      </c>
      <c r="V75" s="356"/>
      <c r="W75" s="124">
        <f t="shared" si="3"/>
        <v>0</v>
      </c>
      <c r="X75" s="338"/>
      <c r="Y75" s="338"/>
      <c r="Z75" s="338"/>
      <c r="AA75" s="338"/>
      <c r="AB75" s="338"/>
      <c r="AC75" s="305"/>
      <c r="AD75" s="305"/>
      <c r="AE75" s="305"/>
    </row>
    <row r="76" spans="1:31">
      <c r="A76" s="1479"/>
      <c r="B76" s="2515" t="s">
        <v>330</v>
      </c>
      <c r="C76" s="1481">
        <v>237946.5</v>
      </c>
      <c r="D76" s="124">
        <v>0</v>
      </c>
      <c r="E76" s="357"/>
      <c r="F76" s="124">
        <f t="shared" si="4"/>
        <v>0</v>
      </c>
      <c r="G76" s="188"/>
      <c r="H76" s="188"/>
      <c r="I76" s="188"/>
      <c r="J76" s="188"/>
      <c r="K76" s="188"/>
      <c r="L76" s="143">
        <f t="shared" si="2"/>
        <v>0</v>
      </c>
      <c r="M76" s="188"/>
      <c r="N76" s="188"/>
      <c r="O76" s="188"/>
      <c r="P76" s="143"/>
      <c r="Q76" s="188"/>
      <c r="R76" s="143"/>
      <c r="S76" s="143"/>
      <c r="T76" s="1508">
        <f t="shared" si="0"/>
        <v>0</v>
      </c>
      <c r="U76" s="124">
        <v>0</v>
      </c>
      <c r="V76" s="356"/>
      <c r="W76" s="124">
        <f t="shared" si="3"/>
        <v>0</v>
      </c>
      <c r="X76" s="338"/>
      <c r="Y76" s="338"/>
      <c r="Z76" s="338"/>
      <c r="AA76" s="338"/>
      <c r="AB76" s="338"/>
      <c r="AC76" s="305"/>
      <c r="AD76" s="305"/>
      <c r="AE76" s="305"/>
    </row>
    <row r="77" spans="1:31">
      <c r="A77" s="1479"/>
      <c r="B77" s="2515" t="s">
        <v>333</v>
      </c>
      <c r="C77" s="305">
        <v>0</v>
      </c>
      <c r="D77" s="368">
        <v>0</v>
      </c>
      <c r="E77" s="369"/>
      <c r="F77" s="305"/>
      <c r="G77" s="188"/>
      <c r="H77" s="188"/>
      <c r="I77" s="188"/>
      <c r="J77" s="188"/>
      <c r="K77" s="188"/>
      <c r="L77" s="143">
        <f t="shared" si="2"/>
        <v>0</v>
      </c>
      <c r="M77" s="188"/>
      <c r="N77" s="188"/>
      <c r="O77" s="188"/>
      <c r="P77" s="143"/>
      <c r="Q77" s="188"/>
      <c r="R77" s="143"/>
      <c r="S77" s="143"/>
      <c r="T77" s="1508">
        <f t="shared" si="0"/>
        <v>0</v>
      </c>
      <c r="U77" s="368">
        <v>0</v>
      </c>
      <c r="V77" s="356"/>
      <c r="W77" s="124">
        <f t="shared" si="3"/>
        <v>0</v>
      </c>
      <c r="X77" s="338"/>
      <c r="Y77" s="338"/>
      <c r="Z77" s="338"/>
      <c r="AA77" s="338"/>
      <c r="AB77" s="338"/>
      <c r="AC77" s="305"/>
      <c r="AD77" s="305"/>
      <c r="AE77" s="305"/>
    </row>
    <row r="78" spans="1:31">
      <c r="A78" s="1479"/>
      <c r="B78" s="2515" t="s">
        <v>334</v>
      </c>
      <c r="C78" s="1481">
        <v>0</v>
      </c>
      <c r="D78" s="124">
        <v>0</v>
      </c>
      <c r="E78" s="190"/>
      <c r="F78" s="124"/>
      <c r="G78" s="188"/>
      <c r="H78" s="188"/>
      <c r="I78" s="188"/>
      <c r="J78" s="188"/>
      <c r="K78" s="188"/>
      <c r="L78" s="143">
        <f t="shared" si="2"/>
        <v>0</v>
      </c>
      <c r="M78" s="188"/>
      <c r="N78" s="188"/>
      <c r="O78" s="188"/>
      <c r="P78" s="143"/>
      <c r="Q78" s="188"/>
      <c r="R78" s="143"/>
      <c r="S78" s="143"/>
      <c r="T78" s="1508">
        <f t="shared" si="0"/>
        <v>0</v>
      </c>
      <c r="U78" s="124">
        <v>0</v>
      </c>
      <c r="V78" s="356"/>
      <c r="W78" s="124">
        <f t="shared" si="3"/>
        <v>0</v>
      </c>
      <c r="X78" s="338"/>
      <c r="Y78" s="338"/>
      <c r="Z78" s="338"/>
      <c r="AA78" s="338"/>
      <c r="AB78" s="338"/>
      <c r="AC78" s="305"/>
      <c r="AD78" s="305"/>
      <c r="AE78" s="305"/>
    </row>
    <row r="79" spans="1:31">
      <c r="A79" s="370"/>
      <c r="B79" s="2515" t="s">
        <v>335</v>
      </c>
      <c r="C79" s="1481">
        <v>0</v>
      </c>
      <c r="D79" s="124">
        <v>0</v>
      </c>
      <c r="E79" s="190"/>
      <c r="F79" s="124"/>
      <c r="G79" s="188"/>
      <c r="H79" s="188"/>
      <c r="I79" s="188"/>
      <c r="J79" s="188"/>
      <c r="K79" s="188"/>
      <c r="L79" s="143">
        <f t="shared" si="2"/>
        <v>0</v>
      </c>
      <c r="M79" s="188"/>
      <c r="N79" s="188"/>
      <c r="O79" s="188"/>
      <c r="P79" s="143"/>
      <c r="Q79" s="188"/>
      <c r="R79" s="143"/>
      <c r="T79" s="1508">
        <f t="shared" ref="T79:T82" si="5">W79-L79</f>
        <v>0</v>
      </c>
      <c r="U79" s="124">
        <v>0</v>
      </c>
      <c r="V79" s="356"/>
      <c r="W79" s="124">
        <f t="shared" si="3"/>
        <v>0</v>
      </c>
      <c r="X79" s="338"/>
      <c r="Y79" s="338"/>
      <c r="Z79" s="338"/>
      <c r="AA79" s="338"/>
      <c r="AB79" s="338"/>
      <c r="AC79" s="305"/>
      <c r="AD79" s="305"/>
      <c r="AE79" s="305"/>
    </row>
    <row r="80" spans="1:31">
      <c r="A80" s="370"/>
      <c r="B80" s="2515" t="s">
        <v>820</v>
      </c>
      <c r="C80" s="1481">
        <v>0</v>
      </c>
      <c r="D80" s="124">
        <v>0</v>
      </c>
      <c r="E80" s="190"/>
      <c r="F80" s="124"/>
      <c r="G80" s="188"/>
      <c r="H80" s="188"/>
      <c r="I80" s="188"/>
      <c r="J80" s="188"/>
      <c r="K80" s="188"/>
      <c r="L80" s="143">
        <f t="shared" ref="L80:L82" si="6">I80-J80+K80</f>
        <v>0</v>
      </c>
      <c r="M80" s="188"/>
      <c r="N80" s="188"/>
      <c r="O80" s="188"/>
      <c r="P80" s="143"/>
      <c r="Q80" s="188"/>
      <c r="R80" s="143"/>
      <c r="S80" s="143"/>
      <c r="T80" s="1508">
        <f t="shared" si="5"/>
        <v>0</v>
      </c>
      <c r="U80" s="124">
        <v>0</v>
      </c>
      <c r="V80" s="356"/>
      <c r="W80" s="124">
        <f t="shared" ref="W80" si="7">V80*U80</f>
        <v>0</v>
      </c>
      <c r="X80" s="338"/>
      <c r="Y80" s="338"/>
      <c r="Z80" s="338"/>
      <c r="AA80" s="338"/>
      <c r="AB80" s="338"/>
      <c r="AC80" s="305"/>
      <c r="AD80" s="305"/>
      <c r="AE80" s="305"/>
    </row>
    <row r="81" spans="1:31">
      <c r="A81" s="1479"/>
      <c r="B81" s="179"/>
      <c r="C81" s="1481"/>
      <c r="D81" s="124"/>
      <c r="E81" s="190"/>
      <c r="F81" s="124"/>
      <c r="G81" s="188"/>
      <c r="H81" s="188"/>
      <c r="I81" s="188"/>
      <c r="J81" s="188"/>
      <c r="K81" s="188"/>
      <c r="L81" s="143">
        <f t="shared" si="6"/>
        <v>0</v>
      </c>
      <c r="M81" s="188"/>
      <c r="N81" s="188"/>
      <c r="O81" s="188"/>
      <c r="P81" s="143"/>
      <c r="Q81" s="188"/>
      <c r="R81" s="143"/>
      <c r="S81" s="143"/>
      <c r="T81" s="1508">
        <f t="shared" si="5"/>
        <v>0</v>
      </c>
      <c r="U81" s="124"/>
      <c r="V81" s="190"/>
      <c r="W81" s="124"/>
      <c r="X81" s="338"/>
      <c r="Y81" s="338"/>
      <c r="Z81" s="338"/>
      <c r="AA81" s="338"/>
      <c r="AB81" s="338"/>
      <c r="AC81" s="305"/>
      <c r="AD81" s="305"/>
      <c r="AE81" s="305"/>
    </row>
    <row r="82" spans="1:31">
      <c r="A82" s="1479"/>
      <c r="B82" s="2520"/>
      <c r="C82" s="1481">
        <f>D82*E82</f>
        <v>0</v>
      </c>
      <c r="D82" s="124"/>
      <c r="E82" s="190"/>
      <c r="F82" s="124">
        <f>D82*E82</f>
        <v>0</v>
      </c>
      <c r="G82" s="188"/>
      <c r="H82" s="188"/>
      <c r="I82" s="188"/>
      <c r="J82" s="188"/>
      <c r="K82" s="188"/>
      <c r="L82" s="143">
        <f t="shared" si="6"/>
        <v>0</v>
      </c>
      <c r="M82" s="188"/>
      <c r="N82" s="188"/>
      <c r="O82" s="188"/>
      <c r="P82" s="143"/>
      <c r="Q82" s="188"/>
      <c r="R82" s="143"/>
      <c r="S82" s="143"/>
      <c r="T82" s="1508">
        <f t="shared" si="5"/>
        <v>0</v>
      </c>
      <c r="U82" s="124"/>
      <c r="V82" s="190"/>
      <c r="W82" s="124"/>
      <c r="X82" s="338"/>
      <c r="Y82" s="338"/>
      <c r="Z82" s="338"/>
      <c r="AA82" s="338"/>
      <c r="AB82" s="338"/>
      <c r="AC82" s="305"/>
      <c r="AD82" s="305"/>
      <c r="AE82" s="305"/>
    </row>
    <row r="83" spans="1:31">
      <c r="A83" s="339" t="s">
        <v>97</v>
      </c>
      <c r="B83" s="2521" t="s">
        <v>17</v>
      </c>
      <c r="C83" s="372">
        <f>SUM(C14:C82)</f>
        <v>88694242.275678605</v>
      </c>
      <c r="D83" s="372"/>
      <c r="E83" s="373"/>
      <c r="F83" s="372">
        <f>SUM(F14:F82)</f>
        <v>45455846.770916998</v>
      </c>
      <c r="G83" s="372">
        <f t="shared" ref="G83:N83" si="8">SUM(G15:G82)</f>
        <v>218460</v>
      </c>
      <c r="H83" s="372">
        <f t="shared" si="8"/>
        <v>0</v>
      </c>
      <c r="I83" s="372">
        <f t="shared" si="8"/>
        <v>0</v>
      </c>
      <c r="J83" s="372">
        <f t="shared" si="8"/>
        <v>0</v>
      </c>
      <c r="K83" s="372">
        <f t="shared" si="8"/>
        <v>218460</v>
      </c>
      <c r="L83" s="372">
        <f t="shared" si="8"/>
        <v>218460</v>
      </c>
      <c r="M83" s="372">
        <f t="shared" si="8"/>
        <v>0</v>
      </c>
      <c r="N83" s="372">
        <f t="shared" si="8"/>
        <v>218460</v>
      </c>
      <c r="O83" s="372"/>
      <c r="P83" s="372">
        <f>SUM(P15:P82)</f>
        <v>0</v>
      </c>
      <c r="Q83" s="372"/>
      <c r="R83" s="372">
        <f>SUM(R15:R82)</f>
        <v>0</v>
      </c>
      <c r="S83" s="372">
        <f>SUM(S15:S82)</f>
        <v>0</v>
      </c>
      <c r="T83" s="374">
        <f>W83-L83</f>
        <v>5283916.9553939998</v>
      </c>
      <c r="U83" s="372"/>
      <c r="V83" s="372"/>
      <c r="W83" s="372">
        <f t="shared" ref="W83:AB83" si="9">SUM(W15:W82)</f>
        <v>5502376.9553939998</v>
      </c>
      <c r="X83" s="372">
        <f t="shared" si="9"/>
        <v>0</v>
      </c>
      <c r="Y83" s="372">
        <f t="shared" si="9"/>
        <v>0</v>
      </c>
      <c r="Z83" s="372">
        <f>SUM(Z15:Z82)</f>
        <v>0</v>
      </c>
      <c r="AA83" s="372">
        <f t="shared" si="9"/>
        <v>0</v>
      </c>
      <c r="AB83" s="372">
        <f t="shared" si="9"/>
        <v>0</v>
      </c>
      <c r="AC83" s="305"/>
      <c r="AD83" s="305"/>
      <c r="AE83" s="305"/>
    </row>
    <row r="84" spans="1:31">
      <c r="A84" s="341"/>
      <c r="B84" s="342"/>
      <c r="F84" s="343"/>
      <c r="G84" s="343"/>
      <c r="H84" s="343"/>
      <c r="I84" s="343"/>
      <c r="J84" s="343"/>
      <c r="K84" s="343"/>
      <c r="L84" s="343"/>
      <c r="M84" s="343"/>
      <c r="N84" s="343"/>
      <c r="P84" s="343"/>
      <c r="Q84" s="304"/>
      <c r="R84" s="304"/>
      <c r="W84" s="343"/>
      <c r="AC84" s="305"/>
      <c r="AD84" s="305"/>
      <c r="AE84" s="305"/>
    </row>
    <row r="85" spans="1:31">
      <c r="A85" s="344"/>
      <c r="B85" s="342"/>
      <c r="C85" s="2522"/>
      <c r="F85" s="343"/>
      <c r="G85" s="343"/>
      <c r="H85" s="343"/>
      <c r="I85" s="343"/>
      <c r="J85" s="343"/>
      <c r="K85" s="343"/>
      <c r="L85" s="343"/>
      <c r="M85" s="343"/>
      <c r="N85" s="343"/>
      <c r="P85" s="343"/>
      <c r="Q85" s="304"/>
      <c r="R85" s="304"/>
      <c r="W85" s="343">
        <f>W83-'[16]Tram-Tr'!M77</f>
        <v>0</v>
      </c>
      <c r="AC85" s="305"/>
      <c r="AD85" s="305"/>
      <c r="AE85" s="305"/>
    </row>
    <row r="86" spans="1:31">
      <c r="F86" s="343"/>
      <c r="R86" s="304"/>
      <c r="W86" s="343"/>
      <c r="AC86" s="305"/>
      <c r="AD86" s="305"/>
      <c r="AE86" s="305"/>
    </row>
    <row r="87" spans="1:31">
      <c r="F87" s="343"/>
      <c r="R87" s="304"/>
      <c r="W87" s="343"/>
      <c r="AC87" s="305"/>
      <c r="AD87" s="305"/>
      <c r="AE87" s="305"/>
    </row>
    <row r="88" spans="1:31">
      <c r="C88" s="654"/>
      <c r="R88" s="304"/>
      <c r="AC88" s="305"/>
      <c r="AD88" s="305"/>
      <c r="AE88" s="305"/>
    </row>
    <row r="89" spans="1:31">
      <c r="A89" s="304" t="s">
        <v>59</v>
      </c>
      <c r="F89" s="343"/>
      <c r="W89" s="343"/>
      <c r="AC89" s="305"/>
      <c r="AD89" s="305"/>
      <c r="AE89" s="305"/>
    </row>
    <row r="101" spans="1:31">
      <c r="A101" s="305"/>
      <c r="B101" s="304" t="s">
        <v>126</v>
      </c>
      <c r="C101" s="305"/>
      <c r="D101" s="305"/>
      <c r="E101" s="305"/>
      <c r="F101" s="305"/>
      <c r="G101" s="305"/>
      <c r="H101" s="305"/>
      <c r="I101" s="305"/>
      <c r="J101" s="305"/>
      <c r="K101" s="305"/>
      <c r="L101" s="305"/>
      <c r="M101" s="305"/>
      <c r="N101" s="305"/>
      <c r="O101" s="305"/>
      <c r="P101" s="305"/>
      <c r="Q101" s="305"/>
      <c r="R101" s="305"/>
      <c r="S101" s="305"/>
      <c r="T101" s="305"/>
      <c r="U101" s="305"/>
      <c r="V101" s="305"/>
      <c r="W101" s="305"/>
      <c r="X101" s="305"/>
      <c r="Y101" s="305"/>
      <c r="Z101" s="305"/>
      <c r="AA101" s="305"/>
      <c r="AB101" s="305"/>
      <c r="AC101" s="305"/>
      <c r="AD101" s="305"/>
      <c r="AE101" s="305"/>
    </row>
  </sheetData>
  <mergeCells count="6">
    <mergeCell ref="E1:F1"/>
    <mergeCell ref="X8:X12"/>
    <mergeCell ref="Y8:Y12"/>
    <mergeCell ref="Z8:Z12"/>
    <mergeCell ref="AA8:AA12"/>
    <mergeCell ref="AB8:AB12"/>
  </mergeCells>
  <conditionalFormatting sqref="U8:W9 X8:AB12">
    <cfRule type="cellIs" dxfId="1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56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5">
    <pageSetUpPr fitToPage="1"/>
  </sheetPr>
  <dimension ref="A1:CC61"/>
  <sheetViews>
    <sheetView showGridLines="0" showZeros="0" view="pageBreakPreview" topLeftCell="F1" zoomScaleNormal="100" workbookViewId="0">
      <selection activeCell="J16" sqref="J16"/>
    </sheetView>
  </sheetViews>
  <sheetFormatPr baseColWidth="10" defaultRowHeight="12.75"/>
  <cols>
    <col min="1" max="1" width="10.25" style="67" customWidth="1"/>
    <col min="2" max="2" width="33.5" style="67" customWidth="1"/>
    <col min="3" max="3" width="10.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256" width="11" style="384"/>
    <col min="257" max="257" width="10.25" style="384" customWidth="1"/>
    <col min="258" max="258" width="33.5" style="384" customWidth="1"/>
    <col min="259" max="259" width="10.5" style="384" customWidth="1"/>
    <col min="260" max="260" width="10.375" style="384" customWidth="1"/>
    <col min="261" max="261" width="2.5" style="384" bestFit="1" customWidth="1"/>
    <col min="262" max="265" width="10.25" style="384" customWidth="1"/>
    <col min="266" max="266" width="12" style="384" customWidth="1"/>
    <col min="267" max="267" width="10.25" style="384" customWidth="1"/>
    <col min="268" max="268" width="9" style="384" customWidth="1"/>
    <col min="269" max="269" width="9.75" style="384" customWidth="1"/>
    <col min="270" max="270" width="8.75" style="384" customWidth="1"/>
    <col min="271" max="271" width="6.5" style="384" customWidth="1"/>
    <col min="272" max="272" width="11" style="384"/>
    <col min="273" max="273" width="5.875" style="384" customWidth="1"/>
    <col min="274" max="275" width="11" style="384"/>
    <col min="276" max="276" width="10.875" style="384" customWidth="1"/>
    <col min="277" max="277" width="9" style="384" customWidth="1"/>
    <col min="278" max="278" width="4.875" style="384" customWidth="1"/>
    <col min="279" max="279" width="10.25" style="384" customWidth="1"/>
    <col min="280" max="284" width="10.875" style="384" customWidth="1"/>
    <col min="285" max="512" width="11" style="384"/>
    <col min="513" max="513" width="10.25" style="384" customWidth="1"/>
    <col min="514" max="514" width="33.5" style="384" customWidth="1"/>
    <col min="515" max="515" width="10.5" style="384" customWidth="1"/>
    <col min="516" max="516" width="10.375" style="384" customWidth="1"/>
    <col min="517" max="517" width="2.5" style="384" bestFit="1" customWidth="1"/>
    <col min="518" max="521" width="10.25" style="384" customWidth="1"/>
    <col min="522" max="522" width="12" style="384" customWidth="1"/>
    <col min="523" max="523" width="10.25" style="384" customWidth="1"/>
    <col min="524" max="524" width="9" style="384" customWidth="1"/>
    <col min="525" max="525" width="9.75" style="384" customWidth="1"/>
    <col min="526" max="526" width="8.75" style="384" customWidth="1"/>
    <col min="527" max="527" width="6.5" style="384" customWidth="1"/>
    <col min="528" max="528" width="11" style="384"/>
    <col min="529" max="529" width="5.875" style="384" customWidth="1"/>
    <col min="530" max="531" width="11" style="384"/>
    <col min="532" max="532" width="10.875" style="384" customWidth="1"/>
    <col min="533" max="533" width="9" style="384" customWidth="1"/>
    <col min="534" max="534" width="4.875" style="384" customWidth="1"/>
    <col min="535" max="535" width="10.25" style="384" customWidth="1"/>
    <col min="536" max="540" width="10.875" style="384" customWidth="1"/>
    <col min="541" max="768" width="11" style="384"/>
    <col min="769" max="769" width="10.25" style="384" customWidth="1"/>
    <col min="770" max="770" width="33.5" style="384" customWidth="1"/>
    <col min="771" max="771" width="10.5" style="384" customWidth="1"/>
    <col min="772" max="772" width="10.375" style="384" customWidth="1"/>
    <col min="773" max="773" width="2.5" style="384" bestFit="1" customWidth="1"/>
    <col min="774" max="777" width="10.25" style="384" customWidth="1"/>
    <col min="778" max="778" width="12" style="384" customWidth="1"/>
    <col min="779" max="779" width="10.25" style="384" customWidth="1"/>
    <col min="780" max="780" width="9" style="384" customWidth="1"/>
    <col min="781" max="781" width="9.75" style="384" customWidth="1"/>
    <col min="782" max="782" width="8.75" style="384" customWidth="1"/>
    <col min="783" max="783" width="6.5" style="384" customWidth="1"/>
    <col min="784" max="784" width="11" style="384"/>
    <col min="785" max="785" width="5.875" style="384" customWidth="1"/>
    <col min="786" max="787" width="11" style="384"/>
    <col min="788" max="788" width="10.875" style="384" customWidth="1"/>
    <col min="789" max="789" width="9" style="384" customWidth="1"/>
    <col min="790" max="790" width="4.875" style="384" customWidth="1"/>
    <col min="791" max="791" width="10.25" style="384" customWidth="1"/>
    <col min="792" max="796" width="10.875" style="384" customWidth="1"/>
    <col min="797" max="1024" width="11" style="384"/>
    <col min="1025" max="1025" width="10.25" style="384" customWidth="1"/>
    <col min="1026" max="1026" width="33.5" style="384" customWidth="1"/>
    <col min="1027" max="1027" width="10.5" style="384" customWidth="1"/>
    <col min="1028" max="1028" width="10.375" style="384" customWidth="1"/>
    <col min="1029" max="1029" width="2.5" style="384" bestFit="1" customWidth="1"/>
    <col min="1030" max="1033" width="10.25" style="384" customWidth="1"/>
    <col min="1034" max="1034" width="12" style="384" customWidth="1"/>
    <col min="1035" max="1035" width="10.25" style="384" customWidth="1"/>
    <col min="1036" max="1036" width="9" style="384" customWidth="1"/>
    <col min="1037" max="1037" width="9.75" style="384" customWidth="1"/>
    <col min="1038" max="1038" width="8.75" style="384" customWidth="1"/>
    <col min="1039" max="1039" width="6.5" style="384" customWidth="1"/>
    <col min="1040" max="1040" width="11" style="384"/>
    <col min="1041" max="1041" width="5.875" style="384" customWidth="1"/>
    <col min="1042" max="1043" width="11" style="384"/>
    <col min="1044" max="1044" width="10.875" style="384" customWidth="1"/>
    <col min="1045" max="1045" width="9" style="384" customWidth="1"/>
    <col min="1046" max="1046" width="4.875" style="384" customWidth="1"/>
    <col min="1047" max="1047" width="10.25" style="384" customWidth="1"/>
    <col min="1048" max="1052" width="10.875" style="384" customWidth="1"/>
    <col min="1053" max="1280" width="11" style="384"/>
    <col min="1281" max="1281" width="10.25" style="384" customWidth="1"/>
    <col min="1282" max="1282" width="33.5" style="384" customWidth="1"/>
    <col min="1283" max="1283" width="10.5" style="384" customWidth="1"/>
    <col min="1284" max="1284" width="10.375" style="384" customWidth="1"/>
    <col min="1285" max="1285" width="2.5" style="384" bestFit="1" customWidth="1"/>
    <col min="1286" max="1289" width="10.25" style="384" customWidth="1"/>
    <col min="1290" max="1290" width="12" style="384" customWidth="1"/>
    <col min="1291" max="1291" width="10.25" style="384" customWidth="1"/>
    <col min="1292" max="1292" width="9" style="384" customWidth="1"/>
    <col min="1293" max="1293" width="9.75" style="384" customWidth="1"/>
    <col min="1294" max="1294" width="8.75" style="384" customWidth="1"/>
    <col min="1295" max="1295" width="6.5" style="384" customWidth="1"/>
    <col min="1296" max="1296" width="11" style="384"/>
    <col min="1297" max="1297" width="5.875" style="384" customWidth="1"/>
    <col min="1298" max="1299" width="11" style="384"/>
    <col min="1300" max="1300" width="10.875" style="384" customWidth="1"/>
    <col min="1301" max="1301" width="9" style="384" customWidth="1"/>
    <col min="1302" max="1302" width="4.875" style="384" customWidth="1"/>
    <col min="1303" max="1303" width="10.25" style="384" customWidth="1"/>
    <col min="1304" max="1308" width="10.875" style="384" customWidth="1"/>
    <col min="1309" max="1536" width="11" style="384"/>
    <col min="1537" max="1537" width="10.25" style="384" customWidth="1"/>
    <col min="1538" max="1538" width="33.5" style="384" customWidth="1"/>
    <col min="1539" max="1539" width="10.5" style="384" customWidth="1"/>
    <col min="1540" max="1540" width="10.375" style="384" customWidth="1"/>
    <col min="1541" max="1541" width="2.5" style="384" bestFit="1" customWidth="1"/>
    <col min="1542" max="1545" width="10.25" style="384" customWidth="1"/>
    <col min="1546" max="1546" width="12" style="384" customWidth="1"/>
    <col min="1547" max="1547" width="10.25" style="384" customWidth="1"/>
    <col min="1548" max="1548" width="9" style="384" customWidth="1"/>
    <col min="1549" max="1549" width="9.75" style="384" customWidth="1"/>
    <col min="1550" max="1550" width="8.75" style="384" customWidth="1"/>
    <col min="1551" max="1551" width="6.5" style="384" customWidth="1"/>
    <col min="1552" max="1552" width="11" style="384"/>
    <col min="1553" max="1553" width="5.875" style="384" customWidth="1"/>
    <col min="1554" max="1555" width="11" style="384"/>
    <col min="1556" max="1556" width="10.875" style="384" customWidth="1"/>
    <col min="1557" max="1557" width="9" style="384" customWidth="1"/>
    <col min="1558" max="1558" width="4.875" style="384" customWidth="1"/>
    <col min="1559" max="1559" width="10.25" style="384" customWidth="1"/>
    <col min="1560" max="1564" width="10.875" style="384" customWidth="1"/>
    <col min="1565" max="1792" width="11" style="384"/>
    <col min="1793" max="1793" width="10.25" style="384" customWidth="1"/>
    <col min="1794" max="1794" width="33.5" style="384" customWidth="1"/>
    <col min="1795" max="1795" width="10.5" style="384" customWidth="1"/>
    <col min="1796" max="1796" width="10.375" style="384" customWidth="1"/>
    <col min="1797" max="1797" width="2.5" style="384" bestFit="1" customWidth="1"/>
    <col min="1798" max="1801" width="10.25" style="384" customWidth="1"/>
    <col min="1802" max="1802" width="12" style="384" customWidth="1"/>
    <col min="1803" max="1803" width="10.25" style="384" customWidth="1"/>
    <col min="1804" max="1804" width="9" style="384" customWidth="1"/>
    <col min="1805" max="1805" width="9.75" style="384" customWidth="1"/>
    <col min="1806" max="1806" width="8.75" style="384" customWidth="1"/>
    <col min="1807" max="1807" width="6.5" style="384" customWidth="1"/>
    <col min="1808" max="1808" width="11" style="384"/>
    <col min="1809" max="1809" width="5.875" style="384" customWidth="1"/>
    <col min="1810" max="1811" width="11" style="384"/>
    <col min="1812" max="1812" width="10.875" style="384" customWidth="1"/>
    <col min="1813" max="1813" width="9" style="384" customWidth="1"/>
    <col min="1814" max="1814" width="4.875" style="384" customWidth="1"/>
    <col min="1815" max="1815" width="10.25" style="384" customWidth="1"/>
    <col min="1816" max="1820" width="10.875" style="384" customWidth="1"/>
    <col min="1821" max="2048" width="11" style="384"/>
    <col min="2049" max="2049" width="10.25" style="384" customWidth="1"/>
    <col min="2050" max="2050" width="33.5" style="384" customWidth="1"/>
    <col min="2051" max="2051" width="10.5" style="384" customWidth="1"/>
    <col min="2052" max="2052" width="10.375" style="384" customWidth="1"/>
    <col min="2053" max="2053" width="2.5" style="384" bestFit="1" customWidth="1"/>
    <col min="2054" max="2057" width="10.25" style="384" customWidth="1"/>
    <col min="2058" max="2058" width="12" style="384" customWidth="1"/>
    <col min="2059" max="2059" width="10.25" style="384" customWidth="1"/>
    <col min="2060" max="2060" width="9" style="384" customWidth="1"/>
    <col min="2061" max="2061" width="9.75" style="384" customWidth="1"/>
    <col min="2062" max="2062" width="8.75" style="384" customWidth="1"/>
    <col min="2063" max="2063" width="6.5" style="384" customWidth="1"/>
    <col min="2064" max="2064" width="11" style="384"/>
    <col min="2065" max="2065" width="5.875" style="384" customWidth="1"/>
    <col min="2066" max="2067" width="11" style="384"/>
    <col min="2068" max="2068" width="10.875" style="384" customWidth="1"/>
    <col min="2069" max="2069" width="9" style="384" customWidth="1"/>
    <col min="2070" max="2070" width="4.875" style="384" customWidth="1"/>
    <col min="2071" max="2071" width="10.25" style="384" customWidth="1"/>
    <col min="2072" max="2076" width="10.875" style="384" customWidth="1"/>
    <col min="2077" max="2304" width="11" style="384"/>
    <col min="2305" max="2305" width="10.25" style="384" customWidth="1"/>
    <col min="2306" max="2306" width="33.5" style="384" customWidth="1"/>
    <col min="2307" max="2307" width="10.5" style="384" customWidth="1"/>
    <col min="2308" max="2308" width="10.375" style="384" customWidth="1"/>
    <col min="2309" max="2309" width="2.5" style="384" bestFit="1" customWidth="1"/>
    <col min="2310" max="2313" width="10.25" style="384" customWidth="1"/>
    <col min="2314" max="2314" width="12" style="384" customWidth="1"/>
    <col min="2315" max="2315" width="10.25" style="384" customWidth="1"/>
    <col min="2316" max="2316" width="9" style="384" customWidth="1"/>
    <col min="2317" max="2317" width="9.75" style="384" customWidth="1"/>
    <col min="2318" max="2318" width="8.75" style="384" customWidth="1"/>
    <col min="2319" max="2319" width="6.5" style="384" customWidth="1"/>
    <col min="2320" max="2320" width="11" style="384"/>
    <col min="2321" max="2321" width="5.875" style="384" customWidth="1"/>
    <col min="2322" max="2323" width="11" style="384"/>
    <col min="2324" max="2324" width="10.875" style="384" customWidth="1"/>
    <col min="2325" max="2325" width="9" style="384" customWidth="1"/>
    <col min="2326" max="2326" width="4.875" style="384" customWidth="1"/>
    <col min="2327" max="2327" width="10.25" style="384" customWidth="1"/>
    <col min="2328" max="2332" width="10.875" style="384" customWidth="1"/>
    <col min="2333" max="2560" width="11" style="384"/>
    <col min="2561" max="2561" width="10.25" style="384" customWidth="1"/>
    <col min="2562" max="2562" width="33.5" style="384" customWidth="1"/>
    <col min="2563" max="2563" width="10.5" style="384" customWidth="1"/>
    <col min="2564" max="2564" width="10.375" style="384" customWidth="1"/>
    <col min="2565" max="2565" width="2.5" style="384" bestFit="1" customWidth="1"/>
    <col min="2566" max="2569" width="10.25" style="384" customWidth="1"/>
    <col min="2570" max="2570" width="12" style="384" customWidth="1"/>
    <col min="2571" max="2571" width="10.25" style="384" customWidth="1"/>
    <col min="2572" max="2572" width="9" style="384" customWidth="1"/>
    <col min="2573" max="2573" width="9.75" style="384" customWidth="1"/>
    <col min="2574" max="2574" width="8.75" style="384" customWidth="1"/>
    <col min="2575" max="2575" width="6.5" style="384" customWidth="1"/>
    <col min="2576" max="2576" width="11" style="384"/>
    <col min="2577" max="2577" width="5.875" style="384" customWidth="1"/>
    <col min="2578" max="2579" width="11" style="384"/>
    <col min="2580" max="2580" width="10.875" style="384" customWidth="1"/>
    <col min="2581" max="2581" width="9" style="384" customWidth="1"/>
    <col min="2582" max="2582" width="4.875" style="384" customWidth="1"/>
    <col min="2583" max="2583" width="10.25" style="384" customWidth="1"/>
    <col min="2584" max="2588" width="10.875" style="384" customWidth="1"/>
    <col min="2589" max="2816" width="11" style="384"/>
    <col min="2817" max="2817" width="10.25" style="384" customWidth="1"/>
    <col min="2818" max="2818" width="33.5" style="384" customWidth="1"/>
    <col min="2819" max="2819" width="10.5" style="384" customWidth="1"/>
    <col min="2820" max="2820" width="10.375" style="384" customWidth="1"/>
    <col min="2821" max="2821" width="2.5" style="384" bestFit="1" customWidth="1"/>
    <col min="2822" max="2825" width="10.25" style="384" customWidth="1"/>
    <col min="2826" max="2826" width="12" style="384" customWidth="1"/>
    <col min="2827" max="2827" width="10.25" style="384" customWidth="1"/>
    <col min="2828" max="2828" width="9" style="384" customWidth="1"/>
    <col min="2829" max="2829" width="9.75" style="384" customWidth="1"/>
    <col min="2830" max="2830" width="8.75" style="384" customWidth="1"/>
    <col min="2831" max="2831" width="6.5" style="384" customWidth="1"/>
    <col min="2832" max="2832" width="11" style="384"/>
    <col min="2833" max="2833" width="5.875" style="384" customWidth="1"/>
    <col min="2834" max="2835" width="11" style="384"/>
    <col min="2836" max="2836" width="10.875" style="384" customWidth="1"/>
    <col min="2837" max="2837" width="9" style="384" customWidth="1"/>
    <col min="2838" max="2838" width="4.875" style="384" customWidth="1"/>
    <col min="2839" max="2839" width="10.25" style="384" customWidth="1"/>
    <col min="2840" max="2844" width="10.875" style="384" customWidth="1"/>
    <col min="2845" max="3072" width="11" style="384"/>
    <col min="3073" max="3073" width="10.25" style="384" customWidth="1"/>
    <col min="3074" max="3074" width="33.5" style="384" customWidth="1"/>
    <col min="3075" max="3075" width="10.5" style="384" customWidth="1"/>
    <col min="3076" max="3076" width="10.375" style="384" customWidth="1"/>
    <col min="3077" max="3077" width="2.5" style="384" bestFit="1" customWidth="1"/>
    <col min="3078" max="3081" width="10.25" style="384" customWidth="1"/>
    <col min="3082" max="3082" width="12" style="384" customWidth="1"/>
    <col min="3083" max="3083" width="10.25" style="384" customWidth="1"/>
    <col min="3084" max="3084" width="9" style="384" customWidth="1"/>
    <col min="3085" max="3085" width="9.75" style="384" customWidth="1"/>
    <col min="3086" max="3086" width="8.75" style="384" customWidth="1"/>
    <col min="3087" max="3087" width="6.5" style="384" customWidth="1"/>
    <col min="3088" max="3088" width="11" style="384"/>
    <col min="3089" max="3089" width="5.875" style="384" customWidth="1"/>
    <col min="3090" max="3091" width="11" style="384"/>
    <col min="3092" max="3092" width="10.875" style="384" customWidth="1"/>
    <col min="3093" max="3093" width="9" style="384" customWidth="1"/>
    <col min="3094" max="3094" width="4.875" style="384" customWidth="1"/>
    <col min="3095" max="3095" width="10.25" style="384" customWidth="1"/>
    <col min="3096" max="3100" width="10.875" style="384" customWidth="1"/>
    <col min="3101" max="3328" width="11" style="384"/>
    <col min="3329" max="3329" width="10.25" style="384" customWidth="1"/>
    <col min="3330" max="3330" width="33.5" style="384" customWidth="1"/>
    <col min="3331" max="3331" width="10.5" style="384" customWidth="1"/>
    <col min="3332" max="3332" width="10.375" style="384" customWidth="1"/>
    <col min="3333" max="3333" width="2.5" style="384" bestFit="1" customWidth="1"/>
    <col min="3334" max="3337" width="10.25" style="384" customWidth="1"/>
    <col min="3338" max="3338" width="12" style="384" customWidth="1"/>
    <col min="3339" max="3339" width="10.25" style="384" customWidth="1"/>
    <col min="3340" max="3340" width="9" style="384" customWidth="1"/>
    <col min="3341" max="3341" width="9.75" style="384" customWidth="1"/>
    <col min="3342" max="3342" width="8.75" style="384" customWidth="1"/>
    <col min="3343" max="3343" width="6.5" style="384" customWidth="1"/>
    <col min="3344" max="3344" width="11" style="384"/>
    <col min="3345" max="3345" width="5.875" style="384" customWidth="1"/>
    <col min="3346" max="3347" width="11" style="384"/>
    <col min="3348" max="3348" width="10.875" style="384" customWidth="1"/>
    <col min="3349" max="3349" width="9" style="384" customWidth="1"/>
    <col min="3350" max="3350" width="4.875" style="384" customWidth="1"/>
    <col min="3351" max="3351" width="10.25" style="384" customWidth="1"/>
    <col min="3352" max="3356" width="10.875" style="384" customWidth="1"/>
    <col min="3357" max="3584" width="11" style="384"/>
    <col min="3585" max="3585" width="10.25" style="384" customWidth="1"/>
    <col min="3586" max="3586" width="33.5" style="384" customWidth="1"/>
    <col min="3587" max="3587" width="10.5" style="384" customWidth="1"/>
    <col min="3588" max="3588" width="10.375" style="384" customWidth="1"/>
    <col min="3589" max="3589" width="2.5" style="384" bestFit="1" customWidth="1"/>
    <col min="3590" max="3593" width="10.25" style="384" customWidth="1"/>
    <col min="3594" max="3594" width="12" style="384" customWidth="1"/>
    <col min="3595" max="3595" width="10.25" style="384" customWidth="1"/>
    <col min="3596" max="3596" width="9" style="384" customWidth="1"/>
    <col min="3597" max="3597" width="9.75" style="384" customWidth="1"/>
    <col min="3598" max="3598" width="8.75" style="384" customWidth="1"/>
    <col min="3599" max="3599" width="6.5" style="384" customWidth="1"/>
    <col min="3600" max="3600" width="11" style="384"/>
    <col min="3601" max="3601" width="5.875" style="384" customWidth="1"/>
    <col min="3602" max="3603" width="11" style="384"/>
    <col min="3604" max="3604" width="10.875" style="384" customWidth="1"/>
    <col min="3605" max="3605" width="9" style="384" customWidth="1"/>
    <col min="3606" max="3606" width="4.875" style="384" customWidth="1"/>
    <col min="3607" max="3607" width="10.25" style="384" customWidth="1"/>
    <col min="3608" max="3612" width="10.875" style="384" customWidth="1"/>
    <col min="3613" max="3840" width="11" style="384"/>
    <col min="3841" max="3841" width="10.25" style="384" customWidth="1"/>
    <col min="3842" max="3842" width="33.5" style="384" customWidth="1"/>
    <col min="3843" max="3843" width="10.5" style="384" customWidth="1"/>
    <col min="3844" max="3844" width="10.375" style="384" customWidth="1"/>
    <col min="3845" max="3845" width="2.5" style="384" bestFit="1" customWidth="1"/>
    <col min="3846" max="3849" width="10.25" style="384" customWidth="1"/>
    <col min="3850" max="3850" width="12" style="384" customWidth="1"/>
    <col min="3851" max="3851" width="10.25" style="384" customWidth="1"/>
    <col min="3852" max="3852" width="9" style="384" customWidth="1"/>
    <col min="3853" max="3853" width="9.75" style="384" customWidth="1"/>
    <col min="3854" max="3854" width="8.75" style="384" customWidth="1"/>
    <col min="3855" max="3855" width="6.5" style="384" customWidth="1"/>
    <col min="3856" max="3856" width="11" style="384"/>
    <col min="3857" max="3857" width="5.875" style="384" customWidth="1"/>
    <col min="3858" max="3859" width="11" style="384"/>
    <col min="3860" max="3860" width="10.875" style="384" customWidth="1"/>
    <col min="3861" max="3861" width="9" style="384" customWidth="1"/>
    <col min="3862" max="3862" width="4.875" style="384" customWidth="1"/>
    <col min="3863" max="3863" width="10.25" style="384" customWidth="1"/>
    <col min="3864" max="3868" width="10.875" style="384" customWidth="1"/>
    <col min="3869" max="4096" width="11" style="384"/>
    <col min="4097" max="4097" width="10.25" style="384" customWidth="1"/>
    <col min="4098" max="4098" width="33.5" style="384" customWidth="1"/>
    <col min="4099" max="4099" width="10.5" style="384" customWidth="1"/>
    <col min="4100" max="4100" width="10.375" style="384" customWidth="1"/>
    <col min="4101" max="4101" width="2.5" style="384" bestFit="1" customWidth="1"/>
    <col min="4102" max="4105" width="10.25" style="384" customWidth="1"/>
    <col min="4106" max="4106" width="12" style="384" customWidth="1"/>
    <col min="4107" max="4107" width="10.25" style="384" customWidth="1"/>
    <col min="4108" max="4108" width="9" style="384" customWidth="1"/>
    <col min="4109" max="4109" width="9.75" style="384" customWidth="1"/>
    <col min="4110" max="4110" width="8.75" style="384" customWidth="1"/>
    <col min="4111" max="4111" width="6.5" style="384" customWidth="1"/>
    <col min="4112" max="4112" width="11" style="384"/>
    <col min="4113" max="4113" width="5.875" style="384" customWidth="1"/>
    <col min="4114" max="4115" width="11" style="384"/>
    <col min="4116" max="4116" width="10.875" style="384" customWidth="1"/>
    <col min="4117" max="4117" width="9" style="384" customWidth="1"/>
    <col min="4118" max="4118" width="4.875" style="384" customWidth="1"/>
    <col min="4119" max="4119" width="10.25" style="384" customWidth="1"/>
    <col min="4120" max="4124" width="10.875" style="384" customWidth="1"/>
    <col min="4125" max="4352" width="11" style="384"/>
    <col min="4353" max="4353" width="10.25" style="384" customWidth="1"/>
    <col min="4354" max="4354" width="33.5" style="384" customWidth="1"/>
    <col min="4355" max="4355" width="10.5" style="384" customWidth="1"/>
    <col min="4356" max="4356" width="10.375" style="384" customWidth="1"/>
    <col min="4357" max="4357" width="2.5" style="384" bestFit="1" customWidth="1"/>
    <col min="4358" max="4361" width="10.25" style="384" customWidth="1"/>
    <col min="4362" max="4362" width="12" style="384" customWidth="1"/>
    <col min="4363" max="4363" width="10.25" style="384" customWidth="1"/>
    <col min="4364" max="4364" width="9" style="384" customWidth="1"/>
    <col min="4365" max="4365" width="9.75" style="384" customWidth="1"/>
    <col min="4366" max="4366" width="8.75" style="384" customWidth="1"/>
    <col min="4367" max="4367" width="6.5" style="384" customWidth="1"/>
    <col min="4368" max="4368" width="11" style="384"/>
    <col min="4369" max="4369" width="5.875" style="384" customWidth="1"/>
    <col min="4370" max="4371" width="11" style="384"/>
    <col min="4372" max="4372" width="10.875" style="384" customWidth="1"/>
    <col min="4373" max="4373" width="9" style="384" customWidth="1"/>
    <col min="4374" max="4374" width="4.875" style="384" customWidth="1"/>
    <col min="4375" max="4375" width="10.25" style="384" customWidth="1"/>
    <col min="4376" max="4380" width="10.875" style="384" customWidth="1"/>
    <col min="4381" max="4608" width="11" style="384"/>
    <col min="4609" max="4609" width="10.25" style="384" customWidth="1"/>
    <col min="4610" max="4610" width="33.5" style="384" customWidth="1"/>
    <col min="4611" max="4611" width="10.5" style="384" customWidth="1"/>
    <col min="4612" max="4612" width="10.375" style="384" customWidth="1"/>
    <col min="4613" max="4613" width="2.5" style="384" bestFit="1" customWidth="1"/>
    <col min="4614" max="4617" width="10.25" style="384" customWidth="1"/>
    <col min="4618" max="4618" width="12" style="384" customWidth="1"/>
    <col min="4619" max="4619" width="10.25" style="384" customWidth="1"/>
    <col min="4620" max="4620" width="9" style="384" customWidth="1"/>
    <col min="4621" max="4621" width="9.75" style="384" customWidth="1"/>
    <col min="4622" max="4622" width="8.75" style="384" customWidth="1"/>
    <col min="4623" max="4623" width="6.5" style="384" customWidth="1"/>
    <col min="4624" max="4624" width="11" style="384"/>
    <col min="4625" max="4625" width="5.875" style="384" customWidth="1"/>
    <col min="4626" max="4627" width="11" style="384"/>
    <col min="4628" max="4628" width="10.875" style="384" customWidth="1"/>
    <col min="4629" max="4629" width="9" style="384" customWidth="1"/>
    <col min="4630" max="4630" width="4.875" style="384" customWidth="1"/>
    <col min="4631" max="4631" width="10.25" style="384" customWidth="1"/>
    <col min="4632" max="4636" width="10.875" style="384" customWidth="1"/>
    <col min="4637" max="4864" width="11" style="384"/>
    <col min="4865" max="4865" width="10.25" style="384" customWidth="1"/>
    <col min="4866" max="4866" width="33.5" style="384" customWidth="1"/>
    <col min="4867" max="4867" width="10.5" style="384" customWidth="1"/>
    <col min="4868" max="4868" width="10.375" style="384" customWidth="1"/>
    <col min="4869" max="4869" width="2.5" style="384" bestFit="1" customWidth="1"/>
    <col min="4870" max="4873" width="10.25" style="384" customWidth="1"/>
    <col min="4874" max="4874" width="12" style="384" customWidth="1"/>
    <col min="4875" max="4875" width="10.25" style="384" customWidth="1"/>
    <col min="4876" max="4876" width="9" style="384" customWidth="1"/>
    <col min="4877" max="4877" width="9.75" style="384" customWidth="1"/>
    <col min="4878" max="4878" width="8.75" style="384" customWidth="1"/>
    <col min="4879" max="4879" width="6.5" style="384" customWidth="1"/>
    <col min="4880" max="4880" width="11" style="384"/>
    <col min="4881" max="4881" width="5.875" style="384" customWidth="1"/>
    <col min="4882" max="4883" width="11" style="384"/>
    <col min="4884" max="4884" width="10.875" style="384" customWidth="1"/>
    <col min="4885" max="4885" width="9" style="384" customWidth="1"/>
    <col min="4886" max="4886" width="4.875" style="384" customWidth="1"/>
    <col min="4887" max="4887" width="10.25" style="384" customWidth="1"/>
    <col min="4888" max="4892" width="10.875" style="384" customWidth="1"/>
    <col min="4893" max="5120" width="11" style="384"/>
    <col min="5121" max="5121" width="10.25" style="384" customWidth="1"/>
    <col min="5122" max="5122" width="33.5" style="384" customWidth="1"/>
    <col min="5123" max="5123" width="10.5" style="384" customWidth="1"/>
    <col min="5124" max="5124" width="10.375" style="384" customWidth="1"/>
    <col min="5125" max="5125" width="2.5" style="384" bestFit="1" customWidth="1"/>
    <col min="5126" max="5129" width="10.25" style="384" customWidth="1"/>
    <col min="5130" max="5130" width="12" style="384" customWidth="1"/>
    <col min="5131" max="5131" width="10.25" style="384" customWidth="1"/>
    <col min="5132" max="5132" width="9" style="384" customWidth="1"/>
    <col min="5133" max="5133" width="9.75" style="384" customWidth="1"/>
    <col min="5134" max="5134" width="8.75" style="384" customWidth="1"/>
    <col min="5135" max="5135" width="6.5" style="384" customWidth="1"/>
    <col min="5136" max="5136" width="11" style="384"/>
    <col min="5137" max="5137" width="5.875" style="384" customWidth="1"/>
    <col min="5138" max="5139" width="11" style="384"/>
    <col min="5140" max="5140" width="10.875" style="384" customWidth="1"/>
    <col min="5141" max="5141" width="9" style="384" customWidth="1"/>
    <col min="5142" max="5142" width="4.875" style="384" customWidth="1"/>
    <col min="5143" max="5143" width="10.25" style="384" customWidth="1"/>
    <col min="5144" max="5148" width="10.875" style="384" customWidth="1"/>
    <col min="5149" max="5376" width="11" style="384"/>
    <col min="5377" max="5377" width="10.25" style="384" customWidth="1"/>
    <col min="5378" max="5378" width="33.5" style="384" customWidth="1"/>
    <col min="5379" max="5379" width="10.5" style="384" customWidth="1"/>
    <col min="5380" max="5380" width="10.375" style="384" customWidth="1"/>
    <col min="5381" max="5381" width="2.5" style="384" bestFit="1" customWidth="1"/>
    <col min="5382" max="5385" width="10.25" style="384" customWidth="1"/>
    <col min="5386" max="5386" width="12" style="384" customWidth="1"/>
    <col min="5387" max="5387" width="10.25" style="384" customWidth="1"/>
    <col min="5388" max="5388" width="9" style="384" customWidth="1"/>
    <col min="5389" max="5389" width="9.75" style="384" customWidth="1"/>
    <col min="5390" max="5390" width="8.75" style="384" customWidth="1"/>
    <col min="5391" max="5391" width="6.5" style="384" customWidth="1"/>
    <col min="5392" max="5392" width="11" style="384"/>
    <col min="5393" max="5393" width="5.875" style="384" customWidth="1"/>
    <col min="5394" max="5395" width="11" style="384"/>
    <col min="5396" max="5396" width="10.875" style="384" customWidth="1"/>
    <col min="5397" max="5397" width="9" style="384" customWidth="1"/>
    <col min="5398" max="5398" width="4.875" style="384" customWidth="1"/>
    <col min="5399" max="5399" width="10.25" style="384" customWidth="1"/>
    <col min="5400" max="5404" width="10.875" style="384" customWidth="1"/>
    <col min="5405" max="5632" width="11" style="384"/>
    <col min="5633" max="5633" width="10.25" style="384" customWidth="1"/>
    <col min="5634" max="5634" width="33.5" style="384" customWidth="1"/>
    <col min="5635" max="5635" width="10.5" style="384" customWidth="1"/>
    <col min="5636" max="5636" width="10.375" style="384" customWidth="1"/>
    <col min="5637" max="5637" width="2.5" style="384" bestFit="1" customWidth="1"/>
    <col min="5638" max="5641" width="10.25" style="384" customWidth="1"/>
    <col min="5642" max="5642" width="12" style="384" customWidth="1"/>
    <col min="5643" max="5643" width="10.25" style="384" customWidth="1"/>
    <col min="5644" max="5644" width="9" style="384" customWidth="1"/>
    <col min="5645" max="5645" width="9.75" style="384" customWidth="1"/>
    <col min="5646" max="5646" width="8.75" style="384" customWidth="1"/>
    <col min="5647" max="5647" width="6.5" style="384" customWidth="1"/>
    <col min="5648" max="5648" width="11" style="384"/>
    <col min="5649" max="5649" width="5.875" style="384" customWidth="1"/>
    <col min="5650" max="5651" width="11" style="384"/>
    <col min="5652" max="5652" width="10.875" style="384" customWidth="1"/>
    <col min="5653" max="5653" width="9" style="384" customWidth="1"/>
    <col min="5654" max="5654" width="4.875" style="384" customWidth="1"/>
    <col min="5655" max="5655" width="10.25" style="384" customWidth="1"/>
    <col min="5656" max="5660" width="10.875" style="384" customWidth="1"/>
    <col min="5661" max="5888" width="11" style="384"/>
    <col min="5889" max="5889" width="10.25" style="384" customWidth="1"/>
    <col min="5890" max="5890" width="33.5" style="384" customWidth="1"/>
    <col min="5891" max="5891" width="10.5" style="384" customWidth="1"/>
    <col min="5892" max="5892" width="10.375" style="384" customWidth="1"/>
    <col min="5893" max="5893" width="2.5" style="384" bestFit="1" customWidth="1"/>
    <col min="5894" max="5897" width="10.25" style="384" customWidth="1"/>
    <col min="5898" max="5898" width="12" style="384" customWidth="1"/>
    <col min="5899" max="5899" width="10.25" style="384" customWidth="1"/>
    <col min="5900" max="5900" width="9" style="384" customWidth="1"/>
    <col min="5901" max="5901" width="9.75" style="384" customWidth="1"/>
    <col min="5902" max="5902" width="8.75" style="384" customWidth="1"/>
    <col min="5903" max="5903" width="6.5" style="384" customWidth="1"/>
    <col min="5904" max="5904" width="11" style="384"/>
    <col min="5905" max="5905" width="5.875" style="384" customWidth="1"/>
    <col min="5906" max="5907" width="11" style="384"/>
    <col min="5908" max="5908" width="10.875" style="384" customWidth="1"/>
    <col min="5909" max="5909" width="9" style="384" customWidth="1"/>
    <col min="5910" max="5910" width="4.875" style="384" customWidth="1"/>
    <col min="5911" max="5911" width="10.25" style="384" customWidth="1"/>
    <col min="5912" max="5916" width="10.875" style="384" customWidth="1"/>
    <col min="5917" max="6144" width="11" style="384"/>
    <col min="6145" max="6145" width="10.25" style="384" customWidth="1"/>
    <col min="6146" max="6146" width="33.5" style="384" customWidth="1"/>
    <col min="6147" max="6147" width="10.5" style="384" customWidth="1"/>
    <col min="6148" max="6148" width="10.375" style="384" customWidth="1"/>
    <col min="6149" max="6149" width="2.5" style="384" bestFit="1" customWidth="1"/>
    <col min="6150" max="6153" width="10.25" style="384" customWidth="1"/>
    <col min="6154" max="6154" width="12" style="384" customWidth="1"/>
    <col min="6155" max="6155" width="10.25" style="384" customWidth="1"/>
    <col min="6156" max="6156" width="9" style="384" customWidth="1"/>
    <col min="6157" max="6157" width="9.75" style="384" customWidth="1"/>
    <col min="6158" max="6158" width="8.75" style="384" customWidth="1"/>
    <col min="6159" max="6159" width="6.5" style="384" customWidth="1"/>
    <col min="6160" max="6160" width="11" style="384"/>
    <col min="6161" max="6161" width="5.875" style="384" customWidth="1"/>
    <col min="6162" max="6163" width="11" style="384"/>
    <col min="6164" max="6164" width="10.875" style="384" customWidth="1"/>
    <col min="6165" max="6165" width="9" style="384" customWidth="1"/>
    <col min="6166" max="6166" width="4.875" style="384" customWidth="1"/>
    <col min="6167" max="6167" width="10.25" style="384" customWidth="1"/>
    <col min="6168" max="6172" width="10.875" style="384" customWidth="1"/>
    <col min="6173" max="6400" width="11" style="384"/>
    <col min="6401" max="6401" width="10.25" style="384" customWidth="1"/>
    <col min="6402" max="6402" width="33.5" style="384" customWidth="1"/>
    <col min="6403" max="6403" width="10.5" style="384" customWidth="1"/>
    <col min="6404" max="6404" width="10.375" style="384" customWidth="1"/>
    <col min="6405" max="6405" width="2.5" style="384" bestFit="1" customWidth="1"/>
    <col min="6406" max="6409" width="10.25" style="384" customWidth="1"/>
    <col min="6410" max="6410" width="12" style="384" customWidth="1"/>
    <col min="6411" max="6411" width="10.25" style="384" customWidth="1"/>
    <col min="6412" max="6412" width="9" style="384" customWidth="1"/>
    <col min="6413" max="6413" width="9.75" style="384" customWidth="1"/>
    <col min="6414" max="6414" width="8.75" style="384" customWidth="1"/>
    <col min="6415" max="6415" width="6.5" style="384" customWidth="1"/>
    <col min="6416" max="6416" width="11" style="384"/>
    <col min="6417" max="6417" width="5.875" style="384" customWidth="1"/>
    <col min="6418" max="6419" width="11" style="384"/>
    <col min="6420" max="6420" width="10.875" style="384" customWidth="1"/>
    <col min="6421" max="6421" width="9" style="384" customWidth="1"/>
    <col min="6422" max="6422" width="4.875" style="384" customWidth="1"/>
    <col min="6423" max="6423" width="10.25" style="384" customWidth="1"/>
    <col min="6424" max="6428" width="10.875" style="384" customWidth="1"/>
    <col min="6429" max="6656" width="11" style="384"/>
    <col min="6657" max="6657" width="10.25" style="384" customWidth="1"/>
    <col min="6658" max="6658" width="33.5" style="384" customWidth="1"/>
    <col min="6659" max="6659" width="10.5" style="384" customWidth="1"/>
    <col min="6660" max="6660" width="10.375" style="384" customWidth="1"/>
    <col min="6661" max="6661" width="2.5" style="384" bestFit="1" customWidth="1"/>
    <col min="6662" max="6665" width="10.25" style="384" customWidth="1"/>
    <col min="6666" max="6666" width="12" style="384" customWidth="1"/>
    <col min="6667" max="6667" width="10.25" style="384" customWidth="1"/>
    <col min="6668" max="6668" width="9" style="384" customWidth="1"/>
    <col min="6669" max="6669" width="9.75" style="384" customWidth="1"/>
    <col min="6670" max="6670" width="8.75" style="384" customWidth="1"/>
    <col min="6671" max="6671" width="6.5" style="384" customWidth="1"/>
    <col min="6672" max="6672" width="11" style="384"/>
    <col min="6673" max="6673" width="5.875" style="384" customWidth="1"/>
    <col min="6674" max="6675" width="11" style="384"/>
    <col min="6676" max="6676" width="10.875" style="384" customWidth="1"/>
    <col min="6677" max="6677" width="9" style="384" customWidth="1"/>
    <col min="6678" max="6678" width="4.875" style="384" customWidth="1"/>
    <col min="6679" max="6679" width="10.25" style="384" customWidth="1"/>
    <col min="6680" max="6684" width="10.875" style="384" customWidth="1"/>
    <col min="6685" max="6912" width="11" style="384"/>
    <col min="6913" max="6913" width="10.25" style="384" customWidth="1"/>
    <col min="6914" max="6914" width="33.5" style="384" customWidth="1"/>
    <col min="6915" max="6915" width="10.5" style="384" customWidth="1"/>
    <col min="6916" max="6916" width="10.375" style="384" customWidth="1"/>
    <col min="6917" max="6917" width="2.5" style="384" bestFit="1" customWidth="1"/>
    <col min="6918" max="6921" width="10.25" style="384" customWidth="1"/>
    <col min="6922" max="6922" width="12" style="384" customWidth="1"/>
    <col min="6923" max="6923" width="10.25" style="384" customWidth="1"/>
    <col min="6924" max="6924" width="9" style="384" customWidth="1"/>
    <col min="6925" max="6925" width="9.75" style="384" customWidth="1"/>
    <col min="6926" max="6926" width="8.75" style="384" customWidth="1"/>
    <col min="6927" max="6927" width="6.5" style="384" customWidth="1"/>
    <col min="6928" max="6928" width="11" style="384"/>
    <col min="6929" max="6929" width="5.875" style="384" customWidth="1"/>
    <col min="6930" max="6931" width="11" style="384"/>
    <col min="6932" max="6932" width="10.875" style="384" customWidth="1"/>
    <col min="6933" max="6933" width="9" style="384" customWidth="1"/>
    <col min="6934" max="6934" width="4.875" style="384" customWidth="1"/>
    <col min="6935" max="6935" width="10.25" style="384" customWidth="1"/>
    <col min="6936" max="6940" width="10.875" style="384" customWidth="1"/>
    <col min="6941" max="7168" width="11" style="384"/>
    <col min="7169" max="7169" width="10.25" style="384" customWidth="1"/>
    <col min="7170" max="7170" width="33.5" style="384" customWidth="1"/>
    <col min="7171" max="7171" width="10.5" style="384" customWidth="1"/>
    <col min="7172" max="7172" width="10.375" style="384" customWidth="1"/>
    <col min="7173" max="7173" width="2.5" style="384" bestFit="1" customWidth="1"/>
    <col min="7174" max="7177" width="10.25" style="384" customWidth="1"/>
    <col min="7178" max="7178" width="12" style="384" customWidth="1"/>
    <col min="7179" max="7179" width="10.25" style="384" customWidth="1"/>
    <col min="7180" max="7180" width="9" style="384" customWidth="1"/>
    <col min="7181" max="7181" width="9.75" style="384" customWidth="1"/>
    <col min="7182" max="7182" width="8.75" style="384" customWidth="1"/>
    <col min="7183" max="7183" width="6.5" style="384" customWidth="1"/>
    <col min="7184" max="7184" width="11" style="384"/>
    <col min="7185" max="7185" width="5.875" style="384" customWidth="1"/>
    <col min="7186" max="7187" width="11" style="384"/>
    <col min="7188" max="7188" width="10.875" style="384" customWidth="1"/>
    <col min="7189" max="7189" width="9" style="384" customWidth="1"/>
    <col min="7190" max="7190" width="4.875" style="384" customWidth="1"/>
    <col min="7191" max="7191" width="10.25" style="384" customWidth="1"/>
    <col min="7192" max="7196" width="10.875" style="384" customWidth="1"/>
    <col min="7197" max="7424" width="11" style="384"/>
    <col min="7425" max="7425" width="10.25" style="384" customWidth="1"/>
    <col min="7426" max="7426" width="33.5" style="384" customWidth="1"/>
    <col min="7427" max="7427" width="10.5" style="384" customWidth="1"/>
    <col min="7428" max="7428" width="10.375" style="384" customWidth="1"/>
    <col min="7429" max="7429" width="2.5" style="384" bestFit="1" customWidth="1"/>
    <col min="7430" max="7433" width="10.25" style="384" customWidth="1"/>
    <col min="7434" max="7434" width="12" style="384" customWidth="1"/>
    <col min="7435" max="7435" width="10.25" style="384" customWidth="1"/>
    <col min="7436" max="7436" width="9" style="384" customWidth="1"/>
    <col min="7437" max="7437" width="9.75" style="384" customWidth="1"/>
    <col min="7438" max="7438" width="8.75" style="384" customWidth="1"/>
    <col min="7439" max="7439" width="6.5" style="384" customWidth="1"/>
    <col min="7440" max="7440" width="11" style="384"/>
    <col min="7441" max="7441" width="5.875" style="384" customWidth="1"/>
    <col min="7442" max="7443" width="11" style="384"/>
    <col min="7444" max="7444" width="10.875" style="384" customWidth="1"/>
    <col min="7445" max="7445" width="9" style="384" customWidth="1"/>
    <col min="7446" max="7446" width="4.875" style="384" customWidth="1"/>
    <col min="7447" max="7447" width="10.25" style="384" customWidth="1"/>
    <col min="7448" max="7452" width="10.875" style="384" customWidth="1"/>
    <col min="7453" max="7680" width="11" style="384"/>
    <col min="7681" max="7681" width="10.25" style="384" customWidth="1"/>
    <col min="7682" max="7682" width="33.5" style="384" customWidth="1"/>
    <col min="7683" max="7683" width="10.5" style="384" customWidth="1"/>
    <col min="7684" max="7684" width="10.375" style="384" customWidth="1"/>
    <col min="7685" max="7685" width="2.5" style="384" bestFit="1" customWidth="1"/>
    <col min="7686" max="7689" width="10.25" style="384" customWidth="1"/>
    <col min="7690" max="7690" width="12" style="384" customWidth="1"/>
    <col min="7691" max="7691" width="10.25" style="384" customWidth="1"/>
    <col min="7692" max="7692" width="9" style="384" customWidth="1"/>
    <col min="7693" max="7693" width="9.75" style="384" customWidth="1"/>
    <col min="7694" max="7694" width="8.75" style="384" customWidth="1"/>
    <col min="7695" max="7695" width="6.5" style="384" customWidth="1"/>
    <col min="7696" max="7696" width="11" style="384"/>
    <col min="7697" max="7697" width="5.875" style="384" customWidth="1"/>
    <col min="7698" max="7699" width="11" style="384"/>
    <col min="7700" max="7700" width="10.875" style="384" customWidth="1"/>
    <col min="7701" max="7701" width="9" style="384" customWidth="1"/>
    <col min="7702" max="7702" width="4.875" style="384" customWidth="1"/>
    <col min="7703" max="7703" width="10.25" style="384" customWidth="1"/>
    <col min="7704" max="7708" width="10.875" style="384" customWidth="1"/>
    <col min="7709" max="7936" width="11" style="384"/>
    <col min="7937" max="7937" width="10.25" style="384" customWidth="1"/>
    <col min="7938" max="7938" width="33.5" style="384" customWidth="1"/>
    <col min="7939" max="7939" width="10.5" style="384" customWidth="1"/>
    <col min="7940" max="7940" width="10.375" style="384" customWidth="1"/>
    <col min="7941" max="7941" width="2.5" style="384" bestFit="1" customWidth="1"/>
    <col min="7942" max="7945" width="10.25" style="384" customWidth="1"/>
    <col min="7946" max="7946" width="12" style="384" customWidth="1"/>
    <col min="7947" max="7947" width="10.25" style="384" customWidth="1"/>
    <col min="7948" max="7948" width="9" style="384" customWidth="1"/>
    <col min="7949" max="7949" width="9.75" style="384" customWidth="1"/>
    <col min="7950" max="7950" width="8.75" style="384" customWidth="1"/>
    <col min="7951" max="7951" width="6.5" style="384" customWidth="1"/>
    <col min="7952" max="7952" width="11" style="384"/>
    <col min="7953" max="7953" width="5.875" style="384" customWidth="1"/>
    <col min="7954" max="7955" width="11" style="384"/>
    <col min="7956" max="7956" width="10.875" style="384" customWidth="1"/>
    <col min="7957" max="7957" width="9" style="384" customWidth="1"/>
    <col min="7958" max="7958" width="4.875" style="384" customWidth="1"/>
    <col min="7959" max="7959" width="10.25" style="384" customWidth="1"/>
    <col min="7960" max="7964" width="10.875" style="384" customWidth="1"/>
    <col min="7965" max="8192" width="11" style="384"/>
    <col min="8193" max="8193" width="10.25" style="384" customWidth="1"/>
    <col min="8194" max="8194" width="33.5" style="384" customWidth="1"/>
    <col min="8195" max="8195" width="10.5" style="384" customWidth="1"/>
    <col min="8196" max="8196" width="10.375" style="384" customWidth="1"/>
    <col min="8197" max="8197" width="2.5" style="384" bestFit="1" customWidth="1"/>
    <col min="8198" max="8201" width="10.25" style="384" customWidth="1"/>
    <col min="8202" max="8202" width="12" style="384" customWidth="1"/>
    <col min="8203" max="8203" width="10.25" style="384" customWidth="1"/>
    <col min="8204" max="8204" width="9" style="384" customWidth="1"/>
    <col min="8205" max="8205" width="9.75" style="384" customWidth="1"/>
    <col min="8206" max="8206" width="8.75" style="384" customWidth="1"/>
    <col min="8207" max="8207" width="6.5" style="384" customWidth="1"/>
    <col min="8208" max="8208" width="11" style="384"/>
    <col min="8209" max="8209" width="5.875" style="384" customWidth="1"/>
    <col min="8210" max="8211" width="11" style="384"/>
    <col min="8212" max="8212" width="10.875" style="384" customWidth="1"/>
    <col min="8213" max="8213" width="9" style="384" customWidth="1"/>
    <col min="8214" max="8214" width="4.875" style="384" customWidth="1"/>
    <col min="8215" max="8215" width="10.25" style="384" customWidth="1"/>
    <col min="8216" max="8220" width="10.875" style="384" customWidth="1"/>
    <col min="8221" max="8448" width="11" style="384"/>
    <col min="8449" max="8449" width="10.25" style="384" customWidth="1"/>
    <col min="8450" max="8450" width="33.5" style="384" customWidth="1"/>
    <col min="8451" max="8451" width="10.5" style="384" customWidth="1"/>
    <col min="8452" max="8452" width="10.375" style="384" customWidth="1"/>
    <col min="8453" max="8453" width="2.5" style="384" bestFit="1" customWidth="1"/>
    <col min="8454" max="8457" width="10.25" style="384" customWidth="1"/>
    <col min="8458" max="8458" width="12" style="384" customWidth="1"/>
    <col min="8459" max="8459" width="10.25" style="384" customWidth="1"/>
    <col min="8460" max="8460" width="9" style="384" customWidth="1"/>
    <col min="8461" max="8461" width="9.75" style="384" customWidth="1"/>
    <col min="8462" max="8462" width="8.75" style="384" customWidth="1"/>
    <col min="8463" max="8463" width="6.5" style="384" customWidth="1"/>
    <col min="8464" max="8464" width="11" style="384"/>
    <col min="8465" max="8465" width="5.875" style="384" customWidth="1"/>
    <col min="8466" max="8467" width="11" style="384"/>
    <col min="8468" max="8468" width="10.875" style="384" customWidth="1"/>
    <col min="8469" max="8469" width="9" style="384" customWidth="1"/>
    <col min="8470" max="8470" width="4.875" style="384" customWidth="1"/>
    <col min="8471" max="8471" width="10.25" style="384" customWidth="1"/>
    <col min="8472" max="8476" width="10.875" style="384" customWidth="1"/>
    <col min="8477" max="8704" width="11" style="384"/>
    <col min="8705" max="8705" width="10.25" style="384" customWidth="1"/>
    <col min="8706" max="8706" width="33.5" style="384" customWidth="1"/>
    <col min="8707" max="8707" width="10.5" style="384" customWidth="1"/>
    <col min="8708" max="8708" width="10.375" style="384" customWidth="1"/>
    <col min="8709" max="8709" width="2.5" style="384" bestFit="1" customWidth="1"/>
    <col min="8710" max="8713" width="10.25" style="384" customWidth="1"/>
    <col min="8714" max="8714" width="12" style="384" customWidth="1"/>
    <col min="8715" max="8715" width="10.25" style="384" customWidth="1"/>
    <col min="8716" max="8716" width="9" style="384" customWidth="1"/>
    <col min="8717" max="8717" width="9.75" style="384" customWidth="1"/>
    <col min="8718" max="8718" width="8.75" style="384" customWidth="1"/>
    <col min="8719" max="8719" width="6.5" style="384" customWidth="1"/>
    <col min="8720" max="8720" width="11" style="384"/>
    <col min="8721" max="8721" width="5.875" style="384" customWidth="1"/>
    <col min="8722" max="8723" width="11" style="384"/>
    <col min="8724" max="8724" width="10.875" style="384" customWidth="1"/>
    <col min="8725" max="8725" width="9" style="384" customWidth="1"/>
    <col min="8726" max="8726" width="4.875" style="384" customWidth="1"/>
    <col min="8727" max="8727" width="10.25" style="384" customWidth="1"/>
    <col min="8728" max="8732" width="10.875" style="384" customWidth="1"/>
    <col min="8733" max="8960" width="11" style="384"/>
    <col min="8961" max="8961" width="10.25" style="384" customWidth="1"/>
    <col min="8962" max="8962" width="33.5" style="384" customWidth="1"/>
    <col min="8963" max="8963" width="10.5" style="384" customWidth="1"/>
    <col min="8964" max="8964" width="10.375" style="384" customWidth="1"/>
    <col min="8965" max="8965" width="2.5" style="384" bestFit="1" customWidth="1"/>
    <col min="8966" max="8969" width="10.25" style="384" customWidth="1"/>
    <col min="8970" max="8970" width="12" style="384" customWidth="1"/>
    <col min="8971" max="8971" width="10.25" style="384" customWidth="1"/>
    <col min="8972" max="8972" width="9" style="384" customWidth="1"/>
    <col min="8973" max="8973" width="9.75" style="384" customWidth="1"/>
    <col min="8974" max="8974" width="8.75" style="384" customWidth="1"/>
    <col min="8975" max="8975" width="6.5" style="384" customWidth="1"/>
    <col min="8976" max="8976" width="11" style="384"/>
    <col min="8977" max="8977" width="5.875" style="384" customWidth="1"/>
    <col min="8978" max="8979" width="11" style="384"/>
    <col min="8980" max="8980" width="10.875" style="384" customWidth="1"/>
    <col min="8981" max="8981" width="9" style="384" customWidth="1"/>
    <col min="8982" max="8982" width="4.875" style="384" customWidth="1"/>
    <col min="8983" max="8983" width="10.25" style="384" customWidth="1"/>
    <col min="8984" max="8988" width="10.875" style="384" customWidth="1"/>
    <col min="8989" max="9216" width="11" style="384"/>
    <col min="9217" max="9217" width="10.25" style="384" customWidth="1"/>
    <col min="9218" max="9218" width="33.5" style="384" customWidth="1"/>
    <col min="9219" max="9219" width="10.5" style="384" customWidth="1"/>
    <col min="9220" max="9220" width="10.375" style="384" customWidth="1"/>
    <col min="9221" max="9221" width="2.5" style="384" bestFit="1" customWidth="1"/>
    <col min="9222" max="9225" width="10.25" style="384" customWidth="1"/>
    <col min="9226" max="9226" width="12" style="384" customWidth="1"/>
    <col min="9227" max="9227" width="10.25" style="384" customWidth="1"/>
    <col min="9228" max="9228" width="9" style="384" customWidth="1"/>
    <col min="9229" max="9229" width="9.75" style="384" customWidth="1"/>
    <col min="9230" max="9230" width="8.75" style="384" customWidth="1"/>
    <col min="9231" max="9231" width="6.5" style="384" customWidth="1"/>
    <col min="9232" max="9232" width="11" style="384"/>
    <col min="9233" max="9233" width="5.875" style="384" customWidth="1"/>
    <col min="9234" max="9235" width="11" style="384"/>
    <col min="9236" max="9236" width="10.875" style="384" customWidth="1"/>
    <col min="9237" max="9237" width="9" style="384" customWidth="1"/>
    <col min="9238" max="9238" width="4.875" style="384" customWidth="1"/>
    <col min="9239" max="9239" width="10.25" style="384" customWidth="1"/>
    <col min="9240" max="9244" width="10.875" style="384" customWidth="1"/>
    <col min="9245" max="9472" width="11" style="384"/>
    <col min="9473" max="9473" width="10.25" style="384" customWidth="1"/>
    <col min="9474" max="9474" width="33.5" style="384" customWidth="1"/>
    <col min="9475" max="9475" width="10.5" style="384" customWidth="1"/>
    <col min="9476" max="9476" width="10.375" style="384" customWidth="1"/>
    <col min="9477" max="9477" width="2.5" style="384" bestFit="1" customWidth="1"/>
    <col min="9478" max="9481" width="10.25" style="384" customWidth="1"/>
    <col min="9482" max="9482" width="12" style="384" customWidth="1"/>
    <col min="9483" max="9483" width="10.25" style="384" customWidth="1"/>
    <col min="9484" max="9484" width="9" style="384" customWidth="1"/>
    <col min="9485" max="9485" width="9.75" style="384" customWidth="1"/>
    <col min="9486" max="9486" width="8.75" style="384" customWidth="1"/>
    <col min="9487" max="9487" width="6.5" style="384" customWidth="1"/>
    <col min="9488" max="9488" width="11" style="384"/>
    <col min="9489" max="9489" width="5.875" style="384" customWidth="1"/>
    <col min="9490" max="9491" width="11" style="384"/>
    <col min="9492" max="9492" width="10.875" style="384" customWidth="1"/>
    <col min="9493" max="9493" width="9" style="384" customWidth="1"/>
    <col min="9494" max="9494" width="4.875" style="384" customWidth="1"/>
    <col min="9495" max="9495" width="10.25" style="384" customWidth="1"/>
    <col min="9496" max="9500" width="10.875" style="384" customWidth="1"/>
    <col min="9501" max="9728" width="11" style="384"/>
    <col min="9729" max="9729" width="10.25" style="384" customWidth="1"/>
    <col min="9730" max="9730" width="33.5" style="384" customWidth="1"/>
    <col min="9731" max="9731" width="10.5" style="384" customWidth="1"/>
    <col min="9732" max="9732" width="10.375" style="384" customWidth="1"/>
    <col min="9733" max="9733" width="2.5" style="384" bestFit="1" customWidth="1"/>
    <col min="9734" max="9737" width="10.25" style="384" customWidth="1"/>
    <col min="9738" max="9738" width="12" style="384" customWidth="1"/>
    <col min="9739" max="9739" width="10.25" style="384" customWidth="1"/>
    <col min="9740" max="9740" width="9" style="384" customWidth="1"/>
    <col min="9741" max="9741" width="9.75" style="384" customWidth="1"/>
    <col min="9742" max="9742" width="8.75" style="384" customWidth="1"/>
    <col min="9743" max="9743" width="6.5" style="384" customWidth="1"/>
    <col min="9744" max="9744" width="11" style="384"/>
    <col min="9745" max="9745" width="5.875" style="384" customWidth="1"/>
    <col min="9746" max="9747" width="11" style="384"/>
    <col min="9748" max="9748" width="10.875" style="384" customWidth="1"/>
    <col min="9749" max="9749" width="9" style="384" customWidth="1"/>
    <col min="9750" max="9750" width="4.875" style="384" customWidth="1"/>
    <col min="9751" max="9751" width="10.25" style="384" customWidth="1"/>
    <col min="9752" max="9756" width="10.875" style="384" customWidth="1"/>
    <col min="9757" max="9984" width="11" style="384"/>
    <col min="9985" max="9985" width="10.25" style="384" customWidth="1"/>
    <col min="9986" max="9986" width="33.5" style="384" customWidth="1"/>
    <col min="9987" max="9987" width="10.5" style="384" customWidth="1"/>
    <col min="9988" max="9988" width="10.375" style="384" customWidth="1"/>
    <col min="9989" max="9989" width="2.5" style="384" bestFit="1" customWidth="1"/>
    <col min="9990" max="9993" width="10.25" style="384" customWidth="1"/>
    <col min="9994" max="9994" width="12" style="384" customWidth="1"/>
    <col min="9995" max="9995" width="10.25" style="384" customWidth="1"/>
    <col min="9996" max="9996" width="9" style="384" customWidth="1"/>
    <col min="9997" max="9997" width="9.75" style="384" customWidth="1"/>
    <col min="9998" max="9998" width="8.75" style="384" customWidth="1"/>
    <col min="9999" max="9999" width="6.5" style="384" customWidth="1"/>
    <col min="10000" max="10000" width="11" style="384"/>
    <col min="10001" max="10001" width="5.875" style="384" customWidth="1"/>
    <col min="10002" max="10003" width="11" style="384"/>
    <col min="10004" max="10004" width="10.875" style="384" customWidth="1"/>
    <col min="10005" max="10005" width="9" style="384" customWidth="1"/>
    <col min="10006" max="10006" width="4.875" style="384" customWidth="1"/>
    <col min="10007" max="10007" width="10.25" style="384" customWidth="1"/>
    <col min="10008" max="10012" width="10.875" style="384" customWidth="1"/>
    <col min="10013" max="10240" width="11" style="384"/>
    <col min="10241" max="10241" width="10.25" style="384" customWidth="1"/>
    <col min="10242" max="10242" width="33.5" style="384" customWidth="1"/>
    <col min="10243" max="10243" width="10.5" style="384" customWidth="1"/>
    <col min="10244" max="10244" width="10.375" style="384" customWidth="1"/>
    <col min="10245" max="10245" width="2.5" style="384" bestFit="1" customWidth="1"/>
    <col min="10246" max="10249" width="10.25" style="384" customWidth="1"/>
    <col min="10250" max="10250" width="12" style="384" customWidth="1"/>
    <col min="10251" max="10251" width="10.25" style="384" customWidth="1"/>
    <col min="10252" max="10252" width="9" style="384" customWidth="1"/>
    <col min="10253" max="10253" width="9.75" style="384" customWidth="1"/>
    <col min="10254" max="10254" width="8.75" style="384" customWidth="1"/>
    <col min="10255" max="10255" width="6.5" style="384" customWidth="1"/>
    <col min="10256" max="10256" width="11" style="384"/>
    <col min="10257" max="10257" width="5.875" style="384" customWidth="1"/>
    <col min="10258" max="10259" width="11" style="384"/>
    <col min="10260" max="10260" width="10.875" style="384" customWidth="1"/>
    <col min="10261" max="10261" width="9" style="384" customWidth="1"/>
    <col min="10262" max="10262" width="4.875" style="384" customWidth="1"/>
    <col min="10263" max="10263" width="10.25" style="384" customWidth="1"/>
    <col min="10264" max="10268" width="10.875" style="384" customWidth="1"/>
    <col min="10269" max="10496" width="11" style="384"/>
    <col min="10497" max="10497" width="10.25" style="384" customWidth="1"/>
    <col min="10498" max="10498" width="33.5" style="384" customWidth="1"/>
    <col min="10499" max="10499" width="10.5" style="384" customWidth="1"/>
    <col min="10500" max="10500" width="10.375" style="384" customWidth="1"/>
    <col min="10501" max="10501" width="2.5" style="384" bestFit="1" customWidth="1"/>
    <col min="10502" max="10505" width="10.25" style="384" customWidth="1"/>
    <col min="10506" max="10506" width="12" style="384" customWidth="1"/>
    <col min="10507" max="10507" width="10.25" style="384" customWidth="1"/>
    <col min="10508" max="10508" width="9" style="384" customWidth="1"/>
    <col min="10509" max="10509" width="9.75" style="384" customWidth="1"/>
    <col min="10510" max="10510" width="8.75" style="384" customWidth="1"/>
    <col min="10511" max="10511" width="6.5" style="384" customWidth="1"/>
    <col min="10512" max="10512" width="11" style="384"/>
    <col min="10513" max="10513" width="5.875" style="384" customWidth="1"/>
    <col min="10514" max="10515" width="11" style="384"/>
    <col min="10516" max="10516" width="10.875" style="384" customWidth="1"/>
    <col min="10517" max="10517" width="9" style="384" customWidth="1"/>
    <col min="10518" max="10518" width="4.875" style="384" customWidth="1"/>
    <col min="10519" max="10519" width="10.25" style="384" customWidth="1"/>
    <col min="10520" max="10524" width="10.875" style="384" customWidth="1"/>
    <col min="10525" max="10752" width="11" style="384"/>
    <col min="10753" max="10753" width="10.25" style="384" customWidth="1"/>
    <col min="10754" max="10754" width="33.5" style="384" customWidth="1"/>
    <col min="10755" max="10755" width="10.5" style="384" customWidth="1"/>
    <col min="10756" max="10756" width="10.375" style="384" customWidth="1"/>
    <col min="10757" max="10757" width="2.5" style="384" bestFit="1" customWidth="1"/>
    <col min="10758" max="10761" width="10.25" style="384" customWidth="1"/>
    <col min="10762" max="10762" width="12" style="384" customWidth="1"/>
    <col min="10763" max="10763" width="10.25" style="384" customWidth="1"/>
    <col min="10764" max="10764" width="9" style="384" customWidth="1"/>
    <col min="10765" max="10765" width="9.75" style="384" customWidth="1"/>
    <col min="10766" max="10766" width="8.75" style="384" customWidth="1"/>
    <col min="10767" max="10767" width="6.5" style="384" customWidth="1"/>
    <col min="10768" max="10768" width="11" style="384"/>
    <col min="10769" max="10769" width="5.875" style="384" customWidth="1"/>
    <col min="10770" max="10771" width="11" style="384"/>
    <col min="10772" max="10772" width="10.875" style="384" customWidth="1"/>
    <col min="10773" max="10773" width="9" style="384" customWidth="1"/>
    <col min="10774" max="10774" width="4.875" style="384" customWidth="1"/>
    <col min="10775" max="10775" width="10.25" style="384" customWidth="1"/>
    <col min="10776" max="10780" width="10.875" style="384" customWidth="1"/>
    <col min="10781" max="11008" width="11" style="384"/>
    <col min="11009" max="11009" width="10.25" style="384" customWidth="1"/>
    <col min="11010" max="11010" width="33.5" style="384" customWidth="1"/>
    <col min="11011" max="11011" width="10.5" style="384" customWidth="1"/>
    <col min="11012" max="11012" width="10.375" style="384" customWidth="1"/>
    <col min="11013" max="11013" width="2.5" style="384" bestFit="1" customWidth="1"/>
    <col min="11014" max="11017" width="10.25" style="384" customWidth="1"/>
    <col min="11018" max="11018" width="12" style="384" customWidth="1"/>
    <col min="11019" max="11019" width="10.25" style="384" customWidth="1"/>
    <col min="11020" max="11020" width="9" style="384" customWidth="1"/>
    <col min="11021" max="11021" width="9.75" style="384" customWidth="1"/>
    <col min="11022" max="11022" width="8.75" style="384" customWidth="1"/>
    <col min="11023" max="11023" width="6.5" style="384" customWidth="1"/>
    <col min="11024" max="11024" width="11" style="384"/>
    <col min="11025" max="11025" width="5.875" style="384" customWidth="1"/>
    <col min="11026" max="11027" width="11" style="384"/>
    <col min="11028" max="11028" width="10.875" style="384" customWidth="1"/>
    <col min="11029" max="11029" width="9" style="384" customWidth="1"/>
    <col min="11030" max="11030" width="4.875" style="384" customWidth="1"/>
    <col min="11031" max="11031" width="10.25" style="384" customWidth="1"/>
    <col min="11032" max="11036" width="10.875" style="384" customWidth="1"/>
    <col min="11037" max="11264" width="11" style="384"/>
    <col min="11265" max="11265" width="10.25" style="384" customWidth="1"/>
    <col min="11266" max="11266" width="33.5" style="384" customWidth="1"/>
    <col min="11267" max="11267" width="10.5" style="384" customWidth="1"/>
    <col min="11268" max="11268" width="10.375" style="384" customWidth="1"/>
    <col min="11269" max="11269" width="2.5" style="384" bestFit="1" customWidth="1"/>
    <col min="11270" max="11273" width="10.25" style="384" customWidth="1"/>
    <col min="11274" max="11274" width="12" style="384" customWidth="1"/>
    <col min="11275" max="11275" width="10.25" style="384" customWidth="1"/>
    <col min="11276" max="11276" width="9" style="384" customWidth="1"/>
    <col min="11277" max="11277" width="9.75" style="384" customWidth="1"/>
    <col min="11278" max="11278" width="8.75" style="384" customWidth="1"/>
    <col min="11279" max="11279" width="6.5" style="384" customWidth="1"/>
    <col min="11280" max="11280" width="11" style="384"/>
    <col min="11281" max="11281" width="5.875" style="384" customWidth="1"/>
    <col min="11282" max="11283" width="11" style="384"/>
    <col min="11284" max="11284" width="10.875" style="384" customWidth="1"/>
    <col min="11285" max="11285" width="9" style="384" customWidth="1"/>
    <col min="11286" max="11286" width="4.875" style="384" customWidth="1"/>
    <col min="11287" max="11287" width="10.25" style="384" customWidth="1"/>
    <col min="11288" max="11292" width="10.875" style="384" customWidth="1"/>
    <col min="11293" max="11520" width="11" style="384"/>
    <col min="11521" max="11521" width="10.25" style="384" customWidth="1"/>
    <col min="11522" max="11522" width="33.5" style="384" customWidth="1"/>
    <col min="11523" max="11523" width="10.5" style="384" customWidth="1"/>
    <col min="11524" max="11524" width="10.375" style="384" customWidth="1"/>
    <col min="11525" max="11525" width="2.5" style="384" bestFit="1" customWidth="1"/>
    <col min="11526" max="11529" width="10.25" style="384" customWidth="1"/>
    <col min="11530" max="11530" width="12" style="384" customWidth="1"/>
    <col min="11531" max="11531" width="10.25" style="384" customWidth="1"/>
    <col min="11532" max="11532" width="9" style="384" customWidth="1"/>
    <col min="11533" max="11533" width="9.75" style="384" customWidth="1"/>
    <col min="11534" max="11534" width="8.75" style="384" customWidth="1"/>
    <col min="11535" max="11535" width="6.5" style="384" customWidth="1"/>
    <col min="11536" max="11536" width="11" style="384"/>
    <col min="11537" max="11537" width="5.875" style="384" customWidth="1"/>
    <col min="11538" max="11539" width="11" style="384"/>
    <col min="11540" max="11540" width="10.875" style="384" customWidth="1"/>
    <col min="11541" max="11541" width="9" style="384" customWidth="1"/>
    <col min="11542" max="11542" width="4.875" style="384" customWidth="1"/>
    <col min="11543" max="11543" width="10.25" style="384" customWidth="1"/>
    <col min="11544" max="11548" width="10.875" style="384" customWidth="1"/>
    <col min="11549" max="11776" width="11" style="384"/>
    <col min="11777" max="11777" width="10.25" style="384" customWidth="1"/>
    <col min="11778" max="11778" width="33.5" style="384" customWidth="1"/>
    <col min="11779" max="11779" width="10.5" style="384" customWidth="1"/>
    <col min="11780" max="11780" width="10.375" style="384" customWidth="1"/>
    <col min="11781" max="11781" width="2.5" style="384" bestFit="1" customWidth="1"/>
    <col min="11782" max="11785" width="10.25" style="384" customWidth="1"/>
    <col min="11786" max="11786" width="12" style="384" customWidth="1"/>
    <col min="11787" max="11787" width="10.25" style="384" customWidth="1"/>
    <col min="11788" max="11788" width="9" style="384" customWidth="1"/>
    <col min="11789" max="11789" width="9.75" style="384" customWidth="1"/>
    <col min="11790" max="11790" width="8.75" style="384" customWidth="1"/>
    <col min="11791" max="11791" width="6.5" style="384" customWidth="1"/>
    <col min="11792" max="11792" width="11" style="384"/>
    <col min="11793" max="11793" width="5.875" style="384" customWidth="1"/>
    <col min="11794" max="11795" width="11" style="384"/>
    <col min="11796" max="11796" width="10.875" style="384" customWidth="1"/>
    <col min="11797" max="11797" width="9" style="384" customWidth="1"/>
    <col min="11798" max="11798" width="4.875" style="384" customWidth="1"/>
    <col min="11799" max="11799" width="10.25" style="384" customWidth="1"/>
    <col min="11800" max="11804" width="10.875" style="384" customWidth="1"/>
    <col min="11805" max="12032" width="11" style="384"/>
    <col min="12033" max="12033" width="10.25" style="384" customWidth="1"/>
    <col min="12034" max="12034" width="33.5" style="384" customWidth="1"/>
    <col min="12035" max="12035" width="10.5" style="384" customWidth="1"/>
    <col min="12036" max="12036" width="10.375" style="384" customWidth="1"/>
    <col min="12037" max="12037" width="2.5" style="384" bestFit="1" customWidth="1"/>
    <col min="12038" max="12041" width="10.25" style="384" customWidth="1"/>
    <col min="12042" max="12042" width="12" style="384" customWidth="1"/>
    <col min="12043" max="12043" width="10.25" style="384" customWidth="1"/>
    <col min="12044" max="12044" width="9" style="384" customWidth="1"/>
    <col min="12045" max="12045" width="9.75" style="384" customWidth="1"/>
    <col min="12046" max="12046" width="8.75" style="384" customWidth="1"/>
    <col min="12047" max="12047" width="6.5" style="384" customWidth="1"/>
    <col min="12048" max="12048" width="11" style="384"/>
    <col min="12049" max="12049" width="5.875" style="384" customWidth="1"/>
    <col min="12050" max="12051" width="11" style="384"/>
    <col min="12052" max="12052" width="10.875" style="384" customWidth="1"/>
    <col min="12053" max="12053" width="9" style="384" customWidth="1"/>
    <col min="12054" max="12054" width="4.875" style="384" customWidth="1"/>
    <col min="12055" max="12055" width="10.25" style="384" customWidth="1"/>
    <col min="12056" max="12060" width="10.875" style="384" customWidth="1"/>
    <col min="12061" max="12288" width="11" style="384"/>
    <col min="12289" max="12289" width="10.25" style="384" customWidth="1"/>
    <col min="12290" max="12290" width="33.5" style="384" customWidth="1"/>
    <col min="12291" max="12291" width="10.5" style="384" customWidth="1"/>
    <col min="12292" max="12292" width="10.375" style="384" customWidth="1"/>
    <col min="12293" max="12293" width="2.5" style="384" bestFit="1" customWidth="1"/>
    <col min="12294" max="12297" width="10.25" style="384" customWidth="1"/>
    <col min="12298" max="12298" width="12" style="384" customWidth="1"/>
    <col min="12299" max="12299" width="10.25" style="384" customWidth="1"/>
    <col min="12300" max="12300" width="9" style="384" customWidth="1"/>
    <col min="12301" max="12301" width="9.75" style="384" customWidth="1"/>
    <col min="12302" max="12302" width="8.75" style="384" customWidth="1"/>
    <col min="12303" max="12303" width="6.5" style="384" customWidth="1"/>
    <col min="12304" max="12304" width="11" style="384"/>
    <col min="12305" max="12305" width="5.875" style="384" customWidth="1"/>
    <col min="12306" max="12307" width="11" style="384"/>
    <col min="12308" max="12308" width="10.875" style="384" customWidth="1"/>
    <col min="12309" max="12309" width="9" style="384" customWidth="1"/>
    <col min="12310" max="12310" width="4.875" style="384" customWidth="1"/>
    <col min="12311" max="12311" width="10.25" style="384" customWidth="1"/>
    <col min="12312" max="12316" width="10.875" style="384" customWidth="1"/>
    <col min="12317" max="12544" width="11" style="384"/>
    <col min="12545" max="12545" width="10.25" style="384" customWidth="1"/>
    <col min="12546" max="12546" width="33.5" style="384" customWidth="1"/>
    <col min="12547" max="12547" width="10.5" style="384" customWidth="1"/>
    <col min="12548" max="12548" width="10.375" style="384" customWidth="1"/>
    <col min="12549" max="12549" width="2.5" style="384" bestFit="1" customWidth="1"/>
    <col min="12550" max="12553" width="10.25" style="384" customWidth="1"/>
    <col min="12554" max="12554" width="12" style="384" customWidth="1"/>
    <col min="12555" max="12555" width="10.25" style="384" customWidth="1"/>
    <col min="12556" max="12556" width="9" style="384" customWidth="1"/>
    <col min="12557" max="12557" width="9.75" style="384" customWidth="1"/>
    <col min="12558" max="12558" width="8.75" style="384" customWidth="1"/>
    <col min="12559" max="12559" width="6.5" style="384" customWidth="1"/>
    <col min="12560" max="12560" width="11" style="384"/>
    <col min="12561" max="12561" width="5.875" style="384" customWidth="1"/>
    <col min="12562" max="12563" width="11" style="384"/>
    <col min="12564" max="12564" width="10.875" style="384" customWidth="1"/>
    <col min="12565" max="12565" width="9" style="384" customWidth="1"/>
    <col min="12566" max="12566" width="4.875" style="384" customWidth="1"/>
    <col min="12567" max="12567" width="10.25" style="384" customWidth="1"/>
    <col min="12568" max="12572" width="10.875" style="384" customWidth="1"/>
    <col min="12573" max="12800" width="11" style="384"/>
    <col min="12801" max="12801" width="10.25" style="384" customWidth="1"/>
    <col min="12802" max="12802" width="33.5" style="384" customWidth="1"/>
    <col min="12803" max="12803" width="10.5" style="384" customWidth="1"/>
    <col min="12804" max="12804" width="10.375" style="384" customWidth="1"/>
    <col min="12805" max="12805" width="2.5" style="384" bestFit="1" customWidth="1"/>
    <col min="12806" max="12809" width="10.25" style="384" customWidth="1"/>
    <col min="12810" max="12810" width="12" style="384" customWidth="1"/>
    <col min="12811" max="12811" width="10.25" style="384" customWidth="1"/>
    <col min="12812" max="12812" width="9" style="384" customWidth="1"/>
    <col min="12813" max="12813" width="9.75" style="384" customWidth="1"/>
    <col min="12814" max="12814" width="8.75" style="384" customWidth="1"/>
    <col min="12815" max="12815" width="6.5" style="384" customWidth="1"/>
    <col min="12816" max="12816" width="11" style="384"/>
    <col min="12817" max="12817" width="5.875" style="384" customWidth="1"/>
    <col min="12818" max="12819" width="11" style="384"/>
    <col min="12820" max="12820" width="10.875" style="384" customWidth="1"/>
    <col min="12821" max="12821" width="9" style="384" customWidth="1"/>
    <col min="12822" max="12822" width="4.875" style="384" customWidth="1"/>
    <col min="12823" max="12823" width="10.25" style="384" customWidth="1"/>
    <col min="12824" max="12828" width="10.875" style="384" customWidth="1"/>
    <col min="12829" max="13056" width="11" style="384"/>
    <col min="13057" max="13057" width="10.25" style="384" customWidth="1"/>
    <col min="13058" max="13058" width="33.5" style="384" customWidth="1"/>
    <col min="13059" max="13059" width="10.5" style="384" customWidth="1"/>
    <col min="13060" max="13060" width="10.375" style="384" customWidth="1"/>
    <col min="13061" max="13061" width="2.5" style="384" bestFit="1" customWidth="1"/>
    <col min="13062" max="13065" width="10.25" style="384" customWidth="1"/>
    <col min="13066" max="13066" width="12" style="384" customWidth="1"/>
    <col min="13067" max="13067" width="10.25" style="384" customWidth="1"/>
    <col min="13068" max="13068" width="9" style="384" customWidth="1"/>
    <col min="13069" max="13069" width="9.75" style="384" customWidth="1"/>
    <col min="13070" max="13070" width="8.75" style="384" customWidth="1"/>
    <col min="13071" max="13071" width="6.5" style="384" customWidth="1"/>
    <col min="13072" max="13072" width="11" style="384"/>
    <col min="13073" max="13073" width="5.875" style="384" customWidth="1"/>
    <col min="13074" max="13075" width="11" style="384"/>
    <col min="13076" max="13076" width="10.875" style="384" customWidth="1"/>
    <col min="13077" max="13077" width="9" style="384" customWidth="1"/>
    <col min="13078" max="13078" width="4.875" style="384" customWidth="1"/>
    <col min="13079" max="13079" width="10.25" style="384" customWidth="1"/>
    <col min="13080" max="13084" width="10.875" style="384" customWidth="1"/>
    <col min="13085" max="13312" width="11" style="384"/>
    <col min="13313" max="13313" width="10.25" style="384" customWidth="1"/>
    <col min="13314" max="13314" width="33.5" style="384" customWidth="1"/>
    <col min="13315" max="13315" width="10.5" style="384" customWidth="1"/>
    <col min="13316" max="13316" width="10.375" style="384" customWidth="1"/>
    <col min="13317" max="13317" width="2.5" style="384" bestFit="1" customWidth="1"/>
    <col min="13318" max="13321" width="10.25" style="384" customWidth="1"/>
    <col min="13322" max="13322" width="12" style="384" customWidth="1"/>
    <col min="13323" max="13323" width="10.25" style="384" customWidth="1"/>
    <col min="13324" max="13324" width="9" style="384" customWidth="1"/>
    <col min="13325" max="13325" width="9.75" style="384" customWidth="1"/>
    <col min="13326" max="13326" width="8.75" style="384" customWidth="1"/>
    <col min="13327" max="13327" width="6.5" style="384" customWidth="1"/>
    <col min="13328" max="13328" width="11" style="384"/>
    <col min="13329" max="13329" width="5.875" style="384" customWidth="1"/>
    <col min="13330" max="13331" width="11" style="384"/>
    <col min="13332" max="13332" width="10.875" style="384" customWidth="1"/>
    <col min="13333" max="13333" width="9" style="384" customWidth="1"/>
    <col min="13334" max="13334" width="4.875" style="384" customWidth="1"/>
    <col min="13335" max="13335" width="10.25" style="384" customWidth="1"/>
    <col min="13336" max="13340" width="10.875" style="384" customWidth="1"/>
    <col min="13341" max="13568" width="11" style="384"/>
    <col min="13569" max="13569" width="10.25" style="384" customWidth="1"/>
    <col min="13570" max="13570" width="33.5" style="384" customWidth="1"/>
    <col min="13571" max="13571" width="10.5" style="384" customWidth="1"/>
    <col min="13572" max="13572" width="10.375" style="384" customWidth="1"/>
    <col min="13573" max="13573" width="2.5" style="384" bestFit="1" customWidth="1"/>
    <col min="13574" max="13577" width="10.25" style="384" customWidth="1"/>
    <col min="13578" max="13578" width="12" style="384" customWidth="1"/>
    <col min="13579" max="13579" width="10.25" style="384" customWidth="1"/>
    <col min="13580" max="13580" width="9" style="384" customWidth="1"/>
    <col min="13581" max="13581" width="9.75" style="384" customWidth="1"/>
    <col min="13582" max="13582" width="8.75" style="384" customWidth="1"/>
    <col min="13583" max="13583" width="6.5" style="384" customWidth="1"/>
    <col min="13584" max="13584" width="11" style="384"/>
    <col min="13585" max="13585" width="5.875" style="384" customWidth="1"/>
    <col min="13586" max="13587" width="11" style="384"/>
    <col min="13588" max="13588" width="10.875" style="384" customWidth="1"/>
    <col min="13589" max="13589" width="9" style="384" customWidth="1"/>
    <col min="13590" max="13590" width="4.875" style="384" customWidth="1"/>
    <col min="13591" max="13591" width="10.25" style="384" customWidth="1"/>
    <col min="13592" max="13596" width="10.875" style="384" customWidth="1"/>
    <col min="13597" max="13824" width="11" style="384"/>
    <col min="13825" max="13825" width="10.25" style="384" customWidth="1"/>
    <col min="13826" max="13826" width="33.5" style="384" customWidth="1"/>
    <col min="13827" max="13827" width="10.5" style="384" customWidth="1"/>
    <col min="13828" max="13828" width="10.375" style="384" customWidth="1"/>
    <col min="13829" max="13829" width="2.5" style="384" bestFit="1" customWidth="1"/>
    <col min="13830" max="13833" width="10.25" style="384" customWidth="1"/>
    <col min="13834" max="13834" width="12" style="384" customWidth="1"/>
    <col min="13835" max="13835" width="10.25" style="384" customWidth="1"/>
    <col min="13836" max="13836" width="9" style="384" customWidth="1"/>
    <col min="13837" max="13837" width="9.75" style="384" customWidth="1"/>
    <col min="13838" max="13838" width="8.75" style="384" customWidth="1"/>
    <col min="13839" max="13839" width="6.5" style="384" customWidth="1"/>
    <col min="13840" max="13840" width="11" style="384"/>
    <col min="13841" max="13841" width="5.875" style="384" customWidth="1"/>
    <col min="13842" max="13843" width="11" style="384"/>
    <col min="13844" max="13844" width="10.875" style="384" customWidth="1"/>
    <col min="13845" max="13845" width="9" style="384" customWidth="1"/>
    <col min="13846" max="13846" width="4.875" style="384" customWidth="1"/>
    <col min="13847" max="13847" width="10.25" style="384" customWidth="1"/>
    <col min="13848" max="13852" width="10.875" style="384" customWidth="1"/>
    <col min="13853" max="14080" width="11" style="384"/>
    <col min="14081" max="14081" width="10.25" style="384" customWidth="1"/>
    <col min="14082" max="14082" width="33.5" style="384" customWidth="1"/>
    <col min="14083" max="14083" width="10.5" style="384" customWidth="1"/>
    <col min="14084" max="14084" width="10.375" style="384" customWidth="1"/>
    <col min="14085" max="14085" width="2.5" style="384" bestFit="1" customWidth="1"/>
    <col min="14086" max="14089" width="10.25" style="384" customWidth="1"/>
    <col min="14090" max="14090" width="12" style="384" customWidth="1"/>
    <col min="14091" max="14091" width="10.25" style="384" customWidth="1"/>
    <col min="14092" max="14092" width="9" style="384" customWidth="1"/>
    <col min="14093" max="14093" width="9.75" style="384" customWidth="1"/>
    <col min="14094" max="14094" width="8.75" style="384" customWidth="1"/>
    <col min="14095" max="14095" width="6.5" style="384" customWidth="1"/>
    <col min="14096" max="14096" width="11" style="384"/>
    <col min="14097" max="14097" width="5.875" style="384" customWidth="1"/>
    <col min="14098" max="14099" width="11" style="384"/>
    <col min="14100" max="14100" width="10.875" style="384" customWidth="1"/>
    <col min="14101" max="14101" width="9" style="384" customWidth="1"/>
    <col min="14102" max="14102" width="4.875" style="384" customWidth="1"/>
    <col min="14103" max="14103" width="10.25" style="384" customWidth="1"/>
    <col min="14104" max="14108" width="10.875" style="384" customWidth="1"/>
    <col min="14109" max="14336" width="11" style="384"/>
    <col min="14337" max="14337" width="10.25" style="384" customWidth="1"/>
    <col min="14338" max="14338" width="33.5" style="384" customWidth="1"/>
    <col min="14339" max="14339" width="10.5" style="384" customWidth="1"/>
    <col min="14340" max="14340" width="10.375" style="384" customWidth="1"/>
    <col min="14341" max="14341" width="2.5" style="384" bestFit="1" customWidth="1"/>
    <col min="14342" max="14345" width="10.25" style="384" customWidth="1"/>
    <col min="14346" max="14346" width="12" style="384" customWidth="1"/>
    <col min="14347" max="14347" width="10.25" style="384" customWidth="1"/>
    <col min="14348" max="14348" width="9" style="384" customWidth="1"/>
    <col min="14349" max="14349" width="9.75" style="384" customWidth="1"/>
    <col min="14350" max="14350" width="8.75" style="384" customWidth="1"/>
    <col min="14351" max="14351" width="6.5" style="384" customWidth="1"/>
    <col min="14352" max="14352" width="11" style="384"/>
    <col min="14353" max="14353" width="5.875" style="384" customWidth="1"/>
    <col min="14354" max="14355" width="11" style="384"/>
    <col min="14356" max="14356" width="10.875" style="384" customWidth="1"/>
    <col min="14357" max="14357" width="9" style="384" customWidth="1"/>
    <col min="14358" max="14358" width="4.875" style="384" customWidth="1"/>
    <col min="14359" max="14359" width="10.25" style="384" customWidth="1"/>
    <col min="14360" max="14364" width="10.875" style="384" customWidth="1"/>
    <col min="14365" max="14592" width="11" style="384"/>
    <col min="14593" max="14593" width="10.25" style="384" customWidth="1"/>
    <col min="14594" max="14594" width="33.5" style="384" customWidth="1"/>
    <col min="14595" max="14595" width="10.5" style="384" customWidth="1"/>
    <col min="14596" max="14596" width="10.375" style="384" customWidth="1"/>
    <col min="14597" max="14597" width="2.5" style="384" bestFit="1" customWidth="1"/>
    <col min="14598" max="14601" width="10.25" style="384" customWidth="1"/>
    <col min="14602" max="14602" width="12" style="384" customWidth="1"/>
    <col min="14603" max="14603" width="10.25" style="384" customWidth="1"/>
    <col min="14604" max="14604" width="9" style="384" customWidth="1"/>
    <col min="14605" max="14605" width="9.75" style="384" customWidth="1"/>
    <col min="14606" max="14606" width="8.75" style="384" customWidth="1"/>
    <col min="14607" max="14607" width="6.5" style="384" customWidth="1"/>
    <col min="14608" max="14608" width="11" style="384"/>
    <col min="14609" max="14609" width="5.875" style="384" customWidth="1"/>
    <col min="14610" max="14611" width="11" style="384"/>
    <col min="14612" max="14612" width="10.875" style="384" customWidth="1"/>
    <col min="14613" max="14613" width="9" style="384" customWidth="1"/>
    <col min="14614" max="14614" width="4.875" style="384" customWidth="1"/>
    <col min="14615" max="14615" width="10.25" style="384" customWidth="1"/>
    <col min="14616" max="14620" width="10.875" style="384" customWidth="1"/>
    <col min="14621" max="14848" width="11" style="384"/>
    <col min="14849" max="14849" width="10.25" style="384" customWidth="1"/>
    <col min="14850" max="14850" width="33.5" style="384" customWidth="1"/>
    <col min="14851" max="14851" width="10.5" style="384" customWidth="1"/>
    <col min="14852" max="14852" width="10.375" style="384" customWidth="1"/>
    <col min="14853" max="14853" width="2.5" style="384" bestFit="1" customWidth="1"/>
    <col min="14854" max="14857" width="10.25" style="384" customWidth="1"/>
    <col min="14858" max="14858" width="12" style="384" customWidth="1"/>
    <col min="14859" max="14859" width="10.25" style="384" customWidth="1"/>
    <col min="14860" max="14860" width="9" style="384" customWidth="1"/>
    <col min="14861" max="14861" width="9.75" style="384" customWidth="1"/>
    <col min="14862" max="14862" width="8.75" style="384" customWidth="1"/>
    <col min="14863" max="14863" width="6.5" style="384" customWidth="1"/>
    <col min="14864" max="14864" width="11" style="384"/>
    <col min="14865" max="14865" width="5.875" style="384" customWidth="1"/>
    <col min="14866" max="14867" width="11" style="384"/>
    <col min="14868" max="14868" width="10.875" style="384" customWidth="1"/>
    <col min="14869" max="14869" width="9" style="384" customWidth="1"/>
    <col min="14870" max="14870" width="4.875" style="384" customWidth="1"/>
    <col min="14871" max="14871" width="10.25" style="384" customWidth="1"/>
    <col min="14872" max="14876" width="10.875" style="384" customWidth="1"/>
    <col min="14877" max="15104" width="11" style="384"/>
    <col min="15105" max="15105" width="10.25" style="384" customWidth="1"/>
    <col min="15106" max="15106" width="33.5" style="384" customWidth="1"/>
    <col min="15107" max="15107" width="10.5" style="384" customWidth="1"/>
    <col min="15108" max="15108" width="10.375" style="384" customWidth="1"/>
    <col min="15109" max="15109" width="2.5" style="384" bestFit="1" customWidth="1"/>
    <col min="15110" max="15113" width="10.25" style="384" customWidth="1"/>
    <col min="15114" max="15114" width="12" style="384" customWidth="1"/>
    <col min="15115" max="15115" width="10.25" style="384" customWidth="1"/>
    <col min="15116" max="15116" width="9" style="384" customWidth="1"/>
    <col min="15117" max="15117" width="9.75" style="384" customWidth="1"/>
    <col min="15118" max="15118" width="8.75" style="384" customWidth="1"/>
    <col min="15119" max="15119" width="6.5" style="384" customWidth="1"/>
    <col min="15120" max="15120" width="11" style="384"/>
    <col min="15121" max="15121" width="5.875" style="384" customWidth="1"/>
    <col min="15122" max="15123" width="11" style="384"/>
    <col min="15124" max="15124" width="10.875" style="384" customWidth="1"/>
    <col min="15125" max="15125" width="9" style="384" customWidth="1"/>
    <col min="15126" max="15126" width="4.875" style="384" customWidth="1"/>
    <col min="15127" max="15127" width="10.25" style="384" customWidth="1"/>
    <col min="15128" max="15132" width="10.875" style="384" customWidth="1"/>
    <col min="15133" max="15360" width="11" style="384"/>
    <col min="15361" max="15361" width="10.25" style="384" customWidth="1"/>
    <col min="15362" max="15362" width="33.5" style="384" customWidth="1"/>
    <col min="15363" max="15363" width="10.5" style="384" customWidth="1"/>
    <col min="15364" max="15364" width="10.375" style="384" customWidth="1"/>
    <col min="15365" max="15365" width="2.5" style="384" bestFit="1" customWidth="1"/>
    <col min="15366" max="15369" width="10.25" style="384" customWidth="1"/>
    <col min="15370" max="15370" width="12" style="384" customWidth="1"/>
    <col min="15371" max="15371" width="10.25" style="384" customWidth="1"/>
    <col min="15372" max="15372" width="9" style="384" customWidth="1"/>
    <col min="15373" max="15373" width="9.75" style="384" customWidth="1"/>
    <col min="15374" max="15374" width="8.75" style="384" customWidth="1"/>
    <col min="15375" max="15375" width="6.5" style="384" customWidth="1"/>
    <col min="15376" max="15376" width="11" style="384"/>
    <col min="15377" max="15377" width="5.875" style="384" customWidth="1"/>
    <col min="15378" max="15379" width="11" style="384"/>
    <col min="15380" max="15380" width="10.875" style="384" customWidth="1"/>
    <col min="15381" max="15381" width="9" style="384" customWidth="1"/>
    <col min="15382" max="15382" width="4.875" style="384" customWidth="1"/>
    <col min="15383" max="15383" width="10.25" style="384" customWidth="1"/>
    <col min="15384" max="15388" width="10.875" style="384" customWidth="1"/>
    <col min="15389" max="15616" width="11" style="384"/>
    <col min="15617" max="15617" width="10.25" style="384" customWidth="1"/>
    <col min="15618" max="15618" width="33.5" style="384" customWidth="1"/>
    <col min="15619" max="15619" width="10.5" style="384" customWidth="1"/>
    <col min="15620" max="15620" width="10.375" style="384" customWidth="1"/>
    <col min="15621" max="15621" width="2.5" style="384" bestFit="1" customWidth="1"/>
    <col min="15622" max="15625" width="10.25" style="384" customWidth="1"/>
    <col min="15626" max="15626" width="12" style="384" customWidth="1"/>
    <col min="15627" max="15627" width="10.25" style="384" customWidth="1"/>
    <col min="15628" max="15628" width="9" style="384" customWidth="1"/>
    <col min="15629" max="15629" width="9.75" style="384" customWidth="1"/>
    <col min="15630" max="15630" width="8.75" style="384" customWidth="1"/>
    <col min="15631" max="15631" width="6.5" style="384" customWidth="1"/>
    <col min="15632" max="15632" width="11" style="384"/>
    <col min="15633" max="15633" width="5.875" style="384" customWidth="1"/>
    <col min="15634" max="15635" width="11" style="384"/>
    <col min="15636" max="15636" width="10.875" style="384" customWidth="1"/>
    <col min="15637" max="15637" width="9" style="384" customWidth="1"/>
    <col min="15638" max="15638" width="4.875" style="384" customWidth="1"/>
    <col min="15639" max="15639" width="10.25" style="384" customWidth="1"/>
    <col min="15640" max="15644" width="10.875" style="384" customWidth="1"/>
    <col min="15645" max="15872" width="11" style="384"/>
    <col min="15873" max="15873" width="10.25" style="384" customWidth="1"/>
    <col min="15874" max="15874" width="33.5" style="384" customWidth="1"/>
    <col min="15875" max="15875" width="10.5" style="384" customWidth="1"/>
    <col min="15876" max="15876" width="10.375" style="384" customWidth="1"/>
    <col min="15877" max="15877" width="2.5" style="384" bestFit="1" customWidth="1"/>
    <col min="15878" max="15881" width="10.25" style="384" customWidth="1"/>
    <col min="15882" max="15882" width="12" style="384" customWidth="1"/>
    <col min="15883" max="15883" width="10.25" style="384" customWidth="1"/>
    <col min="15884" max="15884" width="9" style="384" customWidth="1"/>
    <col min="15885" max="15885" width="9.75" style="384" customWidth="1"/>
    <col min="15886" max="15886" width="8.75" style="384" customWidth="1"/>
    <col min="15887" max="15887" width="6.5" style="384" customWidth="1"/>
    <col min="15888" max="15888" width="11" style="384"/>
    <col min="15889" max="15889" width="5.875" style="384" customWidth="1"/>
    <col min="15890" max="15891" width="11" style="384"/>
    <col min="15892" max="15892" width="10.875" style="384" customWidth="1"/>
    <col min="15893" max="15893" width="9" style="384" customWidth="1"/>
    <col min="15894" max="15894" width="4.875" style="384" customWidth="1"/>
    <col min="15895" max="15895" width="10.25" style="384" customWidth="1"/>
    <col min="15896" max="15900" width="10.875" style="384" customWidth="1"/>
    <col min="15901" max="16128" width="11" style="384"/>
    <col min="16129" max="16129" width="10.25" style="384" customWidth="1"/>
    <col min="16130" max="16130" width="33.5" style="384" customWidth="1"/>
    <col min="16131" max="16131" width="10.5" style="384" customWidth="1"/>
    <col min="16132" max="16132" width="10.375" style="384" customWidth="1"/>
    <col min="16133" max="16133" width="2.5" style="384" bestFit="1" customWidth="1"/>
    <col min="16134" max="16137" width="10.25" style="384" customWidth="1"/>
    <col min="16138" max="16138" width="12" style="384" customWidth="1"/>
    <col min="16139" max="16139" width="10.25" style="384" customWidth="1"/>
    <col min="16140" max="16140" width="9" style="384" customWidth="1"/>
    <col min="16141" max="16141" width="9.75" style="384" customWidth="1"/>
    <col min="16142" max="16142" width="8.75" style="384" customWidth="1"/>
    <col min="16143" max="16143" width="6.5" style="384" customWidth="1"/>
    <col min="16144" max="16144" width="11" style="384"/>
    <col min="16145" max="16145" width="5.875" style="384" customWidth="1"/>
    <col min="16146" max="16147" width="11" style="384"/>
    <col min="16148" max="16148" width="10.875" style="384" customWidth="1"/>
    <col min="16149" max="16149" width="9" style="384" customWidth="1"/>
    <col min="16150" max="16150" width="4.875" style="384" customWidth="1"/>
    <col min="16151" max="16151" width="10.25" style="384" customWidth="1"/>
    <col min="16152" max="16156" width="10.875" style="384" customWidth="1"/>
    <col min="16157" max="16384" width="11" style="384"/>
  </cols>
  <sheetData>
    <row r="1" spans="1:81" customFormat="1" ht="18" customHeight="1">
      <c r="A1" s="1520" t="s">
        <v>57</v>
      </c>
      <c r="B1" s="1"/>
      <c r="C1" s="652"/>
      <c r="D1" s="652"/>
      <c r="E1" s="2393">
        <v>42369</v>
      </c>
      <c r="F1" s="2393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212"/>
      <c r="T1" s="212"/>
      <c r="U1" s="652"/>
      <c r="V1" s="652"/>
      <c r="W1" s="65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722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65" t="s">
        <v>66</v>
      </c>
      <c r="D3" s="65" t="s">
        <v>72</v>
      </c>
      <c r="E3" s="65"/>
      <c r="F3" s="65" t="s">
        <v>84</v>
      </c>
      <c r="G3" s="1650"/>
      <c r="H3" s="65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723</v>
      </c>
      <c r="C4" s="1651"/>
      <c r="D4" s="1651"/>
      <c r="E4" s="1651"/>
      <c r="F4" s="1650"/>
      <c r="G4" s="1650"/>
      <c r="H4" s="1650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201500468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724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 s="2324" customFormat="1" ht="33.75">
      <c r="A15" s="1530">
        <v>1</v>
      </c>
      <c r="B15" s="152" t="s">
        <v>725</v>
      </c>
      <c r="C15" s="2315">
        <f>D15*E15</f>
        <v>300000</v>
      </c>
      <c r="D15" s="2316">
        <f>250000*1.2</f>
        <v>300000</v>
      </c>
      <c r="E15" s="999">
        <v>1</v>
      </c>
      <c r="F15" s="2315">
        <f>D15*E15</f>
        <v>300000</v>
      </c>
      <c r="G15" s="2317"/>
      <c r="H15" s="2317"/>
      <c r="I15" s="2317">
        <f>+W15</f>
        <v>240000</v>
      </c>
      <c r="J15" s="2317">
        <f>0.2*I15</f>
        <v>48000</v>
      </c>
      <c r="K15" s="2318"/>
      <c r="L15" s="2317">
        <f>I15-J15+K15</f>
        <v>192000</v>
      </c>
      <c r="M15" s="2317"/>
      <c r="N15" s="2317"/>
      <c r="O15" s="2319"/>
      <c r="P15" s="2317"/>
      <c r="Q15" s="2319"/>
      <c r="R15" s="2319"/>
      <c r="S15" s="2320"/>
      <c r="T15" s="2320">
        <f>W15-L15</f>
        <v>48000</v>
      </c>
      <c r="U15" s="2319">
        <v>240000</v>
      </c>
      <c r="V15" s="2321">
        <v>1</v>
      </c>
      <c r="W15" s="2315">
        <f>U15*V15</f>
        <v>240000</v>
      </c>
      <c r="X15" s="2317"/>
      <c r="Y15" s="2317"/>
      <c r="Z15" s="2317"/>
      <c r="AA15" s="2319"/>
      <c r="AB15" s="2322"/>
      <c r="AC15" s="2323"/>
      <c r="AD15" s="2323"/>
    </row>
    <row r="16" spans="1:81">
      <c r="A16" s="1530"/>
      <c r="B16" s="152"/>
      <c r="C16" s="124"/>
      <c r="D16" s="131"/>
      <c r="E16" s="132"/>
      <c r="F16" s="124"/>
      <c r="G16" s="139"/>
      <c r="H16" s="139"/>
      <c r="I16" s="139"/>
      <c r="J16" s="139"/>
      <c r="K16" s="133"/>
      <c r="L16" s="139"/>
      <c r="M16" s="139"/>
      <c r="N16" s="133"/>
      <c r="O16" s="139"/>
      <c r="P16" s="139"/>
      <c r="Q16" s="149"/>
      <c r="R16" s="134"/>
      <c r="S16" s="139"/>
      <c r="T16" s="139"/>
      <c r="U16" s="131"/>
      <c r="V16" s="132"/>
      <c r="W16" s="124"/>
      <c r="X16" s="139"/>
      <c r="Y16" s="133"/>
      <c r="Z16" s="139"/>
      <c r="AA16" s="134"/>
      <c r="AB16" s="139"/>
    </row>
    <row r="17" spans="1:28">
      <c r="A17" s="1530"/>
      <c r="B17" s="152"/>
      <c r="C17" s="124"/>
      <c r="D17" s="131"/>
      <c r="E17" s="132"/>
      <c r="F17" s="124"/>
      <c r="G17" s="139"/>
      <c r="H17" s="139"/>
      <c r="I17" s="139"/>
      <c r="J17" s="139"/>
      <c r="K17" s="133"/>
      <c r="L17" s="139"/>
      <c r="M17" s="139"/>
      <c r="N17" s="133"/>
      <c r="O17" s="139"/>
      <c r="P17" s="139"/>
      <c r="Q17" s="149"/>
      <c r="R17" s="139"/>
      <c r="S17" s="139"/>
      <c r="T17" s="139"/>
      <c r="U17" s="131"/>
      <c r="V17" s="132"/>
      <c r="W17" s="124"/>
      <c r="X17" s="139"/>
      <c r="Y17" s="133"/>
      <c r="Z17" s="139"/>
      <c r="AA17" s="139"/>
      <c r="AB17" s="139"/>
    </row>
    <row r="18" spans="1:28">
      <c r="A18" s="1530"/>
      <c r="B18" s="181"/>
      <c r="C18" s="124"/>
      <c r="D18" s="131"/>
      <c r="E18" s="132"/>
      <c r="F18" s="124"/>
      <c r="G18" s="139"/>
      <c r="H18" s="139"/>
      <c r="I18" s="139"/>
      <c r="J18" s="139"/>
      <c r="K18" s="133"/>
      <c r="L18" s="139"/>
      <c r="M18" s="139"/>
      <c r="N18" s="133"/>
      <c r="O18" s="139"/>
      <c r="P18" s="139"/>
      <c r="Q18" s="149"/>
      <c r="R18" s="139"/>
      <c r="S18" s="139"/>
      <c r="T18" s="139"/>
      <c r="U18" s="131"/>
      <c r="V18" s="132"/>
      <c r="W18" s="124"/>
      <c r="X18" s="139"/>
      <c r="Y18" s="133"/>
      <c r="Z18" s="139"/>
      <c r="AA18" s="139"/>
      <c r="AB18" s="139"/>
    </row>
    <row r="19" spans="1:28">
      <c r="A19" s="1530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9"/>
      <c r="M19" s="139"/>
      <c r="N19" s="133"/>
      <c r="O19" s="139"/>
      <c r="P19" s="153"/>
      <c r="Q19" s="149"/>
      <c r="R19" s="153"/>
      <c r="S19" s="139"/>
      <c r="T19" s="139"/>
      <c r="U19" s="131"/>
      <c r="V19" s="1531"/>
      <c r="W19" s="124"/>
      <c r="X19" s="139"/>
      <c r="Y19" s="133"/>
      <c r="Z19" s="153"/>
      <c r="AA19" s="153"/>
      <c r="AB19" s="139"/>
    </row>
    <row r="20" spans="1:28">
      <c r="A20" s="1532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53"/>
      <c r="Q20" s="149"/>
      <c r="R20" s="153"/>
      <c r="S20" s="139"/>
      <c r="T20" s="139"/>
      <c r="U20" s="131"/>
      <c r="V20" s="1531"/>
      <c r="W20" s="124"/>
      <c r="X20" s="139"/>
      <c r="Y20" s="133"/>
      <c r="Z20" s="153"/>
      <c r="AA20" s="153"/>
      <c r="AB20" s="139"/>
    </row>
    <row r="21" spans="1:28">
      <c r="A21" s="1532"/>
      <c r="B21" s="181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53"/>
      <c r="Q21" s="149"/>
      <c r="R21" s="153"/>
      <c r="S21" s="139"/>
      <c r="T21" s="139"/>
      <c r="U21" s="131"/>
      <c r="V21" s="1531"/>
      <c r="W21" s="124"/>
      <c r="X21" s="139"/>
      <c r="Y21" s="133"/>
      <c r="Z21" s="153"/>
      <c r="AA21" s="153"/>
      <c r="AB21" s="139"/>
    </row>
    <row r="22" spans="1:28">
      <c r="A22" s="1530"/>
      <c r="B22" s="152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39"/>
      <c r="Q22" s="149"/>
      <c r="R22" s="139"/>
      <c r="S22" s="139"/>
      <c r="T22" s="139"/>
      <c r="U22" s="131"/>
      <c r="V22" s="132"/>
      <c r="W22" s="124"/>
      <c r="X22" s="139"/>
      <c r="Y22" s="133"/>
      <c r="Z22" s="139"/>
      <c r="AA22" s="139"/>
      <c r="AB22" s="139"/>
    </row>
    <row r="23" spans="1:28">
      <c r="A23" s="1530"/>
      <c r="B23" s="152"/>
      <c r="C23" s="124"/>
      <c r="D23" s="131"/>
      <c r="E23" s="132"/>
      <c r="F23" s="124"/>
      <c r="G23" s="139"/>
      <c r="H23" s="139"/>
      <c r="I23" s="139"/>
      <c r="J23" s="139"/>
      <c r="K23" s="133"/>
      <c r="L23" s="1533"/>
      <c r="M23" s="139"/>
      <c r="N23" s="133"/>
      <c r="O23" s="139"/>
      <c r="P23" s="153"/>
      <c r="Q23" s="149"/>
      <c r="R23" s="153"/>
      <c r="S23" s="139"/>
      <c r="T23" s="139"/>
      <c r="U23" s="131"/>
      <c r="V23" s="1531"/>
      <c r="W23" s="124"/>
      <c r="X23" s="1533"/>
      <c r="Y23" s="133"/>
      <c r="Z23" s="153"/>
      <c r="AA23" s="153"/>
      <c r="AB23" s="139"/>
    </row>
    <row r="24" spans="1:28">
      <c r="A24" s="1530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55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</row>
    <row r="25" spans="1:28">
      <c r="A25" s="1534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56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</row>
    <row r="26" spans="1:28">
      <c r="A26" s="157"/>
      <c r="B26" s="152"/>
      <c r="C26" s="124"/>
      <c r="D26" s="131"/>
      <c r="E26" s="1531"/>
      <c r="F26" s="124"/>
      <c r="G26" s="139"/>
      <c r="H26" s="139"/>
      <c r="I26" s="139"/>
      <c r="J26" s="139"/>
      <c r="K26" s="133">
        <f>0.5*W26</f>
        <v>0</v>
      </c>
      <c r="L26" s="139"/>
      <c r="M26" s="139"/>
      <c r="N26" s="133"/>
      <c r="O26" s="139"/>
      <c r="P26" s="139"/>
      <c r="Q26" s="156"/>
      <c r="R26" s="139"/>
      <c r="S26" s="139"/>
      <c r="T26" s="139"/>
      <c r="U26" s="144"/>
      <c r="V26" s="1531"/>
      <c r="W26" s="124">
        <f t="shared" ref="W26:W31" si="0">U26*V26</f>
        <v>0</v>
      </c>
      <c r="X26" s="139"/>
      <c r="Y26" s="133"/>
      <c r="Z26" s="139"/>
      <c r="AA26" s="139"/>
      <c r="AB26" s="139">
        <v>0</v>
      </c>
    </row>
    <row r="27" spans="1:28">
      <c r="A27" s="146"/>
      <c r="B27" s="152"/>
      <c r="C27" s="124">
        <f>D27*E27</f>
        <v>0</v>
      </c>
      <c r="D27" s="131"/>
      <c r="E27" s="1531"/>
      <c r="F27" s="124">
        <f>D27*E27</f>
        <v>0</v>
      </c>
      <c r="G27" s="134"/>
      <c r="H27" s="134"/>
      <c r="I27" s="135"/>
      <c r="J27" s="134"/>
      <c r="K27" s="133">
        <f>0.5*W27</f>
        <v>0</v>
      </c>
      <c r="L27" s="139"/>
      <c r="M27" s="134"/>
      <c r="N27" s="133"/>
      <c r="O27" s="134"/>
      <c r="P27" s="153"/>
      <c r="Q27" s="156"/>
      <c r="R27" s="153"/>
      <c r="S27" s="139"/>
      <c r="T27" s="138"/>
      <c r="U27" s="144"/>
      <c r="V27" s="1531"/>
      <c r="W27" s="124">
        <f t="shared" si="0"/>
        <v>0</v>
      </c>
      <c r="X27" s="139"/>
      <c r="Y27" s="133"/>
      <c r="Z27" s="153"/>
      <c r="AA27" s="153"/>
      <c r="AB27" s="138"/>
    </row>
    <row r="28" spans="1:28">
      <c r="A28" s="157"/>
      <c r="B28" s="152"/>
      <c r="C28" s="124">
        <f>D28*E28</f>
        <v>0</v>
      </c>
      <c r="D28" s="131"/>
      <c r="E28" s="1531"/>
      <c r="F28" s="124">
        <f>D28*E28</f>
        <v>0</v>
      </c>
      <c r="G28" s="134"/>
      <c r="H28" s="134"/>
      <c r="I28" s="135"/>
      <c r="J28" s="134"/>
      <c r="K28" s="133">
        <f>0.5*W28</f>
        <v>0</v>
      </c>
      <c r="L28" s="139"/>
      <c r="M28" s="134"/>
      <c r="N28" s="133"/>
      <c r="O28" s="134"/>
      <c r="P28" s="134"/>
      <c r="Q28" s="156"/>
      <c r="R28" s="139"/>
      <c r="S28" s="139"/>
      <c r="T28" s="138"/>
      <c r="U28" s="144"/>
      <c r="V28" s="1531"/>
      <c r="W28" s="124">
        <f t="shared" si="0"/>
        <v>0</v>
      </c>
      <c r="X28" s="139"/>
      <c r="Y28" s="133"/>
      <c r="Z28" s="134"/>
      <c r="AA28" s="139"/>
      <c r="AB28" s="138"/>
    </row>
    <row r="29" spans="1:28" ht="9.9499999999999993" customHeight="1">
      <c r="A29" s="157"/>
      <c r="B29" s="152"/>
      <c r="C29" s="124">
        <f>D29*E29</f>
        <v>0</v>
      </c>
      <c r="D29" s="131"/>
      <c r="E29" s="1531"/>
      <c r="F29" s="124">
        <f>D29*E29</f>
        <v>0</v>
      </c>
      <c r="G29" s="134"/>
      <c r="H29" s="134"/>
      <c r="I29" s="135"/>
      <c r="J29" s="134"/>
      <c r="K29" s="133">
        <f>0.5*W29</f>
        <v>0</v>
      </c>
      <c r="L29" s="139"/>
      <c r="M29" s="134"/>
      <c r="N29" s="133"/>
      <c r="O29" s="134"/>
      <c r="P29" s="134"/>
      <c r="Q29" s="156"/>
      <c r="R29" s="139"/>
      <c r="S29" s="139"/>
      <c r="T29" s="138"/>
      <c r="U29" s="144"/>
      <c r="V29" s="1531"/>
      <c r="W29" s="124">
        <f t="shared" si="0"/>
        <v>0</v>
      </c>
      <c r="X29" s="139"/>
      <c r="Y29" s="133"/>
      <c r="Z29" s="134"/>
      <c r="AA29" s="139"/>
      <c r="AB29" s="138"/>
    </row>
    <row r="30" spans="1:28">
      <c r="A30" s="1530"/>
      <c r="B30" s="152"/>
      <c r="C30" s="124">
        <f>D30*E30</f>
        <v>0</v>
      </c>
      <c r="D30" s="131"/>
      <c r="E30" s="1531"/>
      <c r="F30" s="124">
        <f>D30*E30</f>
        <v>0</v>
      </c>
      <c r="G30" s="134"/>
      <c r="H30" s="134"/>
      <c r="I30" s="135"/>
      <c r="J30" s="134"/>
      <c r="K30" s="134"/>
      <c r="L30" s="139"/>
      <c r="M30" s="134"/>
      <c r="N30" s="134"/>
      <c r="O30" s="134"/>
      <c r="P30" s="134"/>
      <c r="Q30" s="156"/>
      <c r="R30" s="139"/>
      <c r="S30" s="139"/>
      <c r="T30" s="138"/>
      <c r="U30" s="144"/>
      <c r="V30" s="1531"/>
      <c r="W30" s="124">
        <f t="shared" si="0"/>
        <v>0</v>
      </c>
      <c r="X30" s="139"/>
      <c r="Y30" s="134"/>
      <c r="Z30" s="134"/>
      <c r="AA30" s="139"/>
      <c r="AB30" s="138"/>
    </row>
    <row r="31" spans="1:28">
      <c r="A31" s="157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4"/>
      <c r="L31" s="139"/>
      <c r="M31" s="134"/>
      <c r="N31" s="134"/>
      <c r="O31" s="134"/>
      <c r="P31" s="134"/>
      <c r="Q31" s="156"/>
      <c r="R31" s="139"/>
      <c r="S31" s="139"/>
      <c r="T31" s="138"/>
      <c r="U31" s="144"/>
      <c r="V31" s="1531"/>
      <c r="W31" s="124">
        <f t="shared" si="0"/>
        <v>0</v>
      </c>
      <c r="X31" s="139"/>
      <c r="Y31" s="134"/>
      <c r="Z31" s="134"/>
      <c r="AA31" s="139"/>
      <c r="AB31" s="138"/>
    </row>
    <row r="32" spans="1:28">
      <c r="A32" s="157"/>
      <c r="B32" s="152"/>
      <c r="C32" s="124"/>
      <c r="D32" s="131"/>
      <c r="E32" s="1531"/>
      <c r="F32" s="124"/>
      <c r="G32" s="134"/>
      <c r="H32" s="134"/>
      <c r="I32" s="135"/>
      <c r="J32" s="134"/>
      <c r="K32" s="134"/>
      <c r="L32" s="139"/>
      <c r="M32" s="134"/>
      <c r="N32" s="134"/>
      <c r="O32" s="134"/>
      <c r="P32" s="134"/>
      <c r="Q32" s="156"/>
      <c r="R32" s="139"/>
      <c r="S32" s="139"/>
      <c r="T32" s="138"/>
      <c r="U32" s="144"/>
      <c r="V32" s="1531"/>
      <c r="W32" s="124"/>
      <c r="X32" s="139"/>
      <c r="Y32" s="134"/>
      <c r="Z32" s="134"/>
      <c r="AA32" s="139"/>
      <c r="AB32" s="138"/>
    </row>
    <row r="33" spans="1:28">
      <c r="A33" s="157"/>
      <c r="B33" s="152"/>
      <c r="C33" s="124"/>
      <c r="D33" s="131"/>
      <c r="E33" s="1531"/>
      <c r="F33" s="124"/>
      <c r="G33" s="134"/>
      <c r="H33" s="134"/>
      <c r="I33" s="135"/>
      <c r="J33" s="134"/>
      <c r="K33" s="134"/>
      <c r="L33" s="139"/>
      <c r="M33" s="134"/>
      <c r="N33" s="134"/>
      <c r="O33" s="134"/>
      <c r="P33" s="134"/>
      <c r="Q33" s="156"/>
      <c r="R33" s="139"/>
      <c r="S33" s="139"/>
      <c r="T33" s="138"/>
      <c r="U33" s="144"/>
      <c r="V33" s="1531"/>
      <c r="W33" s="124"/>
      <c r="X33" s="139"/>
      <c r="Y33" s="134"/>
      <c r="Z33" s="134"/>
      <c r="AA33" s="139"/>
      <c r="AB33" s="138"/>
    </row>
    <row r="34" spans="1:28">
      <c r="A34" s="157"/>
      <c r="B34" s="152"/>
      <c r="C34" s="124"/>
      <c r="D34" s="131"/>
      <c r="E34" s="1531"/>
      <c r="F34" s="124"/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/>
      <c r="X34" s="139"/>
      <c r="Y34" s="134"/>
      <c r="Z34" s="134"/>
      <c r="AA34" s="139"/>
      <c r="AB34" s="138"/>
    </row>
    <row r="35" spans="1:28">
      <c r="A35" s="157"/>
      <c r="B35" s="152"/>
      <c r="C35" s="124"/>
      <c r="D35" s="131"/>
      <c r="E35" s="1531"/>
      <c r="F35" s="124"/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/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>
        <f>D45*E45</f>
        <v>0</v>
      </c>
      <c r="D45" s="131"/>
      <c r="E45" s="1531"/>
      <c r="F45" s="124">
        <f>D45*E45</f>
        <v>0</v>
      </c>
      <c r="G45" s="134"/>
      <c r="H45" s="134"/>
      <c r="I45" s="135"/>
      <c r="J45" s="134"/>
      <c r="K45" s="134"/>
      <c r="L45" s="139"/>
      <c r="M45" s="134"/>
      <c r="N45" s="134"/>
      <c r="O45" s="134"/>
      <c r="P45" s="139"/>
      <c r="Q45" s="134"/>
      <c r="R45" s="139"/>
      <c r="S45" s="139"/>
      <c r="T45" s="138"/>
      <c r="U45" s="144"/>
      <c r="V45" s="1531"/>
      <c r="W45" s="124">
        <f t="shared" ref="W45:W54" si="1">U45*V45</f>
        <v>0</v>
      </c>
      <c r="X45" s="139"/>
      <c r="Y45" s="134"/>
      <c r="Z45" s="139"/>
      <c r="AA45" s="139"/>
      <c r="AB45" s="138"/>
    </row>
    <row r="46" spans="1:28">
      <c r="A46" s="157"/>
      <c r="B46" s="152"/>
      <c r="C46" s="124">
        <f>D46*E46</f>
        <v>0</v>
      </c>
      <c r="D46" s="131"/>
      <c r="E46" s="1531"/>
      <c r="F46" s="124">
        <f>D46*E46</f>
        <v>0</v>
      </c>
      <c r="G46" s="134"/>
      <c r="H46" s="134"/>
      <c r="I46" s="135"/>
      <c r="J46" s="134"/>
      <c r="K46" s="134"/>
      <c r="L46" s="139"/>
      <c r="M46" s="134"/>
      <c r="N46" s="134"/>
      <c r="O46" s="134"/>
      <c r="P46" s="139"/>
      <c r="Q46" s="134"/>
      <c r="R46" s="139"/>
      <c r="S46" s="139"/>
      <c r="T46" s="138"/>
      <c r="U46" s="144"/>
      <c r="V46" s="1531"/>
      <c r="W46" s="124">
        <f t="shared" si="1"/>
        <v>0</v>
      </c>
      <c r="X46" s="139"/>
      <c r="Y46" s="134"/>
      <c r="Z46" s="139"/>
      <c r="AA46" s="139"/>
      <c r="AB46" s="138"/>
    </row>
    <row r="47" spans="1:28">
      <c r="A47" s="157"/>
      <c r="B47" s="152"/>
      <c r="C47" s="124">
        <f>D47*E47</f>
        <v>0</v>
      </c>
      <c r="D47" s="131"/>
      <c r="E47" s="1531"/>
      <c r="F47" s="124">
        <f>D47*E47</f>
        <v>0</v>
      </c>
      <c r="G47" s="134"/>
      <c r="H47" s="134"/>
      <c r="I47" s="135"/>
      <c r="J47" s="134"/>
      <c r="K47" s="134"/>
      <c r="L47" s="139"/>
      <c r="M47" s="134"/>
      <c r="N47" s="134"/>
      <c r="O47" s="134"/>
      <c r="P47" s="139"/>
      <c r="Q47" s="134"/>
      <c r="R47" s="139"/>
      <c r="S47" s="139"/>
      <c r="T47" s="138"/>
      <c r="U47" s="144"/>
      <c r="V47" s="1531"/>
      <c r="W47" s="124">
        <f t="shared" si="1"/>
        <v>0</v>
      </c>
      <c r="X47" s="139"/>
      <c r="Y47" s="134"/>
      <c r="Z47" s="139"/>
      <c r="AA47" s="139"/>
      <c r="AB47" s="138"/>
    </row>
    <row r="48" spans="1:28">
      <c r="A48" s="157"/>
      <c r="B48" s="152"/>
      <c r="C48" s="124"/>
      <c r="D48" s="131"/>
      <c r="E48" s="157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9"/>
      <c r="Q48" s="134"/>
      <c r="R48" s="139"/>
      <c r="S48" s="139"/>
      <c r="T48" s="138"/>
      <c r="U48" s="144"/>
      <c r="V48" s="157"/>
      <c r="W48" s="124">
        <f t="shared" si="1"/>
        <v>0</v>
      </c>
      <c r="X48" s="139"/>
      <c r="Y48" s="134"/>
      <c r="Z48" s="139"/>
      <c r="AA48" s="139"/>
      <c r="AB48" s="138"/>
    </row>
    <row r="49" spans="1:28">
      <c r="A49" s="1530"/>
      <c r="B49" s="152"/>
      <c r="C49" s="124">
        <f t="shared" ref="C49:C54" si="2">D49*E49</f>
        <v>0</v>
      </c>
      <c r="D49" s="131"/>
      <c r="E49" s="157"/>
      <c r="F49" s="124">
        <f t="shared" ref="F49:F54" si="3">D49*E49</f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7"/>
      <c r="W49" s="124">
        <f t="shared" si="1"/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 t="shared" si="2"/>
        <v>0</v>
      </c>
      <c r="D50" s="131"/>
      <c r="E50" s="146"/>
      <c r="F50" s="124">
        <f t="shared" si="3"/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46"/>
      <c r="W50" s="124">
        <f t="shared" si="1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 t="shared" si="2"/>
        <v>0</v>
      </c>
      <c r="D51" s="131"/>
      <c r="E51" s="157"/>
      <c r="F51" s="124">
        <f t="shared" si="3"/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7"/>
      <c r="W51" s="124">
        <f t="shared" si="1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>
        <f t="shared" si="2"/>
        <v>0</v>
      </c>
      <c r="D52" s="131"/>
      <c r="E52" s="146"/>
      <c r="F52" s="124">
        <f t="shared" si="3"/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46"/>
      <c r="W52" s="124">
        <f t="shared" si="1"/>
        <v>0</v>
      </c>
      <c r="X52" s="139"/>
      <c r="Y52" s="134"/>
      <c r="Z52" s="139"/>
      <c r="AA52" s="139"/>
      <c r="AB52" s="138"/>
    </row>
    <row r="53" spans="1:28">
      <c r="A53" s="157"/>
      <c r="B53" s="152"/>
      <c r="C53" s="124">
        <f t="shared" si="2"/>
        <v>0</v>
      </c>
      <c r="D53" s="131"/>
      <c r="E53" s="157"/>
      <c r="F53" s="124">
        <f t="shared" si="3"/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</row>
    <row r="54" spans="1:28">
      <c r="A54" s="157"/>
      <c r="B54" s="158"/>
      <c r="C54" s="124">
        <f t="shared" si="2"/>
        <v>0</v>
      </c>
      <c r="D54" s="131"/>
      <c r="E54" s="132"/>
      <c r="F54" s="124">
        <f t="shared" si="3"/>
        <v>0</v>
      </c>
      <c r="G54" s="134"/>
      <c r="H54" s="134"/>
      <c r="I54" s="134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32"/>
      <c r="W54" s="124">
        <f t="shared" si="1"/>
        <v>0</v>
      </c>
      <c r="X54" s="139"/>
      <c r="Y54" s="134"/>
      <c r="Z54" s="139"/>
      <c r="AA54" s="139"/>
      <c r="AB54" s="138"/>
    </row>
    <row r="55" spans="1:28">
      <c r="A55" s="159"/>
      <c r="B55" s="160" t="s">
        <v>17</v>
      </c>
      <c r="C55" s="1535">
        <f>SUM(C15:C54)</f>
        <v>300000</v>
      </c>
      <c r="D55" s="1536"/>
      <c r="E55" s="1536"/>
      <c r="F55" s="1536">
        <f>SUM(F15:F54)</f>
        <v>300000</v>
      </c>
      <c r="G55" s="1536">
        <f t="shared" ref="G55:N55" si="4">SUM(G16:G54)</f>
        <v>0</v>
      </c>
      <c r="H55" s="1536">
        <f t="shared" si="4"/>
        <v>0</v>
      </c>
      <c r="I55" s="1536">
        <f t="shared" si="4"/>
        <v>0</v>
      </c>
      <c r="J55" s="1536">
        <f t="shared" si="4"/>
        <v>0</v>
      </c>
      <c r="K55" s="1536">
        <f t="shared" si="4"/>
        <v>0</v>
      </c>
      <c r="L55" s="1536">
        <f>SUM(L15:L54)</f>
        <v>192000</v>
      </c>
      <c r="M55" s="1536">
        <f t="shared" si="4"/>
        <v>0</v>
      </c>
      <c r="N55" s="1536">
        <f t="shared" si="4"/>
        <v>0</v>
      </c>
      <c r="O55" s="1536">
        <f>SUM(O14:O54)</f>
        <v>0</v>
      </c>
      <c r="P55" s="1536">
        <f>SUM(P14:P54)</f>
        <v>0</v>
      </c>
      <c r="Q55" s="1536">
        <f>SUM(Q14:Q54)</f>
        <v>0</v>
      </c>
      <c r="R55" s="1536">
        <f>SUM(R14:R54)</f>
        <v>0</v>
      </c>
      <c r="S55" s="1536">
        <f>SUM(S16:S54)</f>
        <v>0</v>
      </c>
      <c r="T55" s="1537">
        <f>W55-L55</f>
        <v>48000</v>
      </c>
      <c r="U55" s="1536"/>
      <c r="V55" s="1536"/>
      <c r="W55" s="1536">
        <f>SUM(W14:W54)</f>
        <v>240000</v>
      </c>
      <c r="X55" s="1536">
        <f>SUM(X16:X54)</f>
        <v>0</v>
      </c>
      <c r="Y55" s="1536">
        <f>SUM(Y16:Y54)</f>
        <v>0</v>
      </c>
      <c r="Z55" s="1536">
        <f>SUM(Z16:Z54)</f>
        <v>0</v>
      </c>
      <c r="AA55" s="1536">
        <v>0</v>
      </c>
      <c r="AB55" s="1536">
        <f>SUM(AB16:AB54)</f>
        <v>0</v>
      </c>
    </row>
    <row r="56" spans="1:28">
      <c r="A56" s="161"/>
      <c r="B56" s="162"/>
      <c r="F56" s="163"/>
      <c r="G56" s="163"/>
      <c r="H56" s="163"/>
      <c r="I56" s="163"/>
      <c r="J56" s="163"/>
      <c r="K56" s="163"/>
      <c r="L56" s="163"/>
      <c r="M56" s="163"/>
      <c r="N56" s="163"/>
      <c r="P56" s="163"/>
      <c r="Q56" s="67"/>
      <c r="R56" s="67"/>
      <c r="W56" s="163"/>
    </row>
    <row r="57" spans="1:28">
      <c r="A57" s="164"/>
      <c r="B57" s="162"/>
      <c r="F57" s="163"/>
      <c r="G57" s="163"/>
      <c r="H57" s="163"/>
      <c r="I57" s="163"/>
      <c r="J57" s="163"/>
      <c r="K57" s="163"/>
      <c r="L57" s="163"/>
      <c r="M57" s="163"/>
      <c r="N57" s="163"/>
      <c r="P57" s="163"/>
      <c r="Q57" s="67"/>
      <c r="R57" s="67"/>
      <c r="W57" s="163"/>
    </row>
    <row r="58" spans="1:28">
      <c r="F58" s="163"/>
      <c r="R58" s="67"/>
      <c r="W58" s="163"/>
    </row>
    <row r="59" spans="1:28">
      <c r="F59" s="163"/>
      <c r="R59" s="67"/>
      <c r="W59" s="163"/>
    </row>
    <row r="60" spans="1:28">
      <c r="R60" s="67"/>
    </row>
    <row r="61" spans="1:28">
      <c r="A61" s="67" t="s">
        <v>59</v>
      </c>
      <c r="F61" s="163"/>
      <c r="W61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3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pageSetUpPr fitToPage="1"/>
  </sheetPr>
  <dimension ref="A1:CC66"/>
  <sheetViews>
    <sheetView showGridLines="0" showZeros="0" view="pageBreakPreview" topLeftCell="I16" zoomScaleNormal="100" workbookViewId="0">
      <selection activeCell="E81" sqref="E81:P81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10.625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3">
        <v>42369</v>
      </c>
      <c r="F1" s="239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748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380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201500266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749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 ht="22.5">
      <c r="A15" s="1530" t="s">
        <v>750</v>
      </c>
      <c r="B15" s="152" t="s">
        <v>751</v>
      </c>
      <c r="C15" s="124">
        <f>580000*1.2*0.97</f>
        <v>675120</v>
      </c>
      <c r="D15" s="131">
        <v>372480</v>
      </c>
      <c r="E15" s="132">
        <v>1</v>
      </c>
      <c r="F15" s="124">
        <f>D15*E15</f>
        <v>372480</v>
      </c>
      <c r="G15" s="103"/>
      <c r="H15" s="103"/>
      <c r="I15" s="103"/>
      <c r="J15" s="103"/>
      <c r="K15" s="103"/>
      <c r="L15" s="103">
        <f>I15-J15+K15</f>
        <v>0</v>
      </c>
      <c r="M15" s="103"/>
      <c r="N15" s="103"/>
      <c r="O15" s="105"/>
      <c r="P15" s="103"/>
      <c r="Q15" s="105"/>
      <c r="R15" s="105"/>
      <c r="S15" s="123"/>
      <c r="T15" s="106"/>
      <c r="U15" s="124">
        <f>150000*1.2*0.97</f>
        <v>174600</v>
      </c>
      <c r="V15" s="141">
        <v>1</v>
      </c>
      <c r="W15" s="124">
        <f>U15*V15</f>
        <v>174600</v>
      </c>
      <c r="X15" s="103"/>
      <c r="Y15" s="103"/>
      <c r="Z15" s="103"/>
      <c r="AA15" s="105"/>
      <c r="AB15" s="106"/>
    </row>
    <row r="16" spans="1:81" ht="22.5">
      <c r="A16" s="1534" t="s">
        <v>437</v>
      </c>
      <c r="B16" s="152" t="s">
        <v>752</v>
      </c>
      <c r="C16" s="124">
        <f t="shared" ref="C16:C18" si="0">580000*1.2*0.97</f>
        <v>675120</v>
      </c>
      <c r="D16" s="131">
        <v>372480</v>
      </c>
      <c r="E16" s="132">
        <v>1</v>
      </c>
      <c r="F16" s="124">
        <f>D16*E16</f>
        <v>372480</v>
      </c>
      <c r="G16" s="133"/>
      <c r="H16" s="133"/>
      <c r="I16" s="133"/>
      <c r="J16" s="133"/>
      <c r="K16" s="103"/>
      <c r="L16" s="103">
        <f t="shared" ref="L16:L18" si="1">I16-J16+K16</f>
        <v>0</v>
      </c>
      <c r="M16" s="133"/>
      <c r="N16" s="133"/>
      <c r="O16" s="133"/>
      <c r="P16" s="134"/>
      <c r="Q16" s="133"/>
      <c r="R16" s="135"/>
      <c r="S16" s="135"/>
      <c r="T16" s="137"/>
      <c r="U16" s="124">
        <f t="shared" ref="U16:U18" si="2">150000*1.2*0.97</f>
        <v>174600</v>
      </c>
      <c r="V16" s="141">
        <v>1</v>
      </c>
      <c r="W16" s="124">
        <f t="shared" ref="W16:W19" si="3">U16*V16</f>
        <v>174600</v>
      </c>
      <c r="X16" s="133">
        <v>0</v>
      </c>
      <c r="Y16" s="133"/>
      <c r="Z16" s="134"/>
      <c r="AA16" s="135"/>
      <c r="AB16" s="137"/>
    </row>
    <row r="17" spans="1:81" s="68" customFormat="1" ht="22.5">
      <c r="A17" s="2314" t="s">
        <v>753</v>
      </c>
      <c r="B17" s="152" t="s">
        <v>754</v>
      </c>
      <c r="C17" s="124">
        <f t="shared" si="0"/>
        <v>675120</v>
      </c>
      <c r="D17" s="131">
        <v>372480</v>
      </c>
      <c r="E17" s="132">
        <v>1</v>
      </c>
      <c r="F17" s="124">
        <f>D17*E17</f>
        <v>372480</v>
      </c>
      <c r="G17" s="139"/>
      <c r="H17" s="139"/>
      <c r="I17" s="139"/>
      <c r="J17" s="139"/>
      <c r="K17" s="103"/>
      <c r="L17" s="103">
        <f t="shared" si="1"/>
        <v>0</v>
      </c>
      <c r="M17" s="139"/>
      <c r="N17" s="134"/>
      <c r="O17" s="139"/>
      <c r="P17" s="140"/>
      <c r="Q17" s="124"/>
      <c r="R17" s="124"/>
      <c r="S17" s="139"/>
      <c r="T17" s="139"/>
      <c r="U17" s="124">
        <f t="shared" si="2"/>
        <v>174600</v>
      </c>
      <c r="V17" s="141">
        <v>1</v>
      </c>
      <c r="W17" s="124">
        <f t="shared" si="3"/>
        <v>174600</v>
      </c>
      <c r="X17" s="133"/>
      <c r="Y17" s="133"/>
      <c r="Z17" s="140"/>
      <c r="AA17" s="124"/>
      <c r="AB17" s="139"/>
      <c r="AE17" s="384"/>
      <c r="AF17" s="384"/>
      <c r="AG17" s="384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4"/>
      <c r="BV17" s="384"/>
      <c r="BW17" s="384"/>
      <c r="BX17" s="384"/>
      <c r="BY17" s="384"/>
      <c r="BZ17" s="384"/>
      <c r="CA17" s="384"/>
      <c r="CB17" s="384"/>
      <c r="CC17" s="384"/>
    </row>
    <row r="18" spans="1:81" s="68" customFormat="1" ht="22.5">
      <c r="A18" s="2314" t="s">
        <v>755</v>
      </c>
      <c r="B18" s="152" t="s">
        <v>756</v>
      </c>
      <c r="C18" s="124">
        <f t="shared" si="0"/>
        <v>675120</v>
      </c>
      <c r="D18" s="131">
        <v>372480</v>
      </c>
      <c r="E18" s="132">
        <v>1</v>
      </c>
      <c r="F18" s="124">
        <f>D18*E18</f>
        <v>372480</v>
      </c>
      <c r="G18" s="139"/>
      <c r="H18" s="139"/>
      <c r="I18" s="139"/>
      <c r="J18" s="139"/>
      <c r="K18" s="103"/>
      <c r="L18" s="103">
        <f t="shared" si="1"/>
        <v>0</v>
      </c>
      <c r="M18" s="139"/>
      <c r="N18" s="134"/>
      <c r="O18" s="139"/>
      <c r="P18" s="140"/>
      <c r="Q18" s="124"/>
      <c r="R18" s="124"/>
      <c r="S18" s="139"/>
      <c r="T18" s="139"/>
      <c r="U18" s="124">
        <f t="shared" si="2"/>
        <v>174600</v>
      </c>
      <c r="V18" s="141">
        <v>1</v>
      </c>
      <c r="W18" s="124">
        <f t="shared" si="3"/>
        <v>174600</v>
      </c>
      <c r="X18" s="133"/>
      <c r="Y18" s="133"/>
      <c r="Z18" s="140"/>
      <c r="AA18" s="124"/>
      <c r="AB18" s="139"/>
      <c r="AE18" s="384"/>
      <c r="AF18" s="384"/>
      <c r="AG18" s="384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4"/>
      <c r="BI18" s="384"/>
      <c r="BJ18" s="384"/>
      <c r="BK18" s="384"/>
      <c r="BL18" s="384"/>
      <c r="BM18" s="384"/>
      <c r="BN18" s="384"/>
      <c r="BO18" s="384"/>
      <c r="BP18" s="384"/>
      <c r="BQ18" s="384"/>
      <c r="BR18" s="384"/>
      <c r="BS18" s="384"/>
      <c r="BT18" s="384"/>
      <c r="BU18" s="384"/>
      <c r="BV18" s="384"/>
      <c r="BW18" s="384"/>
      <c r="BX18" s="384"/>
      <c r="BY18" s="384"/>
      <c r="BZ18" s="384"/>
      <c r="CA18" s="384"/>
      <c r="CB18" s="384"/>
      <c r="CC18" s="384"/>
    </row>
    <row r="19" spans="1:81" s="68" customFormat="1">
      <c r="A19" s="1532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3"/>
      <c r="M19" s="139"/>
      <c r="N19" s="133"/>
      <c r="O19" s="139"/>
      <c r="P19" s="124"/>
      <c r="Q19" s="124"/>
      <c r="R19" s="124"/>
      <c r="S19" s="139"/>
      <c r="T19" s="139"/>
      <c r="U19" s="131"/>
      <c r="V19" s="132"/>
      <c r="W19" s="124">
        <f t="shared" si="3"/>
        <v>0</v>
      </c>
      <c r="X19" s="133"/>
      <c r="Y19" s="133"/>
      <c r="Z19" s="124"/>
      <c r="AA19" s="143"/>
      <c r="AB19" s="139"/>
      <c r="AE19" s="384"/>
      <c r="AF19" s="384"/>
      <c r="AG19" s="384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4"/>
      <c r="BC19" s="384"/>
      <c r="BD19" s="384"/>
      <c r="BE19" s="384"/>
      <c r="BF19" s="384"/>
      <c r="BG19" s="384"/>
      <c r="BH19" s="384"/>
      <c r="BI19" s="384"/>
      <c r="BJ19" s="384"/>
      <c r="BK19" s="384"/>
      <c r="BL19" s="384"/>
      <c r="BM19" s="384"/>
      <c r="BN19" s="384"/>
      <c r="BO19" s="384"/>
      <c r="BP19" s="384"/>
      <c r="BQ19" s="384"/>
      <c r="BR19" s="384"/>
      <c r="BS19" s="384"/>
      <c r="BT19" s="384"/>
      <c r="BU19" s="384"/>
      <c r="BV19" s="384"/>
      <c r="BW19" s="384"/>
      <c r="BX19" s="384"/>
      <c r="BY19" s="384"/>
      <c r="BZ19" s="384"/>
      <c r="CA19" s="384"/>
      <c r="CB19" s="384"/>
      <c r="CC19" s="384"/>
    </row>
    <row r="20" spans="1:81" s="68" customFormat="1">
      <c r="A20" s="1530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384"/>
      <c r="AU20" s="384"/>
      <c r="AV20" s="384"/>
      <c r="AW20" s="384"/>
      <c r="AX20" s="384"/>
      <c r="AY20" s="384"/>
      <c r="AZ20" s="384"/>
      <c r="BA20" s="384"/>
      <c r="BB20" s="384"/>
      <c r="BC20" s="384"/>
      <c r="BD20" s="384"/>
      <c r="BE20" s="384"/>
      <c r="BF20" s="384"/>
      <c r="BG20" s="384"/>
      <c r="BH20" s="384"/>
      <c r="BI20" s="384"/>
      <c r="BJ20" s="384"/>
      <c r="BK20" s="384"/>
      <c r="BL20" s="384"/>
      <c r="BM20" s="384"/>
      <c r="BN20" s="384"/>
      <c r="BO20" s="384"/>
      <c r="BP20" s="384"/>
      <c r="BQ20" s="384"/>
      <c r="BR20" s="384"/>
      <c r="BS20" s="384"/>
      <c r="BT20" s="384"/>
      <c r="BU20" s="384"/>
      <c r="BV20" s="384"/>
      <c r="BW20" s="384"/>
      <c r="BX20" s="384"/>
      <c r="BY20" s="384"/>
      <c r="BZ20" s="384"/>
      <c r="CA20" s="384"/>
      <c r="CB20" s="384"/>
      <c r="CC20" s="384"/>
    </row>
    <row r="21" spans="1:81" s="68" customFormat="1">
      <c r="A21" s="1532"/>
      <c r="B21" s="152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24"/>
      <c r="Q21" s="141"/>
      <c r="R21" s="143"/>
      <c r="S21" s="139"/>
      <c r="T21" s="139"/>
      <c r="U21" s="131"/>
      <c r="V21" s="132"/>
      <c r="W21" s="124"/>
      <c r="X21" s="139"/>
      <c r="Y21" s="133"/>
      <c r="Z21" s="124"/>
      <c r="AA21" s="143"/>
      <c r="AB21" s="139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4"/>
      <c r="BC21" s="384"/>
      <c r="BD21" s="384"/>
      <c r="BE21" s="384"/>
      <c r="BF21" s="384"/>
      <c r="BG21" s="384"/>
      <c r="BH21" s="384"/>
      <c r="BI21" s="384"/>
      <c r="BJ21" s="384"/>
      <c r="BK21" s="384"/>
      <c r="BL21" s="384"/>
      <c r="BM21" s="384"/>
      <c r="BN21" s="384"/>
      <c r="BO21" s="384"/>
      <c r="BP21" s="384"/>
      <c r="BQ21" s="384"/>
      <c r="BR21" s="384"/>
      <c r="BS21" s="384"/>
      <c r="BT21" s="384"/>
      <c r="BU21" s="384"/>
      <c r="BV21" s="384"/>
      <c r="BW21" s="384"/>
      <c r="BX21" s="384"/>
      <c r="BY21" s="384"/>
      <c r="BZ21" s="384"/>
      <c r="CA21" s="384"/>
      <c r="CB21" s="384"/>
      <c r="CC21" s="384"/>
    </row>
    <row r="22" spans="1:81" s="68" customFormat="1">
      <c r="A22" s="1532"/>
      <c r="B22" s="145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43"/>
      <c r="Q22" s="141"/>
      <c r="R22" s="143"/>
      <c r="S22" s="139"/>
      <c r="T22" s="139"/>
      <c r="U22" s="131"/>
      <c r="V22" s="132"/>
      <c r="W22" s="124"/>
      <c r="X22" s="139"/>
      <c r="Y22" s="133"/>
      <c r="Z22" s="143"/>
      <c r="AA22" s="143"/>
      <c r="AB22" s="139"/>
      <c r="AE22" s="384"/>
      <c r="AF22" s="384"/>
      <c r="AG22" s="384"/>
      <c r="AH22" s="384"/>
      <c r="AI22" s="384"/>
      <c r="AJ22" s="384"/>
      <c r="AK22" s="384"/>
      <c r="AL22" s="384"/>
      <c r="AM22" s="384"/>
      <c r="AN22" s="384"/>
      <c r="AO22" s="384"/>
      <c r="AP22" s="384"/>
      <c r="AQ22" s="384"/>
      <c r="AR22" s="384"/>
      <c r="AS22" s="384"/>
      <c r="AT22" s="384"/>
      <c r="AU22" s="384"/>
      <c r="AV22" s="384"/>
      <c r="AW22" s="384"/>
      <c r="AX22" s="384"/>
      <c r="AY22" s="384"/>
      <c r="AZ22" s="384"/>
      <c r="BA22" s="384"/>
      <c r="BB22" s="384"/>
      <c r="BC22" s="384"/>
      <c r="BD22" s="384"/>
      <c r="BE22" s="384"/>
      <c r="BF22" s="384"/>
      <c r="BG22" s="384"/>
      <c r="BH22" s="384"/>
      <c r="BI22" s="384"/>
      <c r="BJ22" s="384"/>
      <c r="BK22" s="384"/>
      <c r="BL22" s="384"/>
      <c r="BM22" s="384"/>
      <c r="BN22" s="384"/>
      <c r="BO22" s="384"/>
      <c r="BP22" s="384"/>
      <c r="BQ22" s="384"/>
      <c r="BR22" s="384"/>
      <c r="BS22" s="384"/>
      <c r="BT22" s="384"/>
      <c r="BU22" s="384"/>
      <c r="BV22" s="384"/>
      <c r="BW22" s="384"/>
      <c r="BX22" s="384"/>
      <c r="BY22" s="384"/>
      <c r="BZ22" s="384"/>
      <c r="CA22" s="384"/>
      <c r="CB22" s="384"/>
      <c r="CC22" s="384"/>
    </row>
    <row r="23" spans="1:81" s="68" customFormat="1">
      <c r="A23" s="1532"/>
      <c r="B23" s="798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4"/>
      <c r="S23" s="139"/>
      <c r="T23" s="139"/>
      <c r="U23" s="131"/>
      <c r="V23" s="132"/>
      <c r="W23" s="124"/>
      <c r="X23" s="139"/>
      <c r="Y23" s="133"/>
      <c r="Z23" s="139"/>
      <c r="AA23" s="134"/>
      <c r="AB23" s="139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</row>
    <row r="24" spans="1:81" s="68" customFormat="1">
      <c r="A24" s="1532"/>
      <c r="B24" s="798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49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</row>
    <row r="25" spans="1:81" s="68" customFormat="1">
      <c r="A25" s="1532"/>
      <c r="B25" s="798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  <c r="AE25" s="384"/>
      <c r="AF25" s="384"/>
      <c r="AG25" s="384"/>
      <c r="AH25" s="384"/>
      <c r="AI25" s="384"/>
      <c r="AJ25" s="384"/>
      <c r="AK25" s="384"/>
      <c r="AL25" s="384"/>
      <c r="AM25" s="384"/>
      <c r="AN25" s="384"/>
      <c r="AO25" s="384"/>
      <c r="AP25" s="384"/>
      <c r="AQ25" s="384"/>
      <c r="AR25" s="384"/>
      <c r="AS25" s="384"/>
      <c r="AT25" s="384"/>
      <c r="AU25" s="384"/>
      <c r="AV25" s="384"/>
      <c r="AW25" s="384"/>
      <c r="AX25" s="384"/>
      <c r="AY25" s="384"/>
      <c r="AZ25" s="384"/>
      <c r="BA25" s="384"/>
      <c r="BB25" s="384"/>
      <c r="BC25" s="384"/>
      <c r="BD25" s="384"/>
      <c r="BE25" s="384"/>
      <c r="BF25" s="384"/>
      <c r="BG25" s="384"/>
      <c r="BH25" s="384"/>
      <c r="BI25" s="384"/>
      <c r="BJ25" s="384"/>
      <c r="BK25" s="384"/>
      <c r="BL25" s="384"/>
      <c r="BM25" s="384"/>
      <c r="BN25" s="384"/>
      <c r="BO25" s="384"/>
      <c r="BP25" s="384"/>
      <c r="BQ25" s="384"/>
      <c r="BR25" s="384"/>
      <c r="BS25" s="384"/>
      <c r="BT25" s="384"/>
      <c r="BU25" s="384"/>
      <c r="BV25" s="384"/>
      <c r="BW25" s="384"/>
      <c r="BX25" s="384"/>
      <c r="BY25" s="384"/>
      <c r="BZ25" s="384"/>
      <c r="CA25" s="384"/>
      <c r="CB25" s="384"/>
      <c r="CC25" s="384"/>
    </row>
    <row r="26" spans="1:81" s="68" customFormat="1">
      <c r="A26" s="1532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49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  <c r="AE26" s="384"/>
      <c r="AF26" s="384"/>
      <c r="AG26" s="384"/>
      <c r="AH26" s="384"/>
      <c r="AI26" s="384"/>
      <c r="AJ26" s="384"/>
      <c r="AK26" s="384"/>
      <c r="AL26" s="384"/>
      <c r="AM26" s="384"/>
      <c r="AN26" s="384"/>
      <c r="AO26" s="384"/>
      <c r="AP26" s="384"/>
      <c r="AQ26" s="384"/>
      <c r="AR26" s="384"/>
      <c r="AS26" s="384"/>
      <c r="AT26" s="384"/>
      <c r="AU26" s="384"/>
      <c r="AV26" s="384"/>
      <c r="AW26" s="384"/>
      <c r="AX26" s="384"/>
      <c r="AY26" s="384"/>
      <c r="AZ26" s="384"/>
      <c r="BA26" s="384"/>
      <c r="BB26" s="384"/>
      <c r="BC26" s="384"/>
      <c r="BD26" s="384"/>
      <c r="BE26" s="384"/>
      <c r="BF26" s="384"/>
      <c r="BG26" s="384"/>
      <c r="BH26" s="384"/>
      <c r="BI26" s="384"/>
      <c r="BJ26" s="384"/>
      <c r="BK26" s="384"/>
      <c r="BL26" s="384"/>
      <c r="BM26" s="384"/>
      <c r="BN26" s="384"/>
      <c r="BO26" s="384"/>
      <c r="BP26" s="384"/>
      <c r="BQ26" s="384"/>
      <c r="BR26" s="384"/>
      <c r="BS26" s="384"/>
      <c r="BT26" s="384"/>
      <c r="BU26" s="384"/>
      <c r="BV26" s="384"/>
      <c r="BW26" s="384"/>
      <c r="BX26" s="384"/>
      <c r="BY26" s="384"/>
      <c r="BZ26" s="384"/>
      <c r="CA26" s="384"/>
      <c r="CB26" s="384"/>
      <c r="CC26" s="384"/>
    </row>
    <row r="27" spans="1:81" s="68" customFormat="1">
      <c r="A27" s="1532"/>
      <c r="B27" s="798"/>
      <c r="C27" s="124"/>
      <c r="D27" s="131"/>
      <c r="E27" s="132"/>
      <c r="F27" s="124"/>
      <c r="G27" s="139"/>
      <c r="H27" s="139"/>
      <c r="I27" s="139"/>
      <c r="J27" s="139"/>
      <c r="K27" s="133"/>
      <c r="L27" s="139"/>
      <c r="M27" s="139"/>
      <c r="N27" s="133"/>
      <c r="O27" s="139"/>
      <c r="P27" s="139"/>
      <c r="Q27" s="149"/>
      <c r="R27" s="139"/>
      <c r="S27" s="139"/>
      <c r="T27" s="139"/>
      <c r="U27" s="131"/>
      <c r="V27" s="132"/>
      <c r="W27" s="124"/>
      <c r="X27" s="139"/>
      <c r="Y27" s="133"/>
      <c r="Z27" s="139"/>
      <c r="AA27" s="139"/>
      <c r="AB27" s="139"/>
      <c r="AE27" s="384"/>
      <c r="AF27" s="384"/>
      <c r="AG27" s="384"/>
      <c r="AH27" s="384"/>
      <c r="AI27" s="384"/>
      <c r="AJ27" s="384"/>
      <c r="AK27" s="384"/>
      <c r="AL27" s="384"/>
      <c r="AM27" s="384"/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X27" s="384"/>
      <c r="AY27" s="384"/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  <c r="BJ27" s="384"/>
      <c r="BK27" s="384"/>
      <c r="BL27" s="384"/>
      <c r="BM27" s="384"/>
      <c r="BN27" s="384"/>
      <c r="BO27" s="384"/>
      <c r="BP27" s="384"/>
      <c r="BQ27" s="384"/>
      <c r="BR27" s="384"/>
      <c r="BS27" s="384"/>
      <c r="BT27" s="384"/>
      <c r="BU27" s="384"/>
      <c r="BV27" s="384"/>
      <c r="BW27" s="384"/>
      <c r="BX27" s="384"/>
      <c r="BY27" s="384"/>
      <c r="BZ27" s="384"/>
      <c r="CA27" s="384"/>
      <c r="CB27" s="384"/>
      <c r="CC27" s="384"/>
    </row>
    <row r="28" spans="1:81" s="68" customFormat="1">
      <c r="A28" s="1530"/>
      <c r="B28" s="1645"/>
      <c r="C28" s="124"/>
      <c r="D28" s="131"/>
      <c r="E28" s="1531"/>
      <c r="F28" s="124"/>
      <c r="G28" s="139"/>
      <c r="H28" s="139"/>
      <c r="I28" s="139"/>
      <c r="J28" s="139"/>
      <c r="K28" s="133"/>
      <c r="L28" s="1533"/>
      <c r="M28" s="139"/>
      <c r="N28" s="133"/>
      <c r="O28" s="139"/>
      <c r="P28" s="153"/>
      <c r="Q28" s="149"/>
      <c r="R28" s="153"/>
      <c r="S28" s="139"/>
      <c r="T28" s="139"/>
      <c r="U28" s="131"/>
      <c r="V28" s="1531"/>
      <c r="W28" s="124"/>
      <c r="X28" s="1533"/>
      <c r="Y28" s="133"/>
      <c r="Z28" s="153"/>
      <c r="AA28" s="153"/>
      <c r="AB28" s="139"/>
      <c r="AE28" s="384"/>
      <c r="AF28" s="384"/>
      <c r="AG28" s="384"/>
      <c r="AH28" s="384"/>
      <c r="AI28" s="384"/>
      <c r="AJ28" s="384"/>
      <c r="AK28" s="384"/>
      <c r="AL28" s="384"/>
      <c r="AM28" s="384"/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X28" s="384"/>
      <c r="AY28" s="384"/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  <c r="BJ28" s="384"/>
      <c r="BK28" s="384"/>
      <c r="BL28" s="384"/>
      <c r="BM28" s="384"/>
      <c r="BN28" s="384"/>
      <c r="BO28" s="384"/>
      <c r="BP28" s="384"/>
      <c r="BQ28" s="384"/>
      <c r="BR28" s="384"/>
      <c r="BS28" s="384"/>
      <c r="BT28" s="384"/>
      <c r="BU28" s="384"/>
      <c r="BV28" s="384"/>
      <c r="BW28" s="384"/>
      <c r="BX28" s="384"/>
      <c r="BY28" s="384"/>
      <c r="BZ28" s="384"/>
      <c r="CA28" s="384"/>
      <c r="CB28" s="384"/>
      <c r="CC28" s="384"/>
    </row>
    <row r="29" spans="1:81" s="68" customFormat="1">
      <c r="A29" s="1530"/>
      <c r="B29" s="142"/>
      <c r="C29" s="124"/>
      <c r="D29" s="131"/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39"/>
      <c r="Q29" s="155"/>
      <c r="R29" s="139"/>
      <c r="S29" s="139"/>
      <c r="T29" s="139"/>
      <c r="U29" s="131"/>
      <c r="V29" s="132"/>
      <c r="W29" s="124"/>
      <c r="X29" s="139"/>
      <c r="Y29" s="133"/>
      <c r="Z29" s="139"/>
      <c r="AA29" s="139"/>
      <c r="AB29" s="139"/>
      <c r="AE29" s="384"/>
      <c r="AF29" s="384"/>
      <c r="AG29" s="384"/>
      <c r="AH29" s="384"/>
      <c r="AI29" s="384"/>
      <c r="AJ29" s="384"/>
      <c r="AK29" s="384"/>
      <c r="AL29" s="384"/>
      <c r="AM29" s="384"/>
      <c r="AN29" s="384"/>
      <c r="AO29" s="384"/>
      <c r="AP29" s="384"/>
      <c r="AQ29" s="384"/>
      <c r="AR29" s="384"/>
      <c r="AS29" s="384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4"/>
      <c r="BV29" s="384"/>
      <c r="BW29" s="384"/>
      <c r="BX29" s="384"/>
      <c r="BY29" s="384"/>
      <c r="BZ29" s="384"/>
      <c r="CA29" s="384"/>
      <c r="CB29" s="384"/>
      <c r="CC29" s="384"/>
    </row>
    <row r="30" spans="1:81" s="68" customFormat="1">
      <c r="A30" s="1534"/>
      <c r="B30" s="142"/>
      <c r="C30" s="124"/>
      <c r="D30" s="131" t="s">
        <v>87</v>
      </c>
      <c r="E30" s="132"/>
      <c r="F30" s="124"/>
      <c r="G30" s="139"/>
      <c r="H30" s="139"/>
      <c r="I30" s="139"/>
      <c r="J30" s="139"/>
      <c r="K30" s="133"/>
      <c r="L30" s="139"/>
      <c r="M30" s="139"/>
      <c r="N30" s="133"/>
      <c r="O30" s="139"/>
      <c r="P30" s="153"/>
      <c r="Q30" s="156"/>
      <c r="R30" s="153"/>
      <c r="S30" s="139"/>
      <c r="T30" s="139"/>
      <c r="U30" s="131"/>
      <c r="V30" s="1531"/>
      <c r="W30" s="124"/>
      <c r="X30" s="139"/>
      <c r="Y30" s="133"/>
      <c r="Z30" s="153"/>
      <c r="AA30" s="153"/>
      <c r="AB30" s="139"/>
      <c r="AE30" s="384"/>
      <c r="AF30" s="384"/>
      <c r="AG30" s="384"/>
      <c r="AH30" s="384"/>
      <c r="AI30" s="384"/>
      <c r="AJ30" s="384"/>
      <c r="AK30" s="384"/>
      <c r="AL30" s="384"/>
      <c r="AM30" s="384"/>
      <c r="AN30" s="384"/>
      <c r="AO30" s="384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N30" s="384"/>
      <c r="BO30" s="384"/>
      <c r="BP30" s="384"/>
      <c r="BQ30" s="384"/>
      <c r="BR30" s="384"/>
      <c r="BS30" s="384"/>
      <c r="BT30" s="384"/>
      <c r="BU30" s="384"/>
      <c r="BV30" s="384"/>
      <c r="BW30" s="384"/>
      <c r="BX30" s="384"/>
      <c r="BY30" s="384"/>
      <c r="BZ30" s="384"/>
      <c r="CA30" s="384"/>
      <c r="CB30" s="384"/>
      <c r="CC30" s="384"/>
    </row>
    <row r="31" spans="1:81" s="68" customFormat="1">
      <c r="A31" s="157"/>
      <c r="B31" s="152"/>
      <c r="C31" s="124"/>
      <c r="D31" s="131"/>
      <c r="E31" s="1531"/>
      <c r="F31" s="124"/>
      <c r="G31" s="139"/>
      <c r="H31" s="139"/>
      <c r="I31" s="139"/>
      <c r="J31" s="139"/>
      <c r="K31" s="133">
        <f>0.5*W31</f>
        <v>0</v>
      </c>
      <c r="L31" s="139"/>
      <c r="M31" s="139"/>
      <c r="N31" s="133"/>
      <c r="O31" s="139"/>
      <c r="P31" s="139"/>
      <c r="Q31" s="156"/>
      <c r="R31" s="139"/>
      <c r="S31" s="139"/>
      <c r="T31" s="139"/>
      <c r="U31" s="144"/>
      <c r="V31" s="1531"/>
      <c r="W31" s="124">
        <f t="shared" ref="W31:W36" si="4">U31*V31</f>
        <v>0</v>
      </c>
      <c r="X31" s="139"/>
      <c r="Y31" s="133"/>
      <c r="Z31" s="139"/>
      <c r="AA31" s="139"/>
      <c r="AB31" s="139">
        <v>0</v>
      </c>
      <c r="AE31" s="384"/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384"/>
      <c r="AW31" s="384"/>
      <c r="AX31" s="384"/>
      <c r="AY31" s="384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M31" s="384"/>
      <c r="BN31" s="384"/>
      <c r="BO31" s="384"/>
      <c r="BP31" s="384"/>
      <c r="BQ31" s="384"/>
      <c r="BR31" s="384"/>
      <c r="BS31" s="384"/>
      <c r="BT31" s="384"/>
      <c r="BU31" s="384"/>
      <c r="BV31" s="384"/>
      <c r="BW31" s="384"/>
      <c r="BX31" s="384"/>
      <c r="BY31" s="384"/>
      <c r="BZ31" s="384"/>
      <c r="CA31" s="384"/>
      <c r="CB31" s="384"/>
      <c r="CC31" s="384"/>
    </row>
    <row r="32" spans="1:81" s="68" customFormat="1">
      <c r="A32" s="146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53"/>
      <c r="Q32" s="156"/>
      <c r="R32" s="153"/>
      <c r="S32" s="139"/>
      <c r="T32" s="138"/>
      <c r="U32" s="144"/>
      <c r="V32" s="1531"/>
      <c r="W32" s="124">
        <f t="shared" si="4"/>
        <v>0</v>
      </c>
      <c r="X32" s="139"/>
      <c r="Y32" s="133"/>
      <c r="Z32" s="153"/>
      <c r="AA32" s="153"/>
      <c r="AB32" s="138"/>
      <c r="AE32" s="384"/>
      <c r="AF32" s="384"/>
      <c r="AG32" s="384"/>
      <c r="AH32" s="384"/>
      <c r="AI32" s="384"/>
      <c r="AJ32" s="384"/>
      <c r="AK32" s="384"/>
      <c r="AL32" s="384"/>
      <c r="AM32" s="384"/>
      <c r="AN32" s="384"/>
      <c r="AO32" s="384"/>
      <c r="AP32" s="384"/>
      <c r="AQ32" s="384"/>
      <c r="AR32" s="384"/>
      <c r="AS32" s="384"/>
      <c r="AT32" s="384"/>
      <c r="AU32" s="384"/>
      <c r="AV32" s="384"/>
      <c r="AW32" s="384"/>
      <c r="AX32" s="384"/>
      <c r="AY32" s="384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M32" s="384"/>
      <c r="BN32" s="384"/>
      <c r="BO32" s="384"/>
      <c r="BP32" s="384"/>
      <c r="BQ32" s="384"/>
      <c r="BR32" s="384"/>
      <c r="BS32" s="384"/>
      <c r="BT32" s="384"/>
      <c r="BU32" s="384"/>
      <c r="BV32" s="384"/>
      <c r="BW32" s="384"/>
      <c r="BX32" s="384"/>
      <c r="BY32" s="384"/>
      <c r="BZ32" s="384"/>
      <c r="CA32" s="384"/>
      <c r="CB32" s="384"/>
      <c r="CC32" s="384"/>
    </row>
    <row r="33" spans="1:81" s="68" customForma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4"/>
        <v>0</v>
      </c>
      <c r="X33" s="139"/>
      <c r="Y33" s="133"/>
      <c r="Z33" s="134"/>
      <c r="AA33" s="139"/>
      <c r="AB33" s="138"/>
      <c r="AE33" s="384"/>
      <c r="AF33" s="384"/>
      <c r="AG33" s="384"/>
      <c r="AH33" s="384"/>
      <c r="AI33" s="384"/>
      <c r="AJ33" s="384"/>
      <c r="AK33" s="384"/>
      <c r="AL33" s="384"/>
      <c r="AM33" s="384"/>
      <c r="AN33" s="384"/>
      <c r="AO33" s="384"/>
      <c r="AP33" s="384"/>
      <c r="AQ33" s="384"/>
      <c r="AR33" s="384"/>
      <c r="AS33" s="384"/>
      <c r="AT33" s="384"/>
      <c r="AU33" s="384"/>
      <c r="AV33" s="384"/>
      <c r="AW33" s="384"/>
      <c r="AX33" s="384"/>
      <c r="AY33" s="384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M33" s="384"/>
      <c r="BN33" s="384"/>
      <c r="BO33" s="384"/>
      <c r="BP33" s="384"/>
      <c r="BQ33" s="384"/>
      <c r="BR33" s="384"/>
      <c r="BS33" s="384"/>
      <c r="BT33" s="384"/>
      <c r="BU33" s="384"/>
      <c r="BV33" s="384"/>
      <c r="BW33" s="384"/>
      <c r="BX33" s="384"/>
      <c r="BY33" s="384"/>
      <c r="BZ33" s="384"/>
      <c r="CA33" s="384"/>
      <c r="CB33" s="384"/>
      <c r="CC33" s="384"/>
    </row>
    <row r="34" spans="1:81" s="68" customFormat="1" ht="9.9499999999999993" customHeight="1">
      <c r="A34" s="157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3">
        <f>0.5*W34</f>
        <v>0</v>
      </c>
      <c r="L34" s="139"/>
      <c r="M34" s="134"/>
      <c r="N34" s="133"/>
      <c r="O34" s="134"/>
      <c r="P34" s="134"/>
      <c r="Q34" s="156"/>
      <c r="R34" s="139"/>
      <c r="S34" s="139"/>
      <c r="T34" s="138"/>
      <c r="U34" s="144"/>
      <c r="V34" s="1531"/>
      <c r="W34" s="124">
        <f t="shared" si="4"/>
        <v>0</v>
      </c>
      <c r="X34" s="139"/>
      <c r="Y34" s="133"/>
      <c r="Z34" s="134"/>
      <c r="AA34" s="139"/>
      <c r="AB34" s="138"/>
      <c r="AE34" s="384"/>
      <c r="AF34" s="384"/>
      <c r="AG34" s="384"/>
      <c r="AH34" s="384"/>
      <c r="AI34" s="384"/>
      <c r="AJ34" s="384"/>
      <c r="AK34" s="384"/>
      <c r="AL34" s="384"/>
      <c r="AM34" s="384"/>
      <c r="AN34" s="384"/>
      <c r="AO34" s="384"/>
      <c r="AP34" s="384"/>
      <c r="AQ34" s="384"/>
      <c r="AR34" s="384"/>
      <c r="AS34" s="384"/>
      <c r="AT34" s="384"/>
      <c r="AU34" s="384"/>
      <c r="AV34" s="384"/>
      <c r="AW34" s="384"/>
      <c r="AX34" s="384"/>
      <c r="AY34" s="384"/>
      <c r="AZ34" s="384"/>
      <c r="BA34" s="384"/>
      <c r="BB34" s="384"/>
      <c r="BC34" s="384"/>
      <c r="BD34" s="384"/>
      <c r="BE34" s="384"/>
      <c r="BF34" s="384"/>
      <c r="BG34" s="384"/>
      <c r="BH34" s="384"/>
      <c r="BI34" s="384"/>
      <c r="BJ34" s="384"/>
      <c r="BK34" s="384"/>
      <c r="BL34" s="384"/>
      <c r="BM34" s="384"/>
      <c r="BN34" s="384"/>
      <c r="BO34" s="384"/>
      <c r="BP34" s="384"/>
      <c r="BQ34" s="384"/>
      <c r="BR34" s="384"/>
      <c r="BS34" s="384"/>
      <c r="BT34" s="384"/>
      <c r="BU34" s="384"/>
      <c r="BV34" s="384"/>
      <c r="BW34" s="384"/>
      <c r="BX34" s="384"/>
      <c r="BY34" s="384"/>
      <c r="BZ34" s="384"/>
      <c r="CA34" s="384"/>
      <c r="CB34" s="384"/>
      <c r="CC34" s="384"/>
    </row>
    <row r="35" spans="1:81" s="68" customFormat="1">
      <c r="A35" s="1530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4"/>
        <v>0</v>
      </c>
      <c r="X35" s="139"/>
      <c r="Y35" s="134"/>
      <c r="Z35" s="134"/>
      <c r="AA35" s="139"/>
      <c r="AB35" s="138"/>
      <c r="AE35" s="384"/>
      <c r="AF35" s="384"/>
      <c r="AG35" s="384"/>
      <c r="AH35" s="384"/>
      <c r="AI35" s="384"/>
      <c r="AJ35" s="384"/>
      <c r="AK35" s="384"/>
      <c r="AL35" s="384"/>
      <c r="AM35" s="384"/>
      <c r="AN35" s="384"/>
      <c r="AO35" s="384"/>
      <c r="AP35" s="384"/>
      <c r="AQ35" s="384"/>
      <c r="AR35" s="384"/>
      <c r="AS35" s="384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84"/>
      <c r="BV35" s="384"/>
      <c r="BW35" s="384"/>
      <c r="BX35" s="384"/>
      <c r="BY35" s="384"/>
      <c r="BZ35" s="384"/>
      <c r="CA35" s="384"/>
      <c r="CB35" s="384"/>
      <c r="CC35" s="384"/>
    </row>
    <row r="36" spans="1:81" s="68" customFormat="1">
      <c r="A36" s="157"/>
      <c r="B36" s="152"/>
      <c r="C36" s="124">
        <f>D36*E36</f>
        <v>0</v>
      </c>
      <c r="D36" s="131"/>
      <c r="E36" s="1531"/>
      <c r="F36" s="124">
        <f>D36*E36</f>
        <v>0</v>
      </c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>
        <f t="shared" si="4"/>
        <v>0</v>
      </c>
      <c r="X36" s="139"/>
      <c r="Y36" s="134"/>
      <c r="Z36" s="134"/>
      <c r="AA36" s="139"/>
      <c r="AB36" s="138"/>
      <c r="AE36" s="384"/>
      <c r="AF36" s="384"/>
      <c r="AG36" s="384"/>
      <c r="AH36" s="384"/>
      <c r="AI36" s="384"/>
      <c r="AJ36" s="384"/>
      <c r="AK36" s="384"/>
      <c r="AL36" s="384"/>
      <c r="AM36" s="384"/>
      <c r="AN36" s="384"/>
      <c r="AO36" s="384"/>
      <c r="AP36" s="384"/>
      <c r="AQ36" s="384"/>
      <c r="AR36" s="384"/>
      <c r="AS36" s="384"/>
      <c r="AT36" s="384"/>
      <c r="AU36" s="384"/>
      <c r="AV36" s="384"/>
      <c r="AW36" s="384"/>
      <c r="AX36" s="384"/>
      <c r="AY36" s="384"/>
      <c r="AZ36" s="384"/>
      <c r="BA36" s="384"/>
      <c r="BB36" s="384"/>
      <c r="BC36" s="384"/>
      <c r="BD36" s="384"/>
      <c r="BE36" s="384"/>
      <c r="BF36" s="384"/>
      <c r="BG36" s="384"/>
      <c r="BH36" s="384"/>
      <c r="BI36" s="384"/>
      <c r="BJ36" s="384"/>
      <c r="BK36" s="384"/>
      <c r="BL36" s="384"/>
      <c r="BM36" s="384"/>
      <c r="BN36" s="384"/>
      <c r="BO36" s="384"/>
      <c r="BP36" s="384"/>
      <c r="BQ36" s="384"/>
      <c r="BR36" s="384"/>
      <c r="BS36" s="384"/>
      <c r="BT36" s="384"/>
      <c r="BU36" s="384"/>
      <c r="BV36" s="384"/>
      <c r="BW36" s="384"/>
      <c r="BX36" s="384"/>
      <c r="BY36" s="384"/>
      <c r="BZ36" s="384"/>
      <c r="CA36" s="384"/>
      <c r="CB36" s="384"/>
      <c r="CC36" s="384"/>
    </row>
    <row r="37" spans="1:81" s="68" customFormat="1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  <c r="AE37" s="384"/>
      <c r="AF37" s="384"/>
      <c r="AG37" s="384"/>
      <c r="AH37" s="384"/>
      <c r="AI37" s="384"/>
      <c r="AJ37" s="384"/>
      <c r="AK37" s="384"/>
      <c r="AL37" s="384"/>
      <c r="AM37" s="384"/>
      <c r="AN37" s="384"/>
      <c r="AO37" s="384"/>
      <c r="AP37" s="384"/>
      <c r="AQ37" s="384"/>
      <c r="AR37" s="384"/>
      <c r="AS37" s="384"/>
      <c r="AT37" s="384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84"/>
      <c r="BV37" s="384"/>
      <c r="BW37" s="384"/>
      <c r="BX37" s="384"/>
      <c r="BY37" s="384"/>
      <c r="BZ37" s="384"/>
      <c r="CA37" s="384"/>
      <c r="CB37" s="384"/>
      <c r="CC37" s="384"/>
    </row>
    <row r="38" spans="1:81" s="68" customFormat="1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4"/>
      <c r="AS38" s="384"/>
      <c r="AT38" s="384"/>
      <c r="AU38" s="384"/>
      <c r="AV38" s="384"/>
      <c r="AW38" s="384"/>
      <c r="AX38" s="384"/>
      <c r="AY38" s="384"/>
      <c r="AZ38" s="384"/>
      <c r="BA38" s="384"/>
      <c r="BB38" s="384"/>
      <c r="BC38" s="384"/>
      <c r="BD38" s="384"/>
      <c r="BE38" s="384"/>
      <c r="BF38" s="384"/>
      <c r="BG38" s="384"/>
      <c r="BH38" s="384"/>
      <c r="BI38" s="384"/>
      <c r="BJ38" s="384"/>
      <c r="BK38" s="384"/>
      <c r="BL38" s="384"/>
      <c r="BM38" s="384"/>
      <c r="BN38" s="384"/>
      <c r="BO38" s="384"/>
      <c r="BP38" s="384"/>
      <c r="BQ38" s="384"/>
      <c r="BR38" s="384"/>
      <c r="BS38" s="384"/>
      <c r="BT38" s="384"/>
      <c r="BU38" s="384"/>
      <c r="BV38" s="384"/>
      <c r="BW38" s="384"/>
      <c r="BX38" s="384"/>
      <c r="BY38" s="384"/>
      <c r="BZ38" s="384"/>
      <c r="CA38" s="384"/>
      <c r="CB38" s="384"/>
      <c r="CC38" s="384"/>
    </row>
    <row r="39" spans="1:81" s="68" customFormat="1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4"/>
      <c r="AS39" s="384"/>
      <c r="AT39" s="384"/>
      <c r="AU39" s="384"/>
      <c r="AV39" s="384"/>
      <c r="AW39" s="384"/>
      <c r="AX39" s="384"/>
      <c r="AY39" s="384"/>
      <c r="AZ39" s="384"/>
      <c r="BA39" s="384"/>
      <c r="BB39" s="384"/>
      <c r="BC39" s="384"/>
      <c r="BD39" s="384"/>
      <c r="BE39" s="384"/>
      <c r="BF39" s="384"/>
      <c r="BG39" s="384"/>
      <c r="BH39" s="384"/>
      <c r="BI39" s="384"/>
      <c r="BJ39" s="384"/>
      <c r="BK39" s="384"/>
      <c r="BL39" s="384"/>
      <c r="BM39" s="384"/>
      <c r="BN39" s="384"/>
      <c r="BO39" s="384"/>
      <c r="BP39" s="384"/>
      <c r="BQ39" s="384"/>
      <c r="BR39" s="384"/>
      <c r="BS39" s="384"/>
      <c r="BT39" s="384"/>
      <c r="BU39" s="384"/>
      <c r="BV39" s="384"/>
      <c r="BW39" s="384"/>
      <c r="BX39" s="384"/>
      <c r="BY39" s="384"/>
      <c r="BZ39" s="384"/>
      <c r="CA39" s="384"/>
      <c r="CB39" s="384"/>
      <c r="CC39" s="384"/>
    </row>
    <row r="40" spans="1:81" s="68" customFormat="1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4"/>
      <c r="AS40" s="384"/>
      <c r="AT40" s="384"/>
      <c r="AU40" s="384"/>
      <c r="AV40" s="384"/>
      <c r="AW40" s="384"/>
      <c r="AX40" s="384"/>
      <c r="AY40" s="384"/>
      <c r="AZ40" s="384"/>
      <c r="BA40" s="384"/>
      <c r="BB40" s="384"/>
      <c r="BC40" s="384"/>
      <c r="BD40" s="384"/>
      <c r="BE40" s="384"/>
      <c r="BF40" s="384"/>
      <c r="BG40" s="384"/>
      <c r="BH40" s="384"/>
      <c r="BI40" s="384"/>
      <c r="BJ40" s="384"/>
      <c r="BK40" s="384"/>
      <c r="BL40" s="384"/>
      <c r="BM40" s="384"/>
      <c r="BN40" s="384"/>
      <c r="BO40" s="384"/>
      <c r="BP40" s="384"/>
      <c r="BQ40" s="384"/>
      <c r="BR40" s="384"/>
      <c r="BS40" s="384"/>
      <c r="BT40" s="384"/>
      <c r="BU40" s="384"/>
      <c r="BV40" s="384"/>
      <c r="BW40" s="384"/>
      <c r="BX40" s="384"/>
      <c r="BY40" s="384"/>
      <c r="BZ40" s="384"/>
      <c r="CA40" s="384"/>
      <c r="CB40" s="384"/>
      <c r="CC40" s="384"/>
    </row>
    <row r="41" spans="1:81" s="68" customFormat="1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</row>
    <row r="42" spans="1:81" s="68" customFormat="1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4"/>
      <c r="AS42" s="384"/>
      <c r="AT42" s="384"/>
      <c r="AU42" s="384"/>
      <c r="AV42" s="384"/>
      <c r="AW42" s="384"/>
      <c r="AX42" s="384"/>
      <c r="AY42" s="384"/>
      <c r="AZ42" s="384"/>
      <c r="BA42" s="384"/>
      <c r="BB42" s="384"/>
      <c r="BC42" s="384"/>
      <c r="BD42" s="384"/>
      <c r="BE42" s="384"/>
      <c r="BF42" s="384"/>
      <c r="BG42" s="384"/>
      <c r="BH42" s="384"/>
      <c r="BI42" s="384"/>
      <c r="BJ42" s="384"/>
      <c r="BK42" s="384"/>
      <c r="BL42" s="384"/>
      <c r="BM42" s="384"/>
      <c r="BN42" s="384"/>
      <c r="BO42" s="384"/>
      <c r="BP42" s="384"/>
      <c r="BQ42" s="384"/>
      <c r="BR42" s="384"/>
      <c r="BS42" s="384"/>
      <c r="BT42" s="384"/>
      <c r="BU42" s="384"/>
      <c r="BV42" s="384"/>
      <c r="BW42" s="384"/>
      <c r="BX42" s="384"/>
      <c r="BY42" s="384"/>
      <c r="BZ42" s="384"/>
      <c r="CA42" s="384"/>
      <c r="CB42" s="384"/>
      <c r="CC42" s="384"/>
    </row>
    <row r="43" spans="1:81" s="68" customFormat="1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  <c r="AE43" s="384"/>
      <c r="AF43" s="384"/>
      <c r="AG43" s="384"/>
      <c r="AH43" s="384"/>
      <c r="AI43" s="384"/>
      <c r="AJ43" s="384"/>
      <c r="AK43" s="384"/>
      <c r="AL43" s="384"/>
      <c r="AM43" s="384"/>
      <c r="AN43" s="384"/>
      <c r="AO43" s="384"/>
      <c r="AP43" s="384"/>
      <c r="AQ43" s="384"/>
      <c r="AR43" s="384"/>
      <c r="AS43" s="384"/>
      <c r="AT43" s="384"/>
      <c r="AU43" s="384"/>
      <c r="AV43" s="384"/>
      <c r="AW43" s="384"/>
      <c r="AX43" s="384"/>
      <c r="AY43" s="384"/>
      <c r="AZ43" s="384"/>
      <c r="BA43" s="384"/>
      <c r="BB43" s="384"/>
      <c r="BC43" s="384"/>
      <c r="BD43" s="384"/>
      <c r="BE43" s="384"/>
      <c r="BF43" s="384"/>
      <c r="BG43" s="384"/>
      <c r="BH43" s="384"/>
      <c r="BI43" s="384"/>
      <c r="BJ43" s="384"/>
      <c r="BK43" s="384"/>
      <c r="BL43" s="384"/>
      <c r="BM43" s="384"/>
      <c r="BN43" s="384"/>
      <c r="BO43" s="384"/>
      <c r="BP43" s="384"/>
      <c r="BQ43" s="384"/>
      <c r="BR43" s="384"/>
      <c r="BS43" s="384"/>
      <c r="BT43" s="384"/>
      <c r="BU43" s="384"/>
      <c r="BV43" s="384"/>
      <c r="BW43" s="384"/>
      <c r="BX43" s="384"/>
      <c r="BY43" s="384"/>
      <c r="BZ43" s="384"/>
      <c r="CA43" s="384"/>
      <c r="CB43" s="384"/>
      <c r="CC43" s="384"/>
    </row>
    <row r="44" spans="1:81" s="68" customFormat="1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  <c r="AE44" s="384"/>
      <c r="AF44" s="384"/>
      <c r="AG44" s="384"/>
      <c r="AH44" s="384"/>
      <c r="AI44" s="384"/>
      <c r="AJ44" s="384"/>
      <c r="AK44" s="384"/>
      <c r="AL44" s="384"/>
      <c r="AM44" s="384"/>
      <c r="AN44" s="384"/>
      <c r="AO44" s="384"/>
      <c r="AP44" s="384"/>
      <c r="AQ44" s="384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4"/>
      <c r="BM44" s="384"/>
      <c r="BN44" s="384"/>
      <c r="BO44" s="384"/>
      <c r="BP44" s="384"/>
      <c r="BQ44" s="384"/>
      <c r="BR44" s="384"/>
      <c r="BS44" s="384"/>
      <c r="BT44" s="384"/>
      <c r="BU44" s="384"/>
      <c r="BV44" s="384"/>
      <c r="BW44" s="384"/>
      <c r="BX44" s="384"/>
      <c r="BY44" s="384"/>
      <c r="BZ44" s="384"/>
      <c r="CA44" s="384"/>
      <c r="CB44" s="384"/>
      <c r="CC44" s="384"/>
    </row>
    <row r="45" spans="1:81" s="68" customFormat="1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  <c r="AE45" s="384"/>
      <c r="AF45" s="384"/>
      <c r="AG45" s="384"/>
      <c r="AH45" s="384"/>
      <c r="AI45" s="384"/>
      <c r="AJ45" s="384"/>
      <c r="AK45" s="384"/>
      <c r="AL45" s="384"/>
      <c r="AM45" s="384"/>
      <c r="AN45" s="384"/>
      <c r="AO45" s="384"/>
      <c r="AP45" s="384"/>
      <c r="AQ45" s="384"/>
      <c r="AR45" s="384"/>
      <c r="AS45" s="384"/>
      <c r="AT45" s="384"/>
      <c r="AU45" s="384"/>
      <c r="AV45" s="384"/>
      <c r="AW45" s="384"/>
      <c r="AX45" s="384"/>
      <c r="AY45" s="384"/>
      <c r="AZ45" s="384"/>
      <c r="BA45" s="384"/>
      <c r="BB45" s="384"/>
      <c r="BC45" s="384"/>
      <c r="BD45" s="384"/>
      <c r="BE45" s="384"/>
      <c r="BF45" s="384"/>
      <c r="BG45" s="384"/>
      <c r="BH45" s="384"/>
      <c r="BI45" s="384"/>
      <c r="BJ45" s="384"/>
      <c r="BK45" s="384"/>
      <c r="BL45" s="384"/>
      <c r="BM45" s="384"/>
      <c r="BN45" s="384"/>
      <c r="BO45" s="384"/>
      <c r="BP45" s="384"/>
      <c r="BQ45" s="384"/>
      <c r="BR45" s="384"/>
      <c r="BS45" s="384"/>
      <c r="BT45" s="384"/>
      <c r="BU45" s="384"/>
      <c r="BV45" s="384"/>
      <c r="BW45" s="384"/>
      <c r="BX45" s="384"/>
      <c r="BY45" s="384"/>
      <c r="BZ45" s="384"/>
      <c r="CA45" s="384"/>
      <c r="CB45" s="384"/>
      <c r="CC45" s="384"/>
    </row>
    <row r="46" spans="1:81" s="68" customFormat="1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  <c r="AE46" s="384"/>
      <c r="AF46" s="384"/>
      <c r="AG46" s="384"/>
      <c r="AH46" s="384"/>
      <c r="AI46" s="384"/>
      <c r="AJ46" s="384"/>
      <c r="AK46" s="384"/>
      <c r="AL46" s="384"/>
      <c r="AM46" s="384"/>
      <c r="AN46" s="384"/>
      <c r="AO46" s="384"/>
      <c r="AP46" s="384"/>
      <c r="AQ46" s="384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4"/>
      <c r="BM46" s="384"/>
      <c r="BN46" s="384"/>
      <c r="BO46" s="384"/>
      <c r="BP46" s="384"/>
      <c r="BQ46" s="384"/>
      <c r="BR46" s="384"/>
      <c r="BS46" s="384"/>
      <c r="BT46" s="384"/>
      <c r="BU46" s="384"/>
      <c r="BV46" s="384"/>
      <c r="BW46" s="384"/>
      <c r="BX46" s="384"/>
      <c r="BY46" s="384"/>
      <c r="BZ46" s="384"/>
      <c r="CA46" s="384"/>
      <c r="CB46" s="384"/>
      <c r="CC46" s="384"/>
    </row>
    <row r="47" spans="1:81" s="68" customFormat="1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  <c r="AE47" s="384"/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384"/>
      <c r="AW47" s="384"/>
      <c r="AX47" s="384"/>
      <c r="AY47" s="384"/>
      <c r="AZ47" s="384"/>
      <c r="BA47" s="384"/>
      <c r="BB47" s="384"/>
      <c r="BC47" s="384"/>
      <c r="BD47" s="384"/>
      <c r="BE47" s="384"/>
      <c r="BF47" s="384"/>
      <c r="BG47" s="384"/>
      <c r="BH47" s="384"/>
      <c r="BI47" s="384"/>
      <c r="BJ47" s="384"/>
      <c r="BK47" s="384"/>
      <c r="BL47" s="384"/>
      <c r="BM47" s="384"/>
      <c r="BN47" s="384"/>
      <c r="BO47" s="384"/>
      <c r="BP47" s="384"/>
      <c r="BQ47" s="384"/>
      <c r="BR47" s="384"/>
      <c r="BS47" s="384"/>
      <c r="BT47" s="384"/>
      <c r="BU47" s="384"/>
      <c r="BV47" s="384"/>
      <c r="BW47" s="384"/>
      <c r="BX47" s="384"/>
      <c r="BY47" s="384"/>
      <c r="BZ47" s="384"/>
      <c r="CA47" s="384"/>
      <c r="CB47" s="384"/>
      <c r="CC47" s="384"/>
    </row>
    <row r="48" spans="1:81" s="68" customFormat="1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  <c r="AE48" s="384"/>
      <c r="AF48" s="384"/>
      <c r="AG48" s="384"/>
      <c r="AH48" s="384"/>
      <c r="AI48" s="384"/>
      <c r="AJ48" s="384"/>
      <c r="AK48" s="384"/>
      <c r="AL48" s="384"/>
      <c r="AM48" s="384"/>
      <c r="AN48" s="384"/>
      <c r="AO48" s="384"/>
      <c r="AP48" s="384"/>
      <c r="AQ48" s="384"/>
      <c r="AR48" s="384"/>
      <c r="AS48" s="384"/>
      <c r="AT48" s="384"/>
      <c r="AU48" s="384"/>
      <c r="AV48" s="384"/>
      <c r="AW48" s="384"/>
      <c r="AX48" s="384"/>
      <c r="AY48" s="384"/>
      <c r="AZ48" s="384"/>
      <c r="BA48" s="384"/>
      <c r="BB48" s="384"/>
      <c r="BC48" s="384"/>
      <c r="BD48" s="384"/>
      <c r="BE48" s="384"/>
      <c r="BF48" s="384"/>
      <c r="BG48" s="384"/>
      <c r="BH48" s="384"/>
      <c r="BI48" s="384"/>
      <c r="BJ48" s="384"/>
      <c r="BK48" s="384"/>
      <c r="BL48" s="384"/>
      <c r="BM48" s="384"/>
      <c r="BN48" s="384"/>
      <c r="BO48" s="384"/>
      <c r="BP48" s="384"/>
      <c r="BQ48" s="384"/>
      <c r="BR48" s="384"/>
      <c r="BS48" s="384"/>
      <c r="BT48" s="384"/>
      <c r="BU48" s="384"/>
      <c r="BV48" s="384"/>
      <c r="BW48" s="384"/>
      <c r="BX48" s="384"/>
      <c r="BY48" s="384"/>
      <c r="BZ48" s="384"/>
      <c r="CA48" s="384"/>
      <c r="CB48" s="384"/>
      <c r="CC48" s="384"/>
    </row>
    <row r="49" spans="1:81" s="68" customFormat="1">
      <c r="A49" s="157"/>
      <c r="B49" s="152"/>
      <c r="C49" s="124"/>
      <c r="D49" s="131"/>
      <c r="E49" s="1531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4"/>
      <c r="Q49" s="156"/>
      <c r="R49" s="139"/>
      <c r="S49" s="139"/>
      <c r="T49" s="138"/>
      <c r="U49" s="144"/>
      <c r="V49" s="1531"/>
      <c r="W49" s="124"/>
      <c r="X49" s="139"/>
      <c r="Y49" s="134"/>
      <c r="Z49" s="134"/>
      <c r="AA49" s="139"/>
      <c r="AB49" s="138"/>
      <c r="AE49" s="384"/>
      <c r="AF49" s="384"/>
      <c r="AG49" s="384"/>
      <c r="AH49" s="384"/>
      <c r="AI49" s="384"/>
      <c r="AJ49" s="384"/>
      <c r="AK49" s="384"/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  <c r="BC49" s="384"/>
      <c r="BD49" s="384"/>
      <c r="BE49" s="384"/>
      <c r="BF49" s="384"/>
      <c r="BG49" s="384"/>
      <c r="BH49" s="384"/>
      <c r="BI49" s="384"/>
      <c r="BJ49" s="384"/>
      <c r="BK49" s="384"/>
      <c r="BL49" s="384"/>
      <c r="BM49" s="384"/>
      <c r="BN49" s="384"/>
      <c r="BO49" s="384"/>
      <c r="BP49" s="384"/>
      <c r="BQ49" s="384"/>
      <c r="BR49" s="384"/>
      <c r="BS49" s="384"/>
      <c r="BT49" s="384"/>
      <c r="BU49" s="384"/>
      <c r="BV49" s="384"/>
      <c r="BW49" s="384"/>
      <c r="BX49" s="384"/>
      <c r="BY49" s="384"/>
      <c r="BZ49" s="384"/>
      <c r="CA49" s="384"/>
      <c r="CB49" s="384"/>
      <c r="CC49" s="384"/>
    </row>
    <row r="50" spans="1:81" s="68" customFormat="1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ref="W50:W59" si="5">U50*V50</f>
        <v>0</v>
      </c>
      <c r="X50" s="139"/>
      <c r="Y50" s="134"/>
      <c r="Z50" s="139"/>
      <c r="AA50" s="139"/>
      <c r="AB50" s="138"/>
      <c r="AE50" s="384"/>
      <c r="AF50" s="384"/>
      <c r="AG50" s="384"/>
      <c r="AH50" s="384"/>
      <c r="AI50" s="384"/>
      <c r="AJ50" s="384"/>
      <c r="AK50" s="384"/>
      <c r="AL50" s="384"/>
      <c r="AM50" s="384"/>
      <c r="AN50" s="384"/>
      <c r="AO50" s="384"/>
      <c r="AP50" s="384"/>
      <c r="AQ50" s="384"/>
      <c r="AR50" s="384"/>
      <c r="AS50" s="384"/>
      <c r="AT50" s="384"/>
      <c r="AU50" s="384"/>
      <c r="AV50" s="384"/>
      <c r="AW50" s="384"/>
      <c r="AX50" s="384"/>
      <c r="AY50" s="384"/>
      <c r="AZ50" s="384"/>
      <c r="BA50" s="384"/>
      <c r="BB50" s="384"/>
      <c r="BC50" s="384"/>
      <c r="BD50" s="384"/>
      <c r="BE50" s="384"/>
      <c r="BF50" s="384"/>
      <c r="BG50" s="384"/>
      <c r="BH50" s="384"/>
      <c r="BI50" s="384"/>
      <c r="BJ50" s="384"/>
      <c r="BK50" s="384"/>
      <c r="BL50" s="384"/>
      <c r="BM50" s="384"/>
      <c r="BN50" s="384"/>
      <c r="BO50" s="384"/>
      <c r="BP50" s="384"/>
      <c r="BQ50" s="384"/>
      <c r="BR50" s="384"/>
      <c r="BS50" s="384"/>
      <c r="BT50" s="384"/>
      <c r="BU50" s="384"/>
      <c r="BV50" s="384"/>
      <c r="BW50" s="384"/>
      <c r="BX50" s="384"/>
      <c r="BY50" s="384"/>
      <c r="BZ50" s="384"/>
      <c r="CA50" s="384"/>
      <c r="CB50" s="384"/>
      <c r="CC50" s="384"/>
    </row>
    <row r="51" spans="1:81" s="68" customFormat="1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5"/>
        <v>0</v>
      </c>
      <c r="X51" s="139"/>
      <c r="Y51" s="134"/>
      <c r="Z51" s="139"/>
      <c r="AA51" s="139"/>
      <c r="AB51" s="138"/>
      <c r="AE51" s="384"/>
      <c r="AF51" s="384"/>
      <c r="AG51" s="384"/>
      <c r="AH51" s="384"/>
      <c r="AI51" s="384"/>
      <c r="AJ51" s="384"/>
      <c r="AK51" s="384"/>
      <c r="AL51" s="384"/>
      <c r="AM51" s="384"/>
      <c r="AN51" s="384"/>
      <c r="AO51" s="384"/>
      <c r="AP51" s="384"/>
      <c r="AQ51" s="384"/>
      <c r="AR51" s="384"/>
      <c r="AS51" s="384"/>
      <c r="AT51" s="384"/>
      <c r="AU51" s="384"/>
      <c r="AV51" s="384"/>
      <c r="AW51" s="384"/>
      <c r="AX51" s="384"/>
      <c r="AY51" s="384"/>
      <c r="AZ51" s="384"/>
      <c r="BA51" s="384"/>
      <c r="BB51" s="384"/>
      <c r="BC51" s="384"/>
      <c r="BD51" s="384"/>
      <c r="BE51" s="384"/>
      <c r="BF51" s="384"/>
      <c r="BG51" s="384"/>
      <c r="BH51" s="384"/>
      <c r="BI51" s="384"/>
      <c r="BJ51" s="384"/>
      <c r="BK51" s="384"/>
      <c r="BL51" s="384"/>
      <c r="BM51" s="384"/>
      <c r="BN51" s="384"/>
      <c r="BO51" s="384"/>
      <c r="BP51" s="384"/>
      <c r="BQ51" s="384"/>
      <c r="BR51" s="384"/>
      <c r="BS51" s="384"/>
      <c r="BT51" s="384"/>
      <c r="BU51" s="384"/>
      <c r="BV51" s="384"/>
      <c r="BW51" s="384"/>
      <c r="BX51" s="384"/>
      <c r="BY51" s="384"/>
      <c r="BZ51" s="384"/>
      <c r="CA51" s="384"/>
      <c r="CB51" s="384"/>
      <c r="CC51" s="384"/>
    </row>
    <row r="52" spans="1:81" s="68" customFormat="1">
      <c r="A52" s="157"/>
      <c r="B52" s="152"/>
      <c r="C52" s="124">
        <f>D52*E52</f>
        <v>0</v>
      </c>
      <c r="D52" s="131"/>
      <c r="E52" s="1531"/>
      <c r="F52" s="124">
        <f>D52*E52</f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31"/>
      <c r="W52" s="124">
        <f t="shared" si="5"/>
        <v>0</v>
      </c>
      <c r="X52" s="139"/>
      <c r="Y52" s="134"/>
      <c r="Z52" s="139"/>
      <c r="AA52" s="139"/>
      <c r="AB52" s="138"/>
      <c r="AE52" s="384"/>
      <c r="AF52" s="384"/>
      <c r="AG52" s="384"/>
      <c r="AH52" s="384"/>
      <c r="AI52" s="384"/>
      <c r="AJ52" s="384"/>
      <c r="AK52" s="384"/>
      <c r="AL52" s="384"/>
      <c r="AM52" s="384"/>
      <c r="AN52" s="384"/>
      <c r="AO52" s="384"/>
      <c r="AP52" s="384"/>
      <c r="AQ52" s="384"/>
      <c r="AR52" s="384"/>
      <c r="AS52" s="384"/>
      <c r="AT52" s="384"/>
      <c r="AU52" s="384"/>
      <c r="AV52" s="384"/>
      <c r="AW52" s="384"/>
      <c r="AX52" s="384"/>
      <c r="AY52" s="384"/>
      <c r="AZ52" s="384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N52" s="384"/>
      <c r="BO52" s="384"/>
      <c r="BP52" s="384"/>
      <c r="BQ52" s="384"/>
      <c r="BR52" s="384"/>
      <c r="BS52" s="384"/>
      <c r="BT52" s="384"/>
      <c r="BU52" s="384"/>
      <c r="BV52" s="384"/>
      <c r="BW52" s="384"/>
      <c r="BX52" s="384"/>
      <c r="BY52" s="384"/>
      <c r="BZ52" s="384"/>
      <c r="CA52" s="384"/>
      <c r="CB52" s="384"/>
      <c r="CC52" s="384"/>
    </row>
    <row r="53" spans="1:81" s="68" customFormat="1">
      <c r="A53" s="157"/>
      <c r="B53" s="152"/>
      <c r="C53" s="124"/>
      <c r="D53" s="131"/>
      <c r="E53" s="157"/>
      <c r="F53" s="124"/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5"/>
        <v>0</v>
      </c>
      <c r="X53" s="139"/>
      <c r="Y53" s="134"/>
      <c r="Z53" s="139"/>
      <c r="AA53" s="139"/>
      <c r="AB53" s="138"/>
      <c r="AE53" s="384"/>
      <c r="AF53" s="384"/>
      <c r="AG53" s="384"/>
      <c r="AH53" s="384"/>
      <c r="AI53" s="384"/>
      <c r="AJ53" s="384"/>
      <c r="AK53" s="384"/>
      <c r="AL53" s="384"/>
      <c r="AM53" s="384"/>
      <c r="AN53" s="384"/>
      <c r="AO53" s="384"/>
      <c r="AP53" s="384"/>
      <c r="AQ53" s="384"/>
      <c r="AR53" s="384"/>
      <c r="AS53" s="384"/>
      <c r="AT53" s="384"/>
      <c r="AU53" s="384"/>
      <c r="AV53" s="384"/>
      <c r="AW53" s="384"/>
      <c r="AX53" s="384"/>
      <c r="AY53" s="384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M53" s="384"/>
      <c r="BN53" s="384"/>
      <c r="BO53" s="384"/>
      <c r="BP53" s="384"/>
      <c r="BQ53" s="384"/>
      <c r="BR53" s="384"/>
      <c r="BS53" s="384"/>
      <c r="BT53" s="384"/>
      <c r="BU53" s="384"/>
      <c r="BV53" s="384"/>
      <c r="BW53" s="384"/>
      <c r="BX53" s="384"/>
      <c r="BY53" s="384"/>
      <c r="BZ53" s="384"/>
      <c r="CA53" s="384"/>
      <c r="CB53" s="384"/>
      <c r="CC53" s="384"/>
    </row>
    <row r="54" spans="1:81" s="68" customFormat="1">
      <c r="A54" s="1530"/>
      <c r="B54" s="152"/>
      <c r="C54" s="124">
        <f t="shared" ref="C54:C59" si="6">D54*E54</f>
        <v>0</v>
      </c>
      <c r="D54" s="131"/>
      <c r="E54" s="157"/>
      <c r="F54" s="124">
        <f t="shared" ref="F54:F59" si="7">D54*E54</f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5"/>
        <v>0</v>
      </c>
      <c r="X54" s="139"/>
      <c r="Y54" s="134"/>
      <c r="Z54" s="139"/>
      <c r="AA54" s="139"/>
      <c r="AB54" s="138"/>
      <c r="AE54" s="384"/>
      <c r="AF54" s="384"/>
      <c r="AG54" s="384"/>
      <c r="AH54" s="384"/>
      <c r="AI54" s="384"/>
      <c r="AJ54" s="384"/>
      <c r="AK54" s="384"/>
      <c r="AL54" s="384"/>
      <c r="AM54" s="384"/>
      <c r="AN54" s="384"/>
      <c r="AO54" s="384"/>
      <c r="AP54" s="384"/>
      <c r="AQ54" s="384"/>
      <c r="AR54" s="384"/>
      <c r="AS54" s="384"/>
      <c r="AT54" s="384"/>
      <c r="AU54" s="384"/>
      <c r="AV54" s="384"/>
      <c r="AW54" s="384"/>
      <c r="AX54" s="384"/>
      <c r="AY54" s="384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M54" s="384"/>
      <c r="BN54" s="384"/>
      <c r="BO54" s="384"/>
      <c r="BP54" s="384"/>
      <c r="BQ54" s="384"/>
      <c r="BR54" s="384"/>
      <c r="BS54" s="384"/>
      <c r="BT54" s="384"/>
      <c r="BU54" s="384"/>
      <c r="BV54" s="384"/>
      <c r="BW54" s="384"/>
      <c r="BX54" s="384"/>
      <c r="BY54" s="384"/>
      <c r="BZ54" s="384"/>
      <c r="CA54" s="384"/>
      <c r="CB54" s="384"/>
      <c r="CC54" s="384"/>
    </row>
    <row r="55" spans="1:81" s="68" customFormat="1">
      <c r="A55" s="157"/>
      <c r="B55" s="152"/>
      <c r="C55" s="124">
        <f t="shared" si="6"/>
        <v>0</v>
      </c>
      <c r="D55" s="131"/>
      <c r="E55" s="146"/>
      <c r="F55" s="124">
        <f t="shared" si="7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46"/>
      <c r="W55" s="124">
        <f t="shared" si="5"/>
        <v>0</v>
      </c>
      <c r="X55" s="139"/>
      <c r="Y55" s="134"/>
      <c r="Z55" s="139"/>
      <c r="AA55" s="139"/>
      <c r="AB55" s="138"/>
      <c r="AE55" s="384"/>
      <c r="AF55" s="384"/>
      <c r="AG55" s="384"/>
      <c r="AH55" s="384"/>
      <c r="AI55" s="384"/>
      <c r="AJ55" s="384"/>
      <c r="AK55" s="384"/>
      <c r="AL55" s="384"/>
      <c r="AM55" s="384"/>
      <c r="AN55" s="384"/>
      <c r="AO55" s="384"/>
      <c r="AP55" s="384"/>
      <c r="AQ55" s="384"/>
      <c r="AR55" s="384"/>
      <c r="AS55" s="384"/>
      <c r="AT55" s="384"/>
      <c r="AU55" s="384"/>
      <c r="AV55" s="384"/>
      <c r="AW55" s="384"/>
      <c r="AX55" s="384"/>
      <c r="AY55" s="384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M55" s="384"/>
      <c r="BN55" s="384"/>
      <c r="BO55" s="384"/>
      <c r="BP55" s="384"/>
      <c r="BQ55" s="384"/>
      <c r="BR55" s="384"/>
      <c r="BS55" s="384"/>
      <c r="BT55" s="384"/>
      <c r="BU55" s="384"/>
      <c r="BV55" s="384"/>
      <c r="BW55" s="384"/>
      <c r="BX55" s="384"/>
      <c r="BY55" s="384"/>
      <c r="BZ55" s="384"/>
      <c r="CA55" s="384"/>
      <c r="CB55" s="384"/>
      <c r="CC55" s="384"/>
    </row>
    <row r="56" spans="1:81" s="68" customFormat="1">
      <c r="A56" s="157"/>
      <c r="B56" s="152"/>
      <c r="C56" s="124">
        <f t="shared" si="6"/>
        <v>0</v>
      </c>
      <c r="D56" s="131"/>
      <c r="E56" s="157"/>
      <c r="F56" s="124">
        <f t="shared" si="7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57"/>
      <c r="W56" s="124">
        <f t="shared" si="5"/>
        <v>0</v>
      </c>
      <c r="X56" s="139"/>
      <c r="Y56" s="134"/>
      <c r="Z56" s="139"/>
      <c r="AA56" s="139"/>
      <c r="AB56" s="138"/>
      <c r="AE56" s="384"/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384"/>
      <c r="AW56" s="384"/>
      <c r="AX56" s="384"/>
      <c r="AY56" s="384"/>
      <c r="AZ56" s="384"/>
      <c r="BA56" s="384"/>
      <c r="BB56" s="384"/>
      <c r="BC56" s="384"/>
      <c r="BD56" s="384"/>
      <c r="BE56" s="384"/>
      <c r="BF56" s="384"/>
      <c r="BG56" s="384"/>
      <c r="BH56" s="384"/>
      <c r="BI56" s="384"/>
      <c r="BJ56" s="384"/>
      <c r="BK56" s="384"/>
      <c r="BL56" s="384"/>
      <c r="BM56" s="384"/>
      <c r="BN56" s="384"/>
      <c r="BO56" s="384"/>
      <c r="BP56" s="384"/>
      <c r="BQ56" s="384"/>
      <c r="BR56" s="384"/>
      <c r="BS56" s="384"/>
      <c r="BT56" s="384"/>
      <c r="BU56" s="384"/>
      <c r="BV56" s="384"/>
      <c r="BW56" s="384"/>
      <c r="BX56" s="384"/>
      <c r="BY56" s="384"/>
      <c r="BZ56" s="384"/>
      <c r="CA56" s="384"/>
      <c r="CB56" s="384"/>
      <c r="CC56" s="384"/>
    </row>
    <row r="57" spans="1:81" s="68" customFormat="1">
      <c r="A57" s="157"/>
      <c r="B57" s="152"/>
      <c r="C57" s="124">
        <f t="shared" si="6"/>
        <v>0</v>
      </c>
      <c r="D57" s="131"/>
      <c r="E57" s="146"/>
      <c r="F57" s="124">
        <f t="shared" si="7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46"/>
      <c r="W57" s="124">
        <f t="shared" si="5"/>
        <v>0</v>
      </c>
      <c r="X57" s="139"/>
      <c r="Y57" s="134"/>
      <c r="Z57" s="139"/>
      <c r="AA57" s="139"/>
      <c r="AB57" s="138"/>
      <c r="AE57" s="384"/>
      <c r="AF57" s="384"/>
      <c r="AG57" s="384"/>
      <c r="AH57" s="384"/>
      <c r="AI57" s="384"/>
      <c r="AJ57" s="384"/>
      <c r="AK57" s="384"/>
      <c r="AL57" s="384"/>
      <c r="AM57" s="384"/>
      <c r="AN57" s="384"/>
      <c r="AO57" s="384"/>
      <c r="AP57" s="384"/>
      <c r="AQ57" s="384"/>
      <c r="AR57" s="384"/>
      <c r="AS57" s="384"/>
      <c r="AT57" s="384"/>
      <c r="AU57" s="384"/>
      <c r="AV57" s="384"/>
      <c r="AW57" s="384"/>
      <c r="AX57" s="384"/>
      <c r="AY57" s="384"/>
      <c r="AZ57" s="384"/>
      <c r="BA57" s="384"/>
      <c r="BB57" s="384"/>
      <c r="BC57" s="384"/>
      <c r="BD57" s="384"/>
      <c r="BE57" s="384"/>
      <c r="BF57" s="384"/>
      <c r="BG57" s="384"/>
      <c r="BH57" s="384"/>
      <c r="BI57" s="384"/>
      <c r="BJ57" s="384"/>
      <c r="BK57" s="384"/>
      <c r="BL57" s="384"/>
      <c r="BM57" s="384"/>
      <c r="BN57" s="384"/>
      <c r="BO57" s="384"/>
      <c r="BP57" s="384"/>
      <c r="BQ57" s="384"/>
      <c r="BR57" s="384"/>
      <c r="BS57" s="384"/>
      <c r="BT57" s="384"/>
      <c r="BU57" s="384"/>
      <c r="BV57" s="384"/>
      <c r="BW57" s="384"/>
      <c r="BX57" s="384"/>
      <c r="BY57" s="384"/>
      <c r="BZ57" s="384"/>
      <c r="CA57" s="384"/>
      <c r="CB57" s="384"/>
      <c r="CC57" s="384"/>
    </row>
    <row r="58" spans="1:81" s="68" customFormat="1">
      <c r="A58" s="157"/>
      <c r="B58" s="152"/>
      <c r="C58" s="124">
        <f t="shared" si="6"/>
        <v>0</v>
      </c>
      <c r="D58" s="131"/>
      <c r="E58" s="157"/>
      <c r="F58" s="124">
        <f t="shared" si="7"/>
        <v>0</v>
      </c>
      <c r="G58" s="134"/>
      <c r="H58" s="134"/>
      <c r="I58" s="135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57"/>
      <c r="W58" s="124">
        <f t="shared" si="5"/>
        <v>0</v>
      </c>
      <c r="X58" s="139"/>
      <c r="Y58" s="134"/>
      <c r="Z58" s="139"/>
      <c r="AA58" s="139"/>
      <c r="AB58" s="138"/>
      <c r="AE58" s="384"/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384"/>
      <c r="BC58" s="384"/>
      <c r="BD58" s="384"/>
      <c r="BE58" s="384"/>
      <c r="BF58" s="384"/>
      <c r="BG58" s="384"/>
      <c r="BH58" s="384"/>
      <c r="BI58" s="384"/>
      <c r="BJ58" s="384"/>
      <c r="BK58" s="384"/>
      <c r="BL58" s="384"/>
      <c r="BM58" s="384"/>
      <c r="BN58" s="384"/>
      <c r="BO58" s="384"/>
      <c r="BP58" s="384"/>
      <c r="BQ58" s="384"/>
      <c r="BR58" s="384"/>
      <c r="BS58" s="384"/>
      <c r="BT58" s="384"/>
      <c r="BU58" s="384"/>
      <c r="BV58" s="384"/>
      <c r="BW58" s="384"/>
      <c r="BX58" s="384"/>
      <c r="BY58" s="384"/>
      <c r="BZ58" s="384"/>
      <c r="CA58" s="384"/>
      <c r="CB58" s="384"/>
      <c r="CC58" s="384"/>
    </row>
    <row r="59" spans="1:81" s="68" customFormat="1">
      <c r="A59" s="157"/>
      <c r="B59" s="158"/>
      <c r="C59" s="124">
        <f t="shared" si="6"/>
        <v>0</v>
      </c>
      <c r="D59" s="131"/>
      <c r="E59" s="132"/>
      <c r="F59" s="124">
        <f t="shared" si="7"/>
        <v>0</v>
      </c>
      <c r="G59" s="134"/>
      <c r="H59" s="134"/>
      <c r="I59" s="134"/>
      <c r="J59" s="134"/>
      <c r="K59" s="134"/>
      <c r="L59" s="139"/>
      <c r="M59" s="134"/>
      <c r="N59" s="134"/>
      <c r="O59" s="134"/>
      <c r="P59" s="139"/>
      <c r="Q59" s="134"/>
      <c r="R59" s="139"/>
      <c r="S59" s="139"/>
      <c r="T59" s="138"/>
      <c r="U59" s="144"/>
      <c r="V59" s="132"/>
      <c r="W59" s="124">
        <f t="shared" si="5"/>
        <v>0</v>
      </c>
      <c r="X59" s="139"/>
      <c r="Y59" s="134"/>
      <c r="Z59" s="139"/>
      <c r="AA59" s="139"/>
      <c r="AB59" s="138"/>
      <c r="AE59" s="384"/>
      <c r="AF59" s="384"/>
      <c r="AG59" s="384"/>
      <c r="AH59" s="384"/>
      <c r="AI59" s="384"/>
      <c r="AJ59" s="384"/>
      <c r="AK59" s="384"/>
      <c r="AL59" s="384"/>
      <c r="AM59" s="384"/>
      <c r="AN59" s="384"/>
      <c r="AO59" s="384"/>
      <c r="AP59" s="384"/>
      <c r="AQ59" s="384"/>
      <c r="AR59" s="384"/>
      <c r="AS59" s="384"/>
      <c r="AT59" s="384"/>
      <c r="AU59" s="384"/>
      <c r="AV59" s="384"/>
      <c r="AW59" s="384"/>
      <c r="AX59" s="384"/>
      <c r="AY59" s="384"/>
      <c r="AZ59" s="384"/>
      <c r="BA59" s="384"/>
      <c r="BB59" s="384"/>
      <c r="BC59" s="384"/>
      <c r="BD59" s="384"/>
      <c r="BE59" s="384"/>
      <c r="BF59" s="384"/>
      <c r="BG59" s="384"/>
      <c r="BH59" s="384"/>
      <c r="BI59" s="384"/>
      <c r="BJ59" s="384"/>
      <c r="BK59" s="384"/>
      <c r="BL59" s="384"/>
      <c r="BM59" s="384"/>
      <c r="BN59" s="384"/>
      <c r="BO59" s="384"/>
      <c r="BP59" s="384"/>
      <c r="BQ59" s="384"/>
      <c r="BR59" s="384"/>
      <c r="BS59" s="384"/>
      <c r="BT59" s="384"/>
      <c r="BU59" s="384"/>
      <c r="BV59" s="384"/>
      <c r="BW59" s="384"/>
      <c r="BX59" s="384"/>
      <c r="BY59" s="384"/>
      <c r="BZ59" s="384"/>
      <c r="CA59" s="384"/>
      <c r="CB59" s="384"/>
      <c r="CC59" s="384"/>
    </row>
    <row r="60" spans="1:81" s="68" customFormat="1">
      <c r="A60" s="159"/>
      <c r="B60" s="160" t="s">
        <v>17</v>
      </c>
      <c r="C60" s="1535">
        <f>SUM(C15:C59)</f>
        <v>2700480</v>
      </c>
      <c r="D60" s="1536"/>
      <c r="E60" s="1536"/>
      <c r="F60" s="1536">
        <f>SUM(F15:F59)</f>
        <v>1489920</v>
      </c>
      <c r="G60" s="1536">
        <f t="shared" ref="G60:N60" si="8">SUM(G16:G59)</f>
        <v>0</v>
      </c>
      <c r="H60" s="1536">
        <f t="shared" si="8"/>
        <v>0</v>
      </c>
      <c r="I60" s="1536">
        <f t="shared" si="8"/>
        <v>0</v>
      </c>
      <c r="J60" s="1536">
        <f t="shared" si="8"/>
        <v>0</v>
      </c>
      <c r="K60" s="1536">
        <f>SUM(K15:K59)</f>
        <v>0</v>
      </c>
      <c r="L60" s="1536">
        <f>SUM(L15:L59)</f>
        <v>0</v>
      </c>
      <c r="M60" s="1536">
        <f t="shared" si="8"/>
        <v>0</v>
      </c>
      <c r="N60" s="1536">
        <f t="shared" si="8"/>
        <v>0</v>
      </c>
      <c r="O60" s="1536">
        <f>SUM(O14:O59)</f>
        <v>0</v>
      </c>
      <c r="P60" s="1536">
        <f>SUM(P14:P59)</f>
        <v>0</v>
      </c>
      <c r="Q60" s="1536">
        <f>SUM(Q14:Q59)</f>
        <v>0</v>
      </c>
      <c r="R60" s="1536">
        <f>SUM(R14:R59)</f>
        <v>0</v>
      </c>
      <c r="S60" s="1536">
        <f>SUM(S16:S59)</f>
        <v>0</v>
      </c>
      <c r="T60" s="1537">
        <f>W60-L60</f>
        <v>698400</v>
      </c>
      <c r="U60" s="1536"/>
      <c r="V60" s="1536"/>
      <c r="W60" s="1536">
        <f>SUM(W14:W59)</f>
        <v>698400</v>
      </c>
      <c r="X60" s="1536">
        <f>SUM(X16:X59)</f>
        <v>0</v>
      </c>
      <c r="Y60" s="1536">
        <f>SUM(Y16:Y59)</f>
        <v>0</v>
      </c>
      <c r="Z60" s="1536">
        <f>SUM(Z16:Z59)</f>
        <v>0</v>
      </c>
      <c r="AA60" s="1536">
        <v>0</v>
      </c>
      <c r="AB60" s="1536">
        <f>SUM(AB16:AB59)</f>
        <v>0</v>
      </c>
      <c r="AE60" s="384"/>
      <c r="AF60" s="384"/>
      <c r="AG60" s="384"/>
      <c r="AH60" s="384"/>
      <c r="AI60" s="384"/>
      <c r="AJ60" s="384"/>
      <c r="AK60" s="384"/>
      <c r="AL60" s="384"/>
      <c r="AM60" s="384"/>
      <c r="AN60" s="384"/>
      <c r="AO60" s="384"/>
      <c r="AP60" s="384"/>
      <c r="AQ60" s="384"/>
      <c r="AR60" s="384"/>
      <c r="AS60" s="384"/>
      <c r="AT60" s="384"/>
      <c r="AU60" s="384"/>
      <c r="AV60" s="384"/>
      <c r="AW60" s="384"/>
      <c r="AX60" s="384"/>
      <c r="AY60" s="384"/>
      <c r="AZ60" s="384"/>
      <c r="BA60" s="384"/>
      <c r="BB60" s="384"/>
      <c r="BC60" s="384"/>
      <c r="BD60" s="384"/>
      <c r="BE60" s="384"/>
      <c r="BF60" s="384"/>
      <c r="BG60" s="384"/>
      <c r="BH60" s="384"/>
      <c r="BI60" s="384"/>
      <c r="BJ60" s="384"/>
      <c r="BK60" s="384"/>
      <c r="BL60" s="384"/>
      <c r="BM60" s="384"/>
      <c r="BN60" s="384"/>
      <c r="BO60" s="384"/>
      <c r="BP60" s="384"/>
      <c r="BQ60" s="384"/>
      <c r="BR60" s="384"/>
      <c r="BS60" s="384"/>
      <c r="BT60" s="384"/>
      <c r="BU60" s="384"/>
      <c r="BV60" s="384"/>
      <c r="BW60" s="384"/>
      <c r="BX60" s="384"/>
      <c r="BY60" s="384"/>
      <c r="BZ60" s="384"/>
      <c r="CA60" s="384"/>
      <c r="CB60" s="384"/>
      <c r="CC60" s="384"/>
    </row>
    <row r="61" spans="1:81" s="68" customFormat="1">
      <c r="A61" s="161"/>
      <c r="B61" s="162"/>
      <c r="C61" s="67"/>
      <c r="D61" s="67"/>
      <c r="E61" s="67"/>
      <c r="F61" s="163"/>
      <c r="G61" s="163"/>
      <c r="H61" s="163"/>
      <c r="I61" s="163"/>
      <c r="J61" s="163"/>
      <c r="K61" s="163"/>
      <c r="L61" s="163"/>
      <c r="M61" s="163"/>
      <c r="N61" s="163"/>
      <c r="O61" s="67"/>
      <c r="P61" s="163"/>
      <c r="Q61" s="67"/>
      <c r="R61" s="67"/>
      <c r="U61" s="67"/>
      <c r="V61" s="67"/>
      <c r="W61" s="163"/>
      <c r="AE61" s="384"/>
      <c r="AF61" s="384"/>
      <c r="AG61" s="384"/>
      <c r="AH61" s="384"/>
      <c r="AI61" s="384"/>
      <c r="AJ61" s="384"/>
      <c r="AK61" s="384"/>
      <c r="AL61" s="384"/>
      <c r="AM61" s="384"/>
      <c r="AN61" s="384"/>
      <c r="AO61" s="384"/>
      <c r="AP61" s="384"/>
      <c r="AQ61" s="384"/>
      <c r="AR61" s="384"/>
      <c r="AS61" s="384"/>
      <c r="AT61" s="384"/>
      <c r="AU61" s="384"/>
      <c r="AV61" s="384"/>
      <c r="AW61" s="384"/>
      <c r="AX61" s="384"/>
      <c r="AY61" s="384"/>
      <c r="AZ61" s="384"/>
      <c r="BA61" s="384"/>
      <c r="BB61" s="384"/>
      <c r="BC61" s="384"/>
      <c r="BD61" s="384"/>
      <c r="BE61" s="384"/>
      <c r="BF61" s="384"/>
      <c r="BG61" s="384"/>
      <c r="BH61" s="384"/>
      <c r="BI61" s="384"/>
      <c r="BJ61" s="384"/>
      <c r="BK61" s="384"/>
      <c r="BL61" s="384"/>
      <c r="BM61" s="384"/>
      <c r="BN61" s="384"/>
      <c r="BO61" s="384"/>
      <c r="BP61" s="384"/>
      <c r="BQ61" s="384"/>
      <c r="BR61" s="384"/>
      <c r="BS61" s="384"/>
      <c r="BT61" s="384"/>
      <c r="BU61" s="384"/>
      <c r="BV61" s="384"/>
      <c r="BW61" s="384"/>
      <c r="BX61" s="384"/>
      <c r="BY61" s="384"/>
      <c r="BZ61" s="384"/>
      <c r="CA61" s="384"/>
      <c r="CB61" s="384"/>
      <c r="CC61" s="384"/>
    </row>
    <row r="62" spans="1:81" s="68" customFormat="1">
      <c r="A62" s="164"/>
      <c r="B62" s="162"/>
      <c r="C62" s="67"/>
      <c r="D62" s="67"/>
      <c r="E62" s="67"/>
      <c r="F62" s="163"/>
      <c r="G62" s="163"/>
      <c r="H62" s="163"/>
      <c r="I62" s="163"/>
      <c r="J62" s="163"/>
      <c r="K62" s="163"/>
      <c r="L62" s="163"/>
      <c r="M62" s="163"/>
      <c r="N62" s="163"/>
      <c r="O62" s="67"/>
      <c r="P62" s="163"/>
      <c r="Q62" s="67"/>
      <c r="R62" s="67"/>
      <c r="U62" s="67"/>
      <c r="V62" s="67"/>
      <c r="W62" s="163"/>
      <c r="AE62" s="384"/>
      <c r="AF62" s="384"/>
      <c r="AG62" s="384"/>
      <c r="AH62" s="384"/>
      <c r="AI62" s="384"/>
      <c r="AJ62" s="384"/>
      <c r="AK62" s="384"/>
      <c r="AL62" s="384"/>
      <c r="AM62" s="384"/>
      <c r="AN62" s="384"/>
      <c r="AO62" s="384"/>
      <c r="AP62" s="384"/>
      <c r="AQ62" s="384"/>
      <c r="AR62" s="384"/>
      <c r="AS62" s="384"/>
      <c r="AT62" s="384"/>
      <c r="AU62" s="384"/>
      <c r="AV62" s="384"/>
      <c r="AW62" s="384"/>
      <c r="AX62" s="384"/>
      <c r="AY62" s="384"/>
      <c r="AZ62" s="384"/>
      <c r="BA62" s="384"/>
      <c r="BB62" s="384"/>
      <c r="BC62" s="384"/>
      <c r="BD62" s="384"/>
      <c r="BE62" s="384"/>
      <c r="BF62" s="384"/>
      <c r="BG62" s="384"/>
      <c r="BH62" s="384"/>
      <c r="BI62" s="384"/>
      <c r="BJ62" s="384"/>
      <c r="BK62" s="384"/>
      <c r="BL62" s="384"/>
      <c r="BM62" s="384"/>
      <c r="BN62" s="384"/>
      <c r="BO62" s="384"/>
      <c r="BP62" s="384"/>
      <c r="BQ62" s="384"/>
      <c r="BR62" s="384"/>
      <c r="BS62" s="384"/>
      <c r="BT62" s="384"/>
      <c r="BU62" s="384"/>
      <c r="BV62" s="384"/>
      <c r="BW62" s="384"/>
      <c r="BX62" s="384"/>
      <c r="BY62" s="384"/>
      <c r="BZ62" s="384"/>
      <c r="CA62" s="384"/>
      <c r="CB62" s="384"/>
      <c r="CC62" s="384"/>
    </row>
    <row r="63" spans="1:81" s="68" customFormat="1">
      <c r="A63" s="67"/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R63" s="67"/>
      <c r="U63" s="67"/>
      <c r="V63" s="67"/>
      <c r="W63" s="163"/>
      <c r="AE63" s="384"/>
      <c r="AF63" s="384"/>
      <c r="AG63" s="384"/>
      <c r="AH63" s="384"/>
      <c r="AI63" s="384"/>
      <c r="AJ63" s="384"/>
      <c r="AK63" s="384"/>
      <c r="AL63" s="384"/>
      <c r="AM63" s="384"/>
      <c r="AN63" s="384"/>
      <c r="AO63" s="384"/>
      <c r="AP63" s="384"/>
      <c r="AQ63" s="384"/>
      <c r="AR63" s="384"/>
      <c r="AS63" s="384"/>
      <c r="AT63" s="384"/>
      <c r="AU63" s="384"/>
      <c r="AV63" s="384"/>
      <c r="AW63" s="384"/>
      <c r="AX63" s="384"/>
      <c r="AY63" s="384"/>
      <c r="AZ63" s="384"/>
      <c r="BA63" s="384"/>
      <c r="BB63" s="384"/>
      <c r="BC63" s="384"/>
      <c r="BD63" s="384"/>
      <c r="BE63" s="384"/>
      <c r="BF63" s="384"/>
      <c r="BG63" s="384"/>
      <c r="BH63" s="384"/>
      <c r="BI63" s="384"/>
      <c r="BJ63" s="384"/>
      <c r="BK63" s="384"/>
      <c r="BL63" s="384"/>
      <c r="BM63" s="384"/>
      <c r="BN63" s="384"/>
      <c r="BO63" s="384"/>
      <c r="BP63" s="384"/>
      <c r="BQ63" s="384"/>
      <c r="BR63" s="384"/>
      <c r="BS63" s="384"/>
      <c r="BT63" s="384"/>
      <c r="BU63" s="384"/>
      <c r="BV63" s="384"/>
      <c r="BW63" s="384"/>
      <c r="BX63" s="384"/>
      <c r="BY63" s="384"/>
      <c r="BZ63" s="384"/>
      <c r="CA63" s="384"/>
      <c r="CB63" s="384"/>
      <c r="CC63" s="384"/>
    </row>
    <row r="64" spans="1:81" s="68" customFormat="1">
      <c r="A64" s="67"/>
      <c r="B64" s="67"/>
      <c r="C64" s="67"/>
      <c r="D64" s="67"/>
      <c r="E64" s="67"/>
      <c r="F64" s="163"/>
      <c r="G64" s="67"/>
      <c r="H64" s="67"/>
      <c r="I64" s="67"/>
      <c r="J64" s="67"/>
      <c r="K64" s="67"/>
      <c r="L64" s="67"/>
      <c r="M64" s="67"/>
      <c r="N64" s="67"/>
      <c r="O64" s="67"/>
      <c r="P64" s="67"/>
      <c r="R64" s="67"/>
      <c r="U64" s="67"/>
      <c r="V64" s="67"/>
      <c r="W64" s="163"/>
      <c r="AE64" s="384"/>
      <c r="AF64" s="384"/>
      <c r="AG64" s="384"/>
      <c r="AH64" s="384"/>
      <c r="AI64" s="384"/>
      <c r="AJ64" s="384"/>
      <c r="AK64" s="384"/>
      <c r="AL64" s="384"/>
      <c r="AM64" s="384"/>
      <c r="AN64" s="384"/>
      <c r="AO64" s="384"/>
      <c r="AP64" s="384"/>
      <c r="AQ64" s="384"/>
      <c r="AR64" s="384"/>
      <c r="AS64" s="384"/>
      <c r="AT64" s="384"/>
      <c r="AU64" s="384"/>
      <c r="AV64" s="384"/>
      <c r="AW64" s="384"/>
      <c r="AX64" s="384"/>
      <c r="AY64" s="384"/>
      <c r="AZ64" s="384"/>
      <c r="BA64" s="384"/>
      <c r="BB64" s="384"/>
      <c r="BC64" s="384"/>
      <c r="BD64" s="384"/>
      <c r="BE64" s="384"/>
      <c r="BF64" s="384"/>
      <c r="BG64" s="384"/>
      <c r="BH64" s="384"/>
      <c r="BI64" s="384"/>
      <c r="BJ64" s="384"/>
      <c r="BK64" s="384"/>
      <c r="BL64" s="384"/>
      <c r="BM64" s="384"/>
      <c r="BN64" s="384"/>
      <c r="BO64" s="384"/>
      <c r="BP64" s="384"/>
      <c r="BQ64" s="384"/>
      <c r="BR64" s="384"/>
      <c r="BS64" s="384"/>
      <c r="BT64" s="384"/>
      <c r="BU64" s="384"/>
      <c r="BV64" s="384"/>
      <c r="BW64" s="384"/>
      <c r="BX64" s="384"/>
      <c r="BY64" s="384"/>
      <c r="BZ64" s="384"/>
      <c r="CA64" s="384"/>
      <c r="CB64" s="384"/>
      <c r="CC64" s="384"/>
    </row>
    <row r="65" spans="1:81" s="68" customFormat="1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R65" s="67"/>
      <c r="U65" s="67"/>
      <c r="V65" s="67"/>
      <c r="W65" s="67"/>
      <c r="AE65" s="384"/>
      <c r="AF65" s="384"/>
      <c r="AG65" s="384"/>
      <c r="AH65" s="384"/>
      <c r="AI65" s="384"/>
      <c r="AJ65" s="384"/>
      <c r="AK65" s="384"/>
      <c r="AL65" s="384"/>
      <c r="AM65" s="384"/>
      <c r="AN65" s="384"/>
      <c r="AO65" s="384"/>
      <c r="AP65" s="384"/>
      <c r="AQ65" s="384"/>
      <c r="AR65" s="384"/>
      <c r="AS65" s="384"/>
      <c r="AT65" s="384"/>
      <c r="AU65" s="384"/>
      <c r="AV65" s="384"/>
      <c r="AW65" s="384"/>
      <c r="AX65" s="384"/>
      <c r="AY65" s="384"/>
      <c r="AZ65" s="384"/>
      <c r="BA65" s="384"/>
      <c r="BB65" s="384"/>
      <c r="BC65" s="384"/>
      <c r="BD65" s="384"/>
      <c r="BE65" s="384"/>
      <c r="BF65" s="384"/>
      <c r="BG65" s="384"/>
      <c r="BH65" s="384"/>
      <c r="BI65" s="384"/>
      <c r="BJ65" s="384"/>
      <c r="BK65" s="384"/>
      <c r="BL65" s="384"/>
      <c r="BM65" s="384"/>
      <c r="BN65" s="384"/>
      <c r="BO65" s="384"/>
      <c r="BP65" s="384"/>
      <c r="BQ65" s="384"/>
      <c r="BR65" s="384"/>
      <c r="BS65" s="384"/>
      <c r="BT65" s="384"/>
      <c r="BU65" s="384"/>
      <c r="BV65" s="384"/>
      <c r="BW65" s="384"/>
      <c r="BX65" s="384"/>
      <c r="BY65" s="384"/>
      <c r="BZ65" s="384"/>
      <c r="CA65" s="384"/>
      <c r="CB65" s="384"/>
      <c r="CC65" s="384"/>
    </row>
    <row r="66" spans="1:81" s="68" customFormat="1">
      <c r="A66" s="67" t="s">
        <v>59</v>
      </c>
      <c r="B66" s="67"/>
      <c r="C66" s="67"/>
      <c r="D66" s="67"/>
      <c r="E66" s="67"/>
      <c r="F66" s="163"/>
      <c r="G66" s="67"/>
      <c r="H66" s="67"/>
      <c r="I66" s="67"/>
      <c r="J66" s="67"/>
      <c r="K66" s="67"/>
      <c r="L66" s="67"/>
      <c r="M66" s="67"/>
      <c r="N66" s="67"/>
      <c r="O66" s="67"/>
      <c r="P66" s="67"/>
      <c r="U66" s="67"/>
      <c r="V66" s="67"/>
      <c r="W66" s="163"/>
      <c r="AE66" s="384"/>
      <c r="AF66" s="384"/>
      <c r="AG66" s="384"/>
      <c r="AH66" s="384"/>
      <c r="AI66" s="384"/>
      <c r="AJ66" s="384"/>
      <c r="AK66" s="384"/>
      <c r="AL66" s="384"/>
      <c r="AM66" s="384"/>
      <c r="AN66" s="384"/>
      <c r="AO66" s="384"/>
      <c r="AP66" s="384"/>
      <c r="AQ66" s="384"/>
      <c r="AR66" s="384"/>
      <c r="AS66" s="384"/>
      <c r="AT66" s="384"/>
      <c r="AU66" s="384"/>
      <c r="AV66" s="384"/>
      <c r="AW66" s="384"/>
      <c r="AX66" s="384"/>
      <c r="AY66" s="384"/>
      <c r="AZ66" s="384"/>
      <c r="BA66" s="384"/>
      <c r="BB66" s="384"/>
      <c r="BC66" s="384"/>
      <c r="BD66" s="384"/>
      <c r="BE66" s="384"/>
      <c r="BF66" s="384"/>
      <c r="BG66" s="384"/>
      <c r="BH66" s="384"/>
      <c r="BI66" s="384"/>
      <c r="BJ66" s="384"/>
      <c r="BK66" s="384"/>
      <c r="BL66" s="384"/>
      <c r="BM66" s="384"/>
      <c r="BN66" s="384"/>
      <c r="BO66" s="384"/>
      <c r="BP66" s="384"/>
      <c r="BQ66" s="384"/>
      <c r="BR66" s="384"/>
      <c r="BS66" s="384"/>
      <c r="BT66" s="384"/>
      <c r="BU66" s="384"/>
      <c r="BV66" s="384"/>
      <c r="BW66" s="384"/>
      <c r="BX66" s="384"/>
      <c r="BY66" s="384"/>
      <c r="BZ66" s="384"/>
      <c r="CA66" s="384"/>
      <c r="CB66" s="384"/>
      <c r="CC66" s="384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2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pageSetUpPr fitToPage="1"/>
  </sheetPr>
  <dimension ref="A1:CC66"/>
  <sheetViews>
    <sheetView showGridLines="0" showZeros="0" view="pageBreakPreview" zoomScaleNormal="100" workbookViewId="0">
      <selection activeCell="G15" sqref="G15:H15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10.625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3">
        <v>42369</v>
      </c>
      <c r="F1" s="239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757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247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201401401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758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>
        <v>1</v>
      </c>
      <c r="B15" s="152" t="s">
        <v>759</v>
      </c>
      <c r="C15" s="124">
        <f>D15*E15</f>
        <v>420000</v>
      </c>
      <c r="D15" s="131">
        <f>350000*1.2</f>
        <v>420000</v>
      </c>
      <c r="E15" s="132">
        <v>1</v>
      </c>
      <c r="F15" s="124">
        <f>D15*E15</f>
        <v>420000</v>
      </c>
      <c r="G15" s="103">
        <f>6800.4*11.2*3/4</f>
        <v>57123.360000000001</v>
      </c>
      <c r="H15" s="103" t="s">
        <v>772</v>
      </c>
      <c r="I15" s="103">
        <f>W15</f>
        <v>210000</v>
      </c>
      <c r="J15" s="103">
        <f>0.2*I15</f>
        <v>42000</v>
      </c>
      <c r="K15" s="103"/>
      <c r="L15" s="103">
        <f>I15-J15+K15</f>
        <v>168000</v>
      </c>
      <c r="M15" s="103"/>
      <c r="N15" s="103">
        <f>G15*0.5</f>
        <v>28561.68</v>
      </c>
      <c r="O15" s="105"/>
      <c r="P15" s="103"/>
      <c r="Q15" s="105"/>
      <c r="R15" s="105"/>
      <c r="S15" s="123"/>
      <c r="T15" s="106"/>
      <c r="U15" s="124">
        <f>D15*0.5</f>
        <v>210000</v>
      </c>
      <c r="V15" s="120">
        <v>1</v>
      </c>
      <c r="W15" s="124">
        <f>U15*V15</f>
        <v>210000</v>
      </c>
      <c r="X15" s="103"/>
      <c r="Y15" s="103"/>
      <c r="Z15" s="103"/>
      <c r="AA15" s="105"/>
      <c r="AB15" s="106"/>
    </row>
    <row r="16" spans="1:81" ht="22.5">
      <c r="A16" s="1534">
        <v>2</v>
      </c>
      <c r="B16" s="152" t="s">
        <v>760</v>
      </c>
      <c r="C16" s="124">
        <f>D16*E16</f>
        <v>120000</v>
      </c>
      <c r="D16" s="131">
        <f>100000*1.2</f>
        <v>120000</v>
      </c>
      <c r="E16" s="132">
        <v>1</v>
      </c>
      <c r="F16" s="124">
        <f>D16*E16</f>
        <v>120000</v>
      </c>
      <c r="G16" s="133"/>
      <c r="H16" s="133"/>
      <c r="I16" s="103">
        <f>W16</f>
        <v>60000</v>
      </c>
      <c r="J16" s="103">
        <f>0.2*I16</f>
        <v>12000</v>
      </c>
      <c r="K16" s="103"/>
      <c r="L16" s="103">
        <f>I16-J16+K16</f>
        <v>48000</v>
      </c>
      <c r="M16" s="133"/>
      <c r="N16" s="133"/>
      <c r="O16" s="133"/>
      <c r="P16" s="134"/>
      <c r="Q16" s="133"/>
      <c r="R16" s="135"/>
      <c r="S16" s="135"/>
      <c r="T16" s="137"/>
      <c r="U16" s="124">
        <f>D16*0.5</f>
        <v>60000</v>
      </c>
      <c r="V16" s="132">
        <v>1</v>
      </c>
      <c r="W16" s="124">
        <f>U16*V16</f>
        <v>60000</v>
      </c>
      <c r="X16" s="133">
        <v>0</v>
      </c>
      <c r="Y16" s="133"/>
      <c r="Z16" s="134"/>
      <c r="AA16" s="135"/>
      <c r="AB16" s="137"/>
    </row>
    <row r="17" spans="1:81" s="68" customFormat="1">
      <c r="A17" s="1534"/>
      <c r="B17" s="152"/>
      <c r="C17" s="124"/>
      <c r="D17" s="131"/>
      <c r="E17" s="132"/>
      <c r="F17" s="124"/>
      <c r="G17" s="139"/>
      <c r="H17" s="139"/>
      <c r="I17" s="139"/>
      <c r="J17" s="139"/>
      <c r="K17" s="133"/>
      <c r="L17" s="133"/>
      <c r="M17" s="139"/>
      <c r="N17" s="134"/>
      <c r="O17" s="139"/>
      <c r="P17" s="140"/>
      <c r="Q17" s="124"/>
      <c r="R17" s="124"/>
      <c r="S17" s="139"/>
      <c r="T17" s="139"/>
      <c r="U17" s="124"/>
      <c r="V17" s="132"/>
      <c r="W17" s="124"/>
      <c r="X17" s="133"/>
      <c r="Y17" s="133"/>
      <c r="Z17" s="140"/>
      <c r="AA17" s="124"/>
      <c r="AB17" s="139"/>
      <c r="AE17" s="384"/>
      <c r="AF17" s="384"/>
      <c r="AG17" s="384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4"/>
      <c r="BV17" s="384"/>
      <c r="BW17" s="384"/>
      <c r="BX17" s="384"/>
      <c r="BY17" s="384"/>
      <c r="BZ17" s="384"/>
      <c r="CA17" s="384"/>
      <c r="CB17" s="384"/>
      <c r="CC17" s="384"/>
    </row>
    <row r="18" spans="1:81" s="68" customFormat="1">
      <c r="A18" s="2314"/>
      <c r="B18" s="152"/>
      <c r="C18" s="124"/>
      <c r="D18" s="131"/>
      <c r="E18" s="132"/>
      <c r="F18" s="124"/>
      <c r="G18" s="139"/>
      <c r="H18" s="139"/>
      <c r="I18" s="139"/>
      <c r="J18" s="139"/>
      <c r="K18" s="133"/>
      <c r="L18" s="133"/>
      <c r="M18" s="139"/>
      <c r="N18" s="134"/>
      <c r="O18" s="139"/>
      <c r="P18" s="140"/>
      <c r="Q18" s="124"/>
      <c r="R18" s="124"/>
      <c r="S18" s="139"/>
      <c r="T18" s="139"/>
      <c r="U18" s="131"/>
      <c r="V18" s="132"/>
      <c r="W18" s="124"/>
      <c r="X18" s="133"/>
      <c r="Y18" s="133"/>
      <c r="Z18" s="140"/>
      <c r="AA18" s="124"/>
      <c r="AB18" s="139"/>
      <c r="AE18" s="384"/>
      <c r="AF18" s="384"/>
      <c r="AG18" s="384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4"/>
      <c r="BI18" s="384"/>
      <c r="BJ18" s="384"/>
      <c r="BK18" s="384"/>
      <c r="BL18" s="384"/>
      <c r="BM18" s="384"/>
      <c r="BN18" s="384"/>
      <c r="BO18" s="384"/>
      <c r="BP18" s="384"/>
      <c r="BQ18" s="384"/>
      <c r="BR18" s="384"/>
      <c r="BS18" s="384"/>
      <c r="BT18" s="384"/>
      <c r="BU18" s="384"/>
      <c r="BV18" s="384"/>
      <c r="BW18" s="384"/>
      <c r="BX18" s="384"/>
      <c r="BY18" s="384"/>
      <c r="BZ18" s="384"/>
      <c r="CA18" s="384"/>
      <c r="CB18" s="384"/>
      <c r="CC18" s="384"/>
    </row>
    <row r="19" spans="1:81" s="68" customFormat="1">
      <c r="A19" s="1532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3"/>
      <c r="M19" s="139"/>
      <c r="N19" s="133"/>
      <c r="O19" s="139"/>
      <c r="P19" s="124"/>
      <c r="Q19" s="124"/>
      <c r="R19" s="124"/>
      <c r="S19" s="139"/>
      <c r="T19" s="139"/>
      <c r="U19" s="131"/>
      <c r="V19" s="132"/>
      <c r="W19" s="124"/>
      <c r="X19" s="133"/>
      <c r="Y19" s="133"/>
      <c r="Z19" s="124"/>
      <c r="AA19" s="143"/>
      <c r="AB19" s="139"/>
      <c r="AE19" s="384"/>
      <c r="AF19" s="384"/>
      <c r="AG19" s="384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4"/>
      <c r="BC19" s="384"/>
      <c r="BD19" s="384"/>
      <c r="BE19" s="384"/>
      <c r="BF19" s="384"/>
      <c r="BG19" s="384"/>
      <c r="BH19" s="384"/>
      <c r="BI19" s="384"/>
      <c r="BJ19" s="384"/>
      <c r="BK19" s="384"/>
      <c r="BL19" s="384"/>
      <c r="BM19" s="384"/>
      <c r="BN19" s="384"/>
      <c r="BO19" s="384"/>
      <c r="BP19" s="384"/>
      <c r="BQ19" s="384"/>
      <c r="BR19" s="384"/>
      <c r="BS19" s="384"/>
      <c r="BT19" s="384"/>
      <c r="BU19" s="384"/>
      <c r="BV19" s="384"/>
      <c r="BW19" s="384"/>
      <c r="BX19" s="384"/>
      <c r="BY19" s="384"/>
      <c r="BZ19" s="384"/>
      <c r="CA19" s="384"/>
      <c r="CB19" s="384"/>
      <c r="CC19" s="384"/>
    </row>
    <row r="20" spans="1:81" s="68" customFormat="1">
      <c r="A20" s="1530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384"/>
      <c r="AU20" s="384"/>
      <c r="AV20" s="384"/>
      <c r="AW20" s="384"/>
      <c r="AX20" s="384"/>
      <c r="AY20" s="384"/>
      <c r="AZ20" s="384"/>
      <c r="BA20" s="384"/>
      <c r="BB20" s="384"/>
      <c r="BC20" s="384"/>
      <c r="BD20" s="384"/>
      <c r="BE20" s="384"/>
      <c r="BF20" s="384"/>
      <c r="BG20" s="384"/>
      <c r="BH20" s="384"/>
      <c r="BI20" s="384"/>
      <c r="BJ20" s="384"/>
      <c r="BK20" s="384"/>
      <c r="BL20" s="384"/>
      <c r="BM20" s="384"/>
      <c r="BN20" s="384"/>
      <c r="BO20" s="384"/>
      <c r="BP20" s="384"/>
      <c r="BQ20" s="384"/>
      <c r="BR20" s="384"/>
      <c r="BS20" s="384"/>
      <c r="BT20" s="384"/>
      <c r="BU20" s="384"/>
      <c r="BV20" s="384"/>
      <c r="BW20" s="384"/>
      <c r="BX20" s="384"/>
      <c r="BY20" s="384"/>
      <c r="BZ20" s="384"/>
      <c r="CA20" s="384"/>
      <c r="CB20" s="384"/>
      <c r="CC20" s="384"/>
    </row>
    <row r="21" spans="1:81" s="68" customFormat="1">
      <c r="A21" s="1532"/>
      <c r="B21" s="152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24"/>
      <c r="Q21" s="141"/>
      <c r="R21" s="143"/>
      <c r="S21" s="139"/>
      <c r="T21" s="139"/>
      <c r="U21" s="131"/>
      <c r="V21" s="132"/>
      <c r="W21" s="124"/>
      <c r="X21" s="139"/>
      <c r="Y21" s="133"/>
      <c r="Z21" s="124"/>
      <c r="AA21" s="143"/>
      <c r="AB21" s="139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4"/>
      <c r="BC21" s="384"/>
      <c r="BD21" s="384"/>
      <c r="BE21" s="384"/>
      <c r="BF21" s="384"/>
      <c r="BG21" s="384"/>
      <c r="BH21" s="384"/>
      <c r="BI21" s="384"/>
      <c r="BJ21" s="384"/>
      <c r="BK21" s="384"/>
      <c r="BL21" s="384"/>
      <c r="BM21" s="384"/>
      <c r="BN21" s="384"/>
      <c r="BO21" s="384"/>
      <c r="BP21" s="384"/>
      <c r="BQ21" s="384"/>
      <c r="BR21" s="384"/>
      <c r="BS21" s="384"/>
      <c r="BT21" s="384"/>
      <c r="BU21" s="384"/>
      <c r="BV21" s="384"/>
      <c r="BW21" s="384"/>
      <c r="BX21" s="384"/>
      <c r="BY21" s="384"/>
      <c r="BZ21" s="384"/>
      <c r="CA21" s="384"/>
      <c r="CB21" s="384"/>
      <c r="CC21" s="384"/>
    </row>
    <row r="22" spans="1:81" s="68" customFormat="1">
      <c r="A22" s="1532"/>
      <c r="B22" s="145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43"/>
      <c r="Q22" s="141"/>
      <c r="R22" s="143"/>
      <c r="S22" s="139"/>
      <c r="T22" s="139"/>
      <c r="U22" s="131"/>
      <c r="V22" s="132"/>
      <c r="W22" s="124"/>
      <c r="X22" s="139"/>
      <c r="Y22" s="133"/>
      <c r="Z22" s="143"/>
      <c r="AA22" s="143"/>
      <c r="AB22" s="139"/>
      <c r="AE22" s="384"/>
      <c r="AF22" s="384"/>
      <c r="AG22" s="384"/>
      <c r="AH22" s="384"/>
      <c r="AI22" s="384"/>
      <c r="AJ22" s="384"/>
      <c r="AK22" s="384"/>
      <c r="AL22" s="384"/>
      <c r="AM22" s="384"/>
      <c r="AN22" s="384"/>
      <c r="AO22" s="384"/>
      <c r="AP22" s="384"/>
      <c r="AQ22" s="384"/>
      <c r="AR22" s="384"/>
      <c r="AS22" s="384"/>
      <c r="AT22" s="384"/>
      <c r="AU22" s="384"/>
      <c r="AV22" s="384"/>
      <c r="AW22" s="384"/>
      <c r="AX22" s="384"/>
      <c r="AY22" s="384"/>
      <c r="AZ22" s="384"/>
      <c r="BA22" s="384"/>
      <c r="BB22" s="384"/>
      <c r="BC22" s="384"/>
      <c r="BD22" s="384"/>
      <c r="BE22" s="384"/>
      <c r="BF22" s="384"/>
      <c r="BG22" s="384"/>
      <c r="BH22" s="384"/>
      <c r="BI22" s="384"/>
      <c r="BJ22" s="384"/>
      <c r="BK22" s="384"/>
      <c r="BL22" s="384"/>
      <c r="BM22" s="384"/>
      <c r="BN22" s="384"/>
      <c r="BO22" s="384"/>
      <c r="BP22" s="384"/>
      <c r="BQ22" s="384"/>
      <c r="BR22" s="384"/>
      <c r="BS22" s="384"/>
      <c r="BT22" s="384"/>
      <c r="BU22" s="384"/>
      <c r="BV22" s="384"/>
      <c r="BW22" s="384"/>
      <c r="BX22" s="384"/>
      <c r="BY22" s="384"/>
      <c r="BZ22" s="384"/>
      <c r="CA22" s="384"/>
      <c r="CB22" s="384"/>
      <c r="CC22" s="384"/>
    </row>
    <row r="23" spans="1:81" s="68" customFormat="1">
      <c r="A23" s="1532"/>
      <c r="B23" s="798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4"/>
      <c r="S23" s="139"/>
      <c r="T23" s="139"/>
      <c r="U23" s="131"/>
      <c r="V23" s="132"/>
      <c r="W23" s="124"/>
      <c r="X23" s="139"/>
      <c r="Y23" s="133"/>
      <c r="Z23" s="139"/>
      <c r="AA23" s="134"/>
      <c r="AB23" s="139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</row>
    <row r="24" spans="1:81" s="68" customFormat="1">
      <c r="A24" s="1532"/>
      <c r="B24" s="798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49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</row>
    <row r="25" spans="1:81" s="68" customFormat="1">
      <c r="A25" s="1532"/>
      <c r="B25" s="798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  <c r="AE25" s="384"/>
      <c r="AF25" s="384"/>
      <c r="AG25" s="384"/>
      <c r="AH25" s="384"/>
      <c r="AI25" s="384"/>
      <c r="AJ25" s="384"/>
      <c r="AK25" s="384"/>
      <c r="AL25" s="384"/>
      <c r="AM25" s="384"/>
      <c r="AN25" s="384"/>
      <c r="AO25" s="384"/>
      <c r="AP25" s="384"/>
      <c r="AQ25" s="384"/>
      <c r="AR25" s="384"/>
      <c r="AS25" s="384"/>
      <c r="AT25" s="384"/>
      <c r="AU25" s="384"/>
      <c r="AV25" s="384"/>
      <c r="AW25" s="384"/>
      <c r="AX25" s="384"/>
      <c r="AY25" s="384"/>
      <c r="AZ25" s="384"/>
      <c r="BA25" s="384"/>
      <c r="BB25" s="384"/>
      <c r="BC25" s="384"/>
      <c r="BD25" s="384"/>
      <c r="BE25" s="384"/>
      <c r="BF25" s="384"/>
      <c r="BG25" s="384"/>
      <c r="BH25" s="384"/>
      <c r="BI25" s="384"/>
      <c r="BJ25" s="384"/>
      <c r="BK25" s="384"/>
      <c r="BL25" s="384"/>
      <c r="BM25" s="384"/>
      <c r="BN25" s="384"/>
      <c r="BO25" s="384"/>
      <c r="BP25" s="384"/>
      <c r="BQ25" s="384"/>
      <c r="BR25" s="384"/>
      <c r="BS25" s="384"/>
      <c r="BT25" s="384"/>
      <c r="BU25" s="384"/>
      <c r="BV25" s="384"/>
      <c r="BW25" s="384"/>
      <c r="BX25" s="384"/>
      <c r="BY25" s="384"/>
      <c r="BZ25" s="384"/>
      <c r="CA25" s="384"/>
      <c r="CB25" s="384"/>
      <c r="CC25" s="384"/>
    </row>
    <row r="26" spans="1:81" s="68" customFormat="1">
      <c r="A26" s="1532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49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  <c r="AE26" s="384"/>
      <c r="AF26" s="384"/>
      <c r="AG26" s="384"/>
      <c r="AH26" s="384"/>
      <c r="AI26" s="384"/>
      <c r="AJ26" s="384"/>
      <c r="AK26" s="384"/>
      <c r="AL26" s="384"/>
      <c r="AM26" s="384"/>
      <c r="AN26" s="384"/>
      <c r="AO26" s="384"/>
      <c r="AP26" s="384"/>
      <c r="AQ26" s="384"/>
      <c r="AR26" s="384"/>
      <c r="AS26" s="384"/>
      <c r="AT26" s="384"/>
      <c r="AU26" s="384"/>
      <c r="AV26" s="384"/>
      <c r="AW26" s="384"/>
      <c r="AX26" s="384"/>
      <c r="AY26" s="384"/>
      <c r="AZ26" s="384"/>
      <c r="BA26" s="384"/>
      <c r="BB26" s="384"/>
      <c r="BC26" s="384"/>
      <c r="BD26" s="384"/>
      <c r="BE26" s="384"/>
      <c r="BF26" s="384"/>
      <c r="BG26" s="384"/>
      <c r="BH26" s="384"/>
      <c r="BI26" s="384"/>
      <c r="BJ26" s="384"/>
      <c r="BK26" s="384"/>
      <c r="BL26" s="384"/>
      <c r="BM26" s="384"/>
      <c r="BN26" s="384"/>
      <c r="BO26" s="384"/>
      <c r="BP26" s="384"/>
      <c r="BQ26" s="384"/>
      <c r="BR26" s="384"/>
      <c r="BS26" s="384"/>
      <c r="BT26" s="384"/>
      <c r="BU26" s="384"/>
      <c r="BV26" s="384"/>
      <c r="BW26" s="384"/>
      <c r="BX26" s="384"/>
      <c r="BY26" s="384"/>
      <c r="BZ26" s="384"/>
      <c r="CA26" s="384"/>
      <c r="CB26" s="384"/>
      <c r="CC26" s="384"/>
    </row>
    <row r="27" spans="1:81" s="68" customFormat="1">
      <c r="A27" s="1532"/>
      <c r="B27" s="798"/>
      <c r="C27" s="124"/>
      <c r="D27" s="131"/>
      <c r="E27" s="132"/>
      <c r="F27" s="124"/>
      <c r="G27" s="139"/>
      <c r="H27" s="139"/>
      <c r="I27" s="139"/>
      <c r="J27" s="139"/>
      <c r="K27" s="133"/>
      <c r="L27" s="139"/>
      <c r="M27" s="139"/>
      <c r="N27" s="133"/>
      <c r="O27" s="139"/>
      <c r="P27" s="139"/>
      <c r="Q27" s="149"/>
      <c r="R27" s="139"/>
      <c r="S27" s="139"/>
      <c r="T27" s="139"/>
      <c r="U27" s="131"/>
      <c r="V27" s="132"/>
      <c r="W27" s="124"/>
      <c r="X27" s="139"/>
      <c r="Y27" s="133"/>
      <c r="Z27" s="139"/>
      <c r="AA27" s="139"/>
      <c r="AB27" s="139"/>
      <c r="AE27" s="384"/>
      <c r="AF27" s="384"/>
      <c r="AG27" s="384"/>
      <c r="AH27" s="384"/>
      <c r="AI27" s="384"/>
      <c r="AJ27" s="384"/>
      <c r="AK27" s="384"/>
      <c r="AL27" s="384"/>
      <c r="AM27" s="384"/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X27" s="384"/>
      <c r="AY27" s="384"/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  <c r="BJ27" s="384"/>
      <c r="BK27" s="384"/>
      <c r="BL27" s="384"/>
      <c r="BM27" s="384"/>
      <c r="BN27" s="384"/>
      <c r="BO27" s="384"/>
      <c r="BP27" s="384"/>
      <c r="BQ27" s="384"/>
      <c r="BR27" s="384"/>
      <c r="BS27" s="384"/>
      <c r="BT27" s="384"/>
      <c r="BU27" s="384"/>
      <c r="BV27" s="384"/>
      <c r="BW27" s="384"/>
      <c r="BX27" s="384"/>
      <c r="BY27" s="384"/>
      <c r="BZ27" s="384"/>
      <c r="CA27" s="384"/>
      <c r="CB27" s="384"/>
      <c r="CC27" s="384"/>
    </row>
    <row r="28" spans="1:81" s="68" customFormat="1">
      <c r="A28" s="1530"/>
      <c r="B28" s="1645"/>
      <c r="C28" s="124"/>
      <c r="D28" s="131"/>
      <c r="E28" s="1531"/>
      <c r="F28" s="124"/>
      <c r="G28" s="139"/>
      <c r="H28" s="139"/>
      <c r="I28" s="139"/>
      <c r="J28" s="139"/>
      <c r="K28" s="133"/>
      <c r="L28" s="1533"/>
      <c r="M28" s="139"/>
      <c r="N28" s="133"/>
      <c r="O28" s="139"/>
      <c r="P28" s="153"/>
      <c r="Q28" s="149"/>
      <c r="R28" s="153"/>
      <c r="S28" s="139"/>
      <c r="T28" s="139"/>
      <c r="U28" s="131"/>
      <c r="V28" s="1531"/>
      <c r="W28" s="124"/>
      <c r="X28" s="1533"/>
      <c r="Y28" s="133"/>
      <c r="Z28" s="153"/>
      <c r="AA28" s="153"/>
      <c r="AB28" s="139"/>
      <c r="AE28" s="384"/>
      <c r="AF28" s="384"/>
      <c r="AG28" s="384"/>
      <c r="AH28" s="384"/>
      <c r="AI28" s="384"/>
      <c r="AJ28" s="384"/>
      <c r="AK28" s="384"/>
      <c r="AL28" s="384"/>
      <c r="AM28" s="384"/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X28" s="384"/>
      <c r="AY28" s="384"/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  <c r="BJ28" s="384"/>
      <c r="BK28" s="384"/>
      <c r="BL28" s="384"/>
      <c r="BM28" s="384"/>
      <c r="BN28" s="384"/>
      <c r="BO28" s="384"/>
      <c r="BP28" s="384"/>
      <c r="BQ28" s="384"/>
      <c r="BR28" s="384"/>
      <c r="BS28" s="384"/>
      <c r="BT28" s="384"/>
      <c r="BU28" s="384"/>
      <c r="BV28" s="384"/>
      <c r="BW28" s="384"/>
      <c r="BX28" s="384"/>
      <c r="BY28" s="384"/>
      <c r="BZ28" s="384"/>
      <c r="CA28" s="384"/>
      <c r="CB28" s="384"/>
      <c r="CC28" s="384"/>
    </row>
    <row r="29" spans="1:81" s="68" customFormat="1">
      <c r="A29" s="1530"/>
      <c r="B29" s="142"/>
      <c r="C29" s="124"/>
      <c r="D29" s="131"/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39"/>
      <c r="Q29" s="155"/>
      <c r="R29" s="139"/>
      <c r="S29" s="139"/>
      <c r="T29" s="139"/>
      <c r="U29" s="131"/>
      <c r="V29" s="132"/>
      <c r="W29" s="124"/>
      <c r="X29" s="139"/>
      <c r="Y29" s="133"/>
      <c r="Z29" s="139"/>
      <c r="AA29" s="139"/>
      <c r="AB29" s="139"/>
      <c r="AE29" s="384"/>
      <c r="AF29" s="384"/>
      <c r="AG29" s="384"/>
      <c r="AH29" s="384"/>
      <c r="AI29" s="384"/>
      <c r="AJ29" s="384"/>
      <c r="AK29" s="384"/>
      <c r="AL29" s="384"/>
      <c r="AM29" s="384"/>
      <c r="AN29" s="384"/>
      <c r="AO29" s="384"/>
      <c r="AP29" s="384"/>
      <c r="AQ29" s="384"/>
      <c r="AR29" s="384"/>
      <c r="AS29" s="384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4"/>
      <c r="BV29" s="384"/>
      <c r="BW29" s="384"/>
      <c r="BX29" s="384"/>
      <c r="BY29" s="384"/>
      <c r="BZ29" s="384"/>
      <c r="CA29" s="384"/>
      <c r="CB29" s="384"/>
      <c r="CC29" s="384"/>
    </row>
    <row r="30" spans="1:81" s="68" customFormat="1">
      <c r="A30" s="1534"/>
      <c r="B30" s="142"/>
      <c r="C30" s="124"/>
      <c r="D30" s="131" t="s">
        <v>87</v>
      </c>
      <c r="E30" s="132"/>
      <c r="F30" s="124"/>
      <c r="G30" s="139"/>
      <c r="H30" s="139"/>
      <c r="I30" s="139"/>
      <c r="J30" s="139"/>
      <c r="K30" s="133"/>
      <c r="L30" s="139"/>
      <c r="M30" s="139"/>
      <c r="N30" s="133"/>
      <c r="O30" s="139"/>
      <c r="P30" s="153"/>
      <c r="Q30" s="156"/>
      <c r="R30" s="153"/>
      <c r="S30" s="139"/>
      <c r="T30" s="139"/>
      <c r="U30" s="131"/>
      <c r="V30" s="1531"/>
      <c r="W30" s="124"/>
      <c r="X30" s="139"/>
      <c r="Y30" s="133"/>
      <c r="Z30" s="153"/>
      <c r="AA30" s="153"/>
      <c r="AB30" s="139"/>
      <c r="AE30" s="384"/>
      <c r="AF30" s="384"/>
      <c r="AG30" s="384"/>
      <c r="AH30" s="384"/>
      <c r="AI30" s="384"/>
      <c r="AJ30" s="384"/>
      <c r="AK30" s="384"/>
      <c r="AL30" s="384"/>
      <c r="AM30" s="384"/>
      <c r="AN30" s="384"/>
      <c r="AO30" s="384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N30" s="384"/>
      <c r="BO30" s="384"/>
      <c r="BP30" s="384"/>
      <c r="BQ30" s="384"/>
      <c r="BR30" s="384"/>
      <c r="BS30" s="384"/>
      <c r="BT30" s="384"/>
      <c r="BU30" s="384"/>
      <c r="BV30" s="384"/>
      <c r="BW30" s="384"/>
      <c r="BX30" s="384"/>
      <c r="BY30" s="384"/>
      <c r="BZ30" s="384"/>
      <c r="CA30" s="384"/>
      <c r="CB30" s="384"/>
      <c r="CC30" s="384"/>
    </row>
    <row r="31" spans="1:81" s="68" customFormat="1">
      <c r="A31" s="157"/>
      <c r="B31" s="152"/>
      <c r="C31" s="124"/>
      <c r="D31" s="131"/>
      <c r="E31" s="1531"/>
      <c r="F31" s="124"/>
      <c r="G31" s="139"/>
      <c r="H31" s="139"/>
      <c r="I31" s="139"/>
      <c r="J31" s="139"/>
      <c r="K31" s="133">
        <f>0.5*W31</f>
        <v>0</v>
      </c>
      <c r="L31" s="139"/>
      <c r="M31" s="139"/>
      <c r="N31" s="133"/>
      <c r="O31" s="139"/>
      <c r="P31" s="139"/>
      <c r="Q31" s="156"/>
      <c r="R31" s="139"/>
      <c r="S31" s="139"/>
      <c r="T31" s="139"/>
      <c r="U31" s="144"/>
      <c r="V31" s="1531"/>
      <c r="W31" s="124">
        <f t="shared" ref="W31:W36" si="0">U31*V31</f>
        <v>0</v>
      </c>
      <c r="X31" s="139"/>
      <c r="Y31" s="133"/>
      <c r="Z31" s="139"/>
      <c r="AA31" s="139"/>
      <c r="AB31" s="139">
        <v>0</v>
      </c>
      <c r="AE31" s="384"/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384"/>
      <c r="AW31" s="384"/>
      <c r="AX31" s="384"/>
      <c r="AY31" s="384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M31" s="384"/>
      <c r="BN31" s="384"/>
      <c r="BO31" s="384"/>
      <c r="BP31" s="384"/>
      <c r="BQ31" s="384"/>
      <c r="BR31" s="384"/>
      <c r="BS31" s="384"/>
      <c r="BT31" s="384"/>
      <c r="BU31" s="384"/>
      <c r="BV31" s="384"/>
      <c r="BW31" s="384"/>
      <c r="BX31" s="384"/>
      <c r="BY31" s="384"/>
      <c r="BZ31" s="384"/>
      <c r="CA31" s="384"/>
      <c r="CB31" s="384"/>
      <c r="CC31" s="384"/>
    </row>
    <row r="32" spans="1:81" s="68" customFormat="1">
      <c r="A32" s="146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53"/>
      <c r="Q32" s="156"/>
      <c r="R32" s="153"/>
      <c r="S32" s="139"/>
      <c r="T32" s="138"/>
      <c r="U32" s="144"/>
      <c r="V32" s="1531"/>
      <c r="W32" s="124">
        <f t="shared" si="0"/>
        <v>0</v>
      </c>
      <c r="X32" s="139"/>
      <c r="Y32" s="133"/>
      <c r="Z32" s="153"/>
      <c r="AA32" s="153"/>
      <c r="AB32" s="138"/>
      <c r="AE32" s="384"/>
      <c r="AF32" s="384"/>
      <c r="AG32" s="384"/>
      <c r="AH32" s="384"/>
      <c r="AI32" s="384"/>
      <c r="AJ32" s="384"/>
      <c r="AK32" s="384"/>
      <c r="AL32" s="384"/>
      <c r="AM32" s="384"/>
      <c r="AN32" s="384"/>
      <c r="AO32" s="384"/>
      <c r="AP32" s="384"/>
      <c r="AQ32" s="384"/>
      <c r="AR32" s="384"/>
      <c r="AS32" s="384"/>
      <c r="AT32" s="384"/>
      <c r="AU32" s="384"/>
      <c r="AV32" s="384"/>
      <c r="AW32" s="384"/>
      <c r="AX32" s="384"/>
      <c r="AY32" s="384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M32" s="384"/>
      <c r="BN32" s="384"/>
      <c r="BO32" s="384"/>
      <c r="BP32" s="384"/>
      <c r="BQ32" s="384"/>
      <c r="BR32" s="384"/>
      <c r="BS32" s="384"/>
      <c r="BT32" s="384"/>
      <c r="BU32" s="384"/>
      <c r="BV32" s="384"/>
      <c r="BW32" s="384"/>
      <c r="BX32" s="384"/>
      <c r="BY32" s="384"/>
      <c r="BZ32" s="384"/>
      <c r="CA32" s="384"/>
      <c r="CB32" s="384"/>
      <c r="CC32" s="384"/>
    </row>
    <row r="33" spans="1:81" s="68" customForma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0"/>
        <v>0</v>
      </c>
      <c r="X33" s="139"/>
      <c r="Y33" s="133"/>
      <c r="Z33" s="134"/>
      <c r="AA33" s="139"/>
      <c r="AB33" s="138"/>
      <c r="AE33" s="384"/>
      <c r="AF33" s="384"/>
      <c r="AG33" s="384"/>
      <c r="AH33" s="384"/>
      <c r="AI33" s="384"/>
      <c r="AJ33" s="384"/>
      <c r="AK33" s="384"/>
      <c r="AL33" s="384"/>
      <c r="AM33" s="384"/>
      <c r="AN33" s="384"/>
      <c r="AO33" s="384"/>
      <c r="AP33" s="384"/>
      <c r="AQ33" s="384"/>
      <c r="AR33" s="384"/>
      <c r="AS33" s="384"/>
      <c r="AT33" s="384"/>
      <c r="AU33" s="384"/>
      <c r="AV33" s="384"/>
      <c r="AW33" s="384"/>
      <c r="AX33" s="384"/>
      <c r="AY33" s="384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M33" s="384"/>
      <c r="BN33" s="384"/>
      <c r="BO33" s="384"/>
      <c r="BP33" s="384"/>
      <c r="BQ33" s="384"/>
      <c r="BR33" s="384"/>
      <c r="BS33" s="384"/>
      <c r="BT33" s="384"/>
      <c r="BU33" s="384"/>
      <c r="BV33" s="384"/>
      <c r="BW33" s="384"/>
      <c r="BX33" s="384"/>
      <c r="BY33" s="384"/>
      <c r="BZ33" s="384"/>
      <c r="CA33" s="384"/>
      <c r="CB33" s="384"/>
      <c r="CC33" s="384"/>
    </row>
    <row r="34" spans="1:81" s="68" customFormat="1" ht="9.9499999999999993" customHeight="1">
      <c r="A34" s="157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3">
        <f>0.5*W34</f>
        <v>0</v>
      </c>
      <c r="L34" s="139"/>
      <c r="M34" s="134"/>
      <c r="N34" s="133"/>
      <c r="O34" s="134"/>
      <c r="P34" s="134"/>
      <c r="Q34" s="156"/>
      <c r="R34" s="139"/>
      <c r="S34" s="139"/>
      <c r="T34" s="138"/>
      <c r="U34" s="144"/>
      <c r="V34" s="1531"/>
      <c r="W34" s="124">
        <f t="shared" si="0"/>
        <v>0</v>
      </c>
      <c r="X34" s="139"/>
      <c r="Y34" s="133"/>
      <c r="Z34" s="134"/>
      <c r="AA34" s="139"/>
      <c r="AB34" s="138"/>
      <c r="AE34" s="384"/>
      <c r="AF34" s="384"/>
      <c r="AG34" s="384"/>
      <c r="AH34" s="384"/>
      <c r="AI34" s="384"/>
      <c r="AJ34" s="384"/>
      <c r="AK34" s="384"/>
      <c r="AL34" s="384"/>
      <c r="AM34" s="384"/>
      <c r="AN34" s="384"/>
      <c r="AO34" s="384"/>
      <c r="AP34" s="384"/>
      <c r="AQ34" s="384"/>
      <c r="AR34" s="384"/>
      <c r="AS34" s="384"/>
      <c r="AT34" s="384"/>
      <c r="AU34" s="384"/>
      <c r="AV34" s="384"/>
      <c r="AW34" s="384"/>
      <c r="AX34" s="384"/>
      <c r="AY34" s="384"/>
      <c r="AZ34" s="384"/>
      <c r="BA34" s="384"/>
      <c r="BB34" s="384"/>
      <c r="BC34" s="384"/>
      <c r="BD34" s="384"/>
      <c r="BE34" s="384"/>
      <c r="BF34" s="384"/>
      <c r="BG34" s="384"/>
      <c r="BH34" s="384"/>
      <c r="BI34" s="384"/>
      <c r="BJ34" s="384"/>
      <c r="BK34" s="384"/>
      <c r="BL34" s="384"/>
      <c r="BM34" s="384"/>
      <c r="BN34" s="384"/>
      <c r="BO34" s="384"/>
      <c r="BP34" s="384"/>
      <c r="BQ34" s="384"/>
      <c r="BR34" s="384"/>
      <c r="BS34" s="384"/>
      <c r="BT34" s="384"/>
      <c r="BU34" s="384"/>
      <c r="BV34" s="384"/>
      <c r="BW34" s="384"/>
      <c r="BX34" s="384"/>
      <c r="BY34" s="384"/>
      <c r="BZ34" s="384"/>
      <c r="CA34" s="384"/>
      <c r="CB34" s="384"/>
      <c r="CC34" s="384"/>
    </row>
    <row r="35" spans="1:81" s="68" customFormat="1">
      <c r="A35" s="1530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0"/>
        <v>0</v>
      </c>
      <c r="X35" s="139"/>
      <c r="Y35" s="134"/>
      <c r="Z35" s="134"/>
      <c r="AA35" s="139"/>
      <c r="AB35" s="138"/>
      <c r="AE35" s="384"/>
      <c r="AF35" s="384"/>
      <c r="AG35" s="384"/>
      <c r="AH35" s="384"/>
      <c r="AI35" s="384"/>
      <c r="AJ35" s="384"/>
      <c r="AK35" s="384"/>
      <c r="AL35" s="384"/>
      <c r="AM35" s="384"/>
      <c r="AN35" s="384"/>
      <c r="AO35" s="384"/>
      <c r="AP35" s="384"/>
      <c r="AQ35" s="384"/>
      <c r="AR35" s="384"/>
      <c r="AS35" s="384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84"/>
      <c r="BV35" s="384"/>
      <c r="BW35" s="384"/>
      <c r="BX35" s="384"/>
      <c r="BY35" s="384"/>
      <c r="BZ35" s="384"/>
      <c r="CA35" s="384"/>
      <c r="CB35" s="384"/>
      <c r="CC35" s="384"/>
    </row>
    <row r="36" spans="1:81" s="68" customFormat="1">
      <c r="A36" s="157"/>
      <c r="B36" s="152"/>
      <c r="C36" s="124">
        <f>D36*E36</f>
        <v>0</v>
      </c>
      <c r="D36" s="131"/>
      <c r="E36" s="1531"/>
      <c r="F36" s="124">
        <f>D36*E36</f>
        <v>0</v>
      </c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>
        <f t="shared" si="0"/>
        <v>0</v>
      </c>
      <c r="X36" s="139"/>
      <c r="Y36" s="134"/>
      <c r="Z36" s="134"/>
      <c r="AA36" s="139"/>
      <c r="AB36" s="138"/>
      <c r="AE36" s="384"/>
      <c r="AF36" s="384"/>
      <c r="AG36" s="384"/>
      <c r="AH36" s="384"/>
      <c r="AI36" s="384"/>
      <c r="AJ36" s="384"/>
      <c r="AK36" s="384"/>
      <c r="AL36" s="384"/>
      <c r="AM36" s="384"/>
      <c r="AN36" s="384"/>
      <c r="AO36" s="384"/>
      <c r="AP36" s="384"/>
      <c r="AQ36" s="384"/>
      <c r="AR36" s="384"/>
      <c r="AS36" s="384"/>
      <c r="AT36" s="384"/>
      <c r="AU36" s="384"/>
      <c r="AV36" s="384"/>
      <c r="AW36" s="384"/>
      <c r="AX36" s="384"/>
      <c r="AY36" s="384"/>
      <c r="AZ36" s="384"/>
      <c r="BA36" s="384"/>
      <c r="BB36" s="384"/>
      <c r="BC36" s="384"/>
      <c r="BD36" s="384"/>
      <c r="BE36" s="384"/>
      <c r="BF36" s="384"/>
      <c r="BG36" s="384"/>
      <c r="BH36" s="384"/>
      <c r="BI36" s="384"/>
      <c r="BJ36" s="384"/>
      <c r="BK36" s="384"/>
      <c r="BL36" s="384"/>
      <c r="BM36" s="384"/>
      <c r="BN36" s="384"/>
      <c r="BO36" s="384"/>
      <c r="BP36" s="384"/>
      <c r="BQ36" s="384"/>
      <c r="BR36" s="384"/>
      <c r="BS36" s="384"/>
      <c r="BT36" s="384"/>
      <c r="BU36" s="384"/>
      <c r="BV36" s="384"/>
      <c r="BW36" s="384"/>
      <c r="BX36" s="384"/>
      <c r="BY36" s="384"/>
      <c r="BZ36" s="384"/>
      <c r="CA36" s="384"/>
      <c r="CB36" s="384"/>
      <c r="CC36" s="384"/>
    </row>
    <row r="37" spans="1:81" s="68" customFormat="1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  <c r="AE37" s="384"/>
      <c r="AF37" s="384"/>
      <c r="AG37" s="384"/>
      <c r="AH37" s="384"/>
      <c r="AI37" s="384"/>
      <c r="AJ37" s="384"/>
      <c r="AK37" s="384"/>
      <c r="AL37" s="384"/>
      <c r="AM37" s="384"/>
      <c r="AN37" s="384"/>
      <c r="AO37" s="384"/>
      <c r="AP37" s="384"/>
      <c r="AQ37" s="384"/>
      <c r="AR37" s="384"/>
      <c r="AS37" s="384"/>
      <c r="AT37" s="384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84"/>
      <c r="BV37" s="384"/>
      <c r="BW37" s="384"/>
      <c r="BX37" s="384"/>
      <c r="BY37" s="384"/>
      <c r="BZ37" s="384"/>
      <c r="CA37" s="384"/>
      <c r="CB37" s="384"/>
      <c r="CC37" s="384"/>
    </row>
    <row r="38" spans="1:81" s="68" customFormat="1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4"/>
      <c r="AS38" s="384"/>
      <c r="AT38" s="384"/>
      <c r="AU38" s="384"/>
      <c r="AV38" s="384"/>
      <c r="AW38" s="384"/>
      <c r="AX38" s="384"/>
      <c r="AY38" s="384"/>
      <c r="AZ38" s="384"/>
      <c r="BA38" s="384"/>
      <c r="BB38" s="384"/>
      <c r="BC38" s="384"/>
      <c r="BD38" s="384"/>
      <c r="BE38" s="384"/>
      <c r="BF38" s="384"/>
      <c r="BG38" s="384"/>
      <c r="BH38" s="384"/>
      <c r="BI38" s="384"/>
      <c r="BJ38" s="384"/>
      <c r="BK38" s="384"/>
      <c r="BL38" s="384"/>
      <c r="BM38" s="384"/>
      <c r="BN38" s="384"/>
      <c r="BO38" s="384"/>
      <c r="BP38" s="384"/>
      <c r="BQ38" s="384"/>
      <c r="BR38" s="384"/>
      <c r="BS38" s="384"/>
      <c r="BT38" s="384"/>
      <c r="BU38" s="384"/>
      <c r="BV38" s="384"/>
      <c r="BW38" s="384"/>
      <c r="BX38" s="384"/>
      <c r="BY38" s="384"/>
      <c r="BZ38" s="384"/>
      <c r="CA38" s="384"/>
      <c r="CB38" s="384"/>
      <c r="CC38" s="384"/>
    </row>
    <row r="39" spans="1:81" s="68" customFormat="1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4"/>
      <c r="AS39" s="384"/>
      <c r="AT39" s="384"/>
      <c r="AU39" s="384"/>
      <c r="AV39" s="384"/>
      <c r="AW39" s="384"/>
      <c r="AX39" s="384"/>
      <c r="AY39" s="384"/>
      <c r="AZ39" s="384"/>
      <c r="BA39" s="384"/>
      <c r="BB39" s="384"/>
      <c r="BC39" s="384"/>
      <c r="BD39" s="384"/>
      <c r="BE39" s="384"/>
      <c r="BF39" s="384"/>
      <c r="BG39" s="384"/>
      <c r="BH39" s="384"/>
      <c r="BI39" s="384"/>
      <c r="BJ39" s="384"/>
      <c r="BK39" s="384"/>
      <c r="BL39" s="384"/>
      <c r="BM39" s="384"/>
      <c r="BN39" s="384"/>
      <c r="BO39" s="384"/>
      <c r="BP39" s="384"/>
      <c r="BQ39" s="384"/>
      <c r="BR39" s="384"/>
      <c r="BS39" s="384"/>
      <c r="BT39" s="384"/>
      <c r="BU39" s="384"/>
      <c r="BV39" s="384"/>
      <c r="BW39" s="384"/>
      <c r="BX39" s="384"/>
      <c r="BY39" s="384"/>
      <c r="BZ39" s="384"/>
      <c r="CA39" s="384"/>
      <c r="CB39" s="384"/>
      <c r="CC39" s="384"/>
    </row>
    <row r="40" spans="1:81" s="68" customFormat="1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4"/>
      <c r="AS40" s="384"/>
      <c r="AT40" s="384"/>
      <c r="AU40" s="384"/>
      <c r="AV40" s="384"/>
      <c r="AW40" s="384"/>
      <c r="AX40" s="384"/>
      <c r="AY40" s="384"/>
      <c r="AZ40" s="384"/>
      <c r="BA40" s="384"/>
      <c r="BB40" s="384"/>
      <c r="BC40" s="384"/>
      <c r="BD40" s="384"/>
      <c r="BE40" s="384"/>
      <c r="BF40" s="384"/>
      <c r="BG40" s="384"/>
      <c r="BH40" s="384"/>
      <c r="BI40" s="384"/>
      <c r="BJ40" s="384"/>
      <c r="BK40" s="384"/>
      <c r="BL40" s="384"/>
      <c r="BM40" s="384"/>
      <c r="BN40" s="384"/>
      <c r="BO40" s="384"/>
      <c r="BP40" s="384"/>
      <c r="BQ40" s="384"/>
      <c r="BR40" s="384"/>
      <c r="BS40" s="384"/>
      <c r="BT40" s="384"/>
      <c r="BU40" s="384"/>
      <c r="BV40" s="384"/>
      <c r="BW40" s="384"/>
      <c r="BX40" s="384"/>
      <c r="BY40" s="384"/>
      <c r="BZ40" s="384"/>
      <c r="CA40" s="384"/>
      <c r="CB40" s="384"/>
      <c r="CC40" s="384"/>
    </row>
    <row r="41" spans="1:81" s="68" customFormat="1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</row>
    <row r="42" spans="1:81" s="68" customFormat="1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4"/>
      <c r="AS42" s="384"/>
      <c r="AT42" s="384"/>
      <c r="AU42" s="384"/>
      <c r="AV42" s="384"/>
      <c r="AW42" s="384"/>
      <c r="AX42" s="384"/>
      <c r="AY42" s="384"/>
      <c r="AZ42" s="384"/>
      <c r="BA42" s="384"/>
      <c r="BB42" s="384"/>
      <c r="BC42" s="384"/>
      <c r="BD42" s="384"/>
      <c r="BE42" s="384"/>
      <c r="BF42" s="384"/>
      <c r="BG42" s="384"/>
      <c r="BH42" s="384"/>
      <c r="BI42" s="384"/>
      <c r="BJ42" s="384"/>
      <c r="BK42" s="384"/>
      <c r="BL42" s="384"/>
      <c r="BM42" s="384"/>
      <c r="BN42" s="384"/>
      <c r="BO42" s="384"/>
      <c r="BP42" s="384"/>
      <c r="BQ42" s="384"/>
      <c r="BR42" s="384"/>
      <c r="BS42" s="384"/>
      <c r="BT42" s="384"/>
      <c r="BU42" s="384"/>
      <c r="BV42" s="384"/>
      <c r="BW42" s="384"/>
      <c r="BX42" s="384"/>
      <c r="BY42" s="384"/>
      <c r="BZ42" s="384"/>
      <c r="CA42" s="384"/>
      <c r="CB42" s="384"/>
      <c r="CC42" s="384"/>
    </row>
    <row r="43" spans="1:81" s="68" customFormat="1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  <c r="AE43" s="384"/>
      <c r="AF43" s="384"/>
      <c r="AG43" s="384"/>
      <c r="AH43" s="384"/>
      <c r="AI43" s="384"/>
      <c r="AJ43" s="384"/>
      <c r="AK43" s="384"/>
      <c r="AL43" s="384"/>
      <c r="AM43" s="384"/>
      <c r="AN43" s="384"/>
      <c r="AO43" s="384"/>
      <c r="AP43" s="384"/>
      <c r="AQ43" s="384"/>
      <c r="AR43" s="384"/>
      <c r="AS43" s="384"/>
      <c r="AT43" s="384"/>
      <c r="AU43" s="384"/>
      <c r="AV43" s="384"/>
      <c r="AW43" s="384"/>
      <c r="AX43" s="384"/>
      <c r="AY43" s="384"/>
      <c r="AZ43" s="384"/>
      <c r="BA43" s="384"/>
      <c r="BB43" s="384"/>
      <c r="BC43" s="384"/>
      <c r="BD43" s="384"/>
      <c r="BE43" s="384"/>
      <c r="BF43" s="384"/>
      <c r="BG43" s="384"/>
      <c r="BH43" s="384"/>
      <c r="BI43" s="384"/>
      <c r="BJ43" s="384"/>
      <c r="BK43" s="384"/>
      <c r="BL43" s="384"/>
      <c r="BM43" s="384"/>
      <c r="BN43" s="384"/>
      <c r="BO43" s="384"/>
      <c r="BP43" s="384"/>
      <c r="BQ43" s="384"/>
      <c r="BR43" s="384"/>
      <c r="BS43" s="384"/>
      <c r="BT43" s="384"/>
      <c r="BU43" s="384"/>
      <c r="BV43" s="384"/>
      <c r="BW43" s="384"/>
      <c r="BX43" s="384"/>
      <c r="BY43" s="384"/>
      <c r="BZ43" s="384"/>
      <c r="CA43" s="384"/>
      <c r="CB43" s="384"/>
      <c r="CC43" s="384"/>
    </row>
    <row r="44" spans="1:81" s="68" customFormat="1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  <c r="AE44" s="384"/>
      <c r="AF44" s="384"/>
      <c r="AG44" s="384"/>
      <c r="AH44" s="384"/>
      <c r="AI44" s="384"/>
      <c r="AJ44" s="384"/>
      <c r="AK44" s="384"/>
      <c r="AL44" s="384"/>
      <c r="AM44" s="384"/>
      <c r="AN44" s="384"/>
      <c r="AO44" s="384"/>
      <c r="AP44" s="384"/>
      <c r="AQ44" s="384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4"/>
      <c r="BM44" s="384"/>
      <c r="BN44" s="384"/>
      <c r="BO44" s="384"/>
      <c r="BP44" s="384"/>
      <c r="BQ44" s="384"/>
      <c r="BR44" s="384"/>
      <c r="BS44" s="384"/>
      <c r="BT44" s="384"/>
      <c r="BU44" s="384"/>
      <c r="BV44" s="384"/>
      <c r="BW44" s="384"/>
      <c r="BX44" s="384"/>
      <c r="BY44" s="384"/>
      <c r="BZ44" s="384"/>
      <c r="CA44" s="384"/>
      <c r="CB44" s="384"/>
      <c r="CC44" s="384"/>
    </row>
    <row r="45" spans="1:81" s="68" customFormat="1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  <c r="AE45" s="384"/>
      <c r="AF45" s="384"/>
      <c r="AG45" s="384"/>
      <c r="AH45" s="384"/>
      <c r="AI45" s="384"/>
      <c r="AJ45" s="384"/>
      <c r="AK45" s="384"/>
      <c r="AL45" s="384"/>
      <c r="AM45" s="384"/>
      <c r="AN45" s="384"/>
      <c r="AO45" s="384"/>
      <c r="AP45" s="384"/>
      <c r="AQ45" s="384"/>
      <c r="AR45" s="384"/>
      <c r="AS45" s="384"/>
      <c r="AT45" s="384"/>
      <c r="AU45" s="384"/>
      <c r="AV45" s="384"/>
      <c r="AW45" s="384"/>
      <c r="AX45" s="384"/>
      <c r="AY45" s="384"/>
      <c r="AZ45" s="384"/>
      <c r="BA45" s="384"/>
      <c r="BB45" s="384"/>
      <c r="BC45" s="384"/>
      <c r="BD45" s="384"/>
      <c r="BE45" s="384"/>
      <c r="BF45" s="384"/>
      <c r="BG45" s="384"/>
      <c r="BH45" s="384"/>
      <c r="BI45" s="384"/>
      <c r="BJ45" s="384"/>
      <c r="BK45" s="384"/>
      <c r="BL45" s="384"/>
      <c r="BM45" s="384"/>
      <c r="BN45" s="384"/>
      <c r="BO45" s="384"/>
      <c r="BP45" s="384"/>
      <c r="BQ45" s="384"/>
      <c r="BR45" s="384"/>
      <c r="BS45" s="384"/>
      <c r="BT45" s="384"/>
      <c r="BU45" s="384"/>
      <c r="BV45" s="384"/>
      <c r="BW45" s="384"/>
      <c r="BX45" s="384"/>
      <c r="BY45" s="384"/>
      <c r="BZ45" s="384"/>
      <c r="CA45" s="384"/>
      <c r="CB45" s="384"/>
      <c r="CC45" s="384"/>
    </row>
    <row r="46" spans="1:81" s="68" customFormat="1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  <c r="AE46" s="384"/>
      <c r="AF46" s="384"/>
      <c r="AG46" s="384"/>
      <c r="AH46" s="384"/>
      <c r="AI46" s="384"/>
      <c r="AJ46" s="384"/>
      <c r="AK46" s="384"/>
      <c r="AL46" s="384"/>
      <c r="AM46" s="384"/>
      <c r="AN46" s="384"/>
      <c r="AO46" s="384"/>
      <c r="AP46" s="384"/>
      <c r="AQ46" s="384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4"/>
      <c r="BM46" s="384"/>
      <c r="BN46" s="384"/>
      <c r="BO46" s="384"/>
      <c r="BP46" s="384"/>
      <c r="BQ46" s="384"/>
      <c r="BR46" s="384"/>
      <c r="BS46" s="384"/>
      <c r="BT46" s="384"/>
      <c r="BU46" s="384"/>
      <c r="BV46" s="384"/>
      <c r="BW46" s="384"/>
      <c r="BX46" s="384"/>
      <c r="BY46" s="384"/>
      <c r="BZ46" s="384"/>
      <c r="CA46" s="384"/>
      <c r="CB46" s="384"/>
      <c r="CC46" s="384"/>
    </row>
    <row r="47" spans="1:81" s="68" customFormat="1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  <c r="AE47" s="384"/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384"/>
      <c r="AW47" s="384"/>
      <c r="AX47" s="384"/>
      <c r="AY47" s="384"/>
      <c r="AZ47" s="384"/>
      <c r="BA47" s="384"/>
      <c r="BB47" s="384"/>
      <c r="BC47" s="384"/>
      <c r="BD47" s="384"/>
      <c r="BE47" s="384"/>
      <c r="BF47" s="384"/>
      <c r="BG47" s="384"/>
      <c r="BH47" s="384"/>
      <c r="BI47" s="384"/>
      <c r="BJ47" s="384"/>
      <c r="BK47" s="384"/>
      <c r="BL47" s="384"/>
      <c r="BM47" s="384"/>
      <c r="BN47" s="384"/>
      <c r="BO47" s="384"/>
      <c r="BP47" s="384"/>
      <c r="BQ47" s="384"/>
      <c r="BR47" s="384"/>
      <c r="BS47" s="384"/>
      <c r="BT47" s="384"/>
      <c r="BU47" s="384"/>
      <c r="BV47" s="384"/>
      <c r="BW47" s="384"/>
      <c r="BX47" s="384"/>
      <c r="BY47" s="384"/>
      <c r="BZ47" s="384"/>
      <c r="CA47" s="384"/>
      <c r="CB47" s="384"/>
      <c r="CC47" s="384"/>
    </row>
    <row r="48" spans="1:81" s="68" customFormat="1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  <c r="AE48" s="384"/>
      <c r="AF48" s="384"/>
      <c r="AG48" s="384"/>
      <c r="AH48" s="384"/>
      <c r="AI48" s="384"/>
      <c r="AJ48" s="384"/>
      <c r="AK48" s="384"/>
      <c r="AL48" s="384"/>
      <c r="AM48" s="384"/>
      <c r="AN48" s="384"/>
      <c r="AO48" s="384"/>
      <c r="AP48" s="384"/>
      <c r="AQ48" s="384"/>
      <c r="AR48" s="384"/>
      <c r="AS48" s="384"/>
      <c r="AT48" s="384"/>
      <c r="AU48" s="384"/>
      <c r="AV48" s="384"/>
      <c r="AW48" s="384"/>
      <c r="AX48" s="384"/>
      <c r="AY48" s="384"/>
      <c r="AZ48" s="384"/>
      <c r="BA48" s="384"/>
      <c r="BB48" s="384"/>
      <c r="BC48" s="384"/>
      <c r="BD48" s="384"/>
      <c r="BE48" s="384"/>
      <c r="BF48" s="384"/>
      <c r="BG48" s="384"/>
      <c r="BH48" s="384"/>
      <c r="BI48" s="384"/>
      <c r="BJ48" s="384"/>
      <c r="BK48" s="384"/>
      <c r="BL48" s="384"/>
      <c r="BM48" s="384"/>
      <c r="BN48" s="384"/>
      <c r="BO48" s="384"/>
      <c r="BP48" s="384"/>
      <c r="BQ48" s="384"/>
      <c r="BR48" s="384"/>
      <c r="BS48" s="384"/>
      <c r="BT48" s="384"/>
      <c r="BU48" s="384"/>
      <c r="BV48" s="384"/>
      <c r="BW48" s="384"/>
      <c r="BX48" s="384"/>
      <c r="BY48" s="384"/>
      <c r="BZ48" s="384"/>
      <c r="CA48" s="384"/>
      <c r="CB48" s="384"/>
      <c r="CC48" s="384"/>
    </row>
    <row r="49" spans="1:81" s="68" customFormat="1">
      <c r="A49" s="157"/>
      <c r="B49" s="152"/>
      <c r="C49" s="124"/>
      <c r="D49" s="131"/>
      <c r="E49" s="1531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4"/>
      <c r="Q49" s="156"/>
      <c r="R49" s="139"/>
      <c r="S49" s="139"/>
      <c r="T49" s="138"/>
      <c r="U49" s="144"/>
      <c r="V49" s="1531"/>
      <c r="W49" s="124"/>
      <c r="X49" s="139"/>
      <c r="Y49" s="134"/>
      <c r="Z49" s="134"/>
      <c r="AA49" s="139"/>
      <c r="AB49" s="138"/>
      <c r="AE49" s="384"/>
      <c r="AF49" s="384"/>
      <c r="AG49" s="384"/>
      <c r="AH49" s="384"/>
      <c r="AI49" s="384"/>
      <c r="AJ49" s="384"/>
      <c r="AK49" s="384"/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  <c r="BC49" s="384"/>
      <c r="BD49" s="384"/>
      <c r="BE49" s="384"/>
      <c r="BF49" s="384"/>
      <c r="BG49" s="384"/>
      <c r="BH49" s="384"/>
      <c r="BI49" s="384"/>
      <c r="BJ49" s="384"/>
      <c r="BK49" s="384"/>
      <c r="BL49" s="384"/>
      <c r="BM49" s="384"/>
      <c r="BN49" s="384"/>
      <c r="BO49" s="384"/>
      <c r="BP49" s="384"/>
      <c r="BQ49" s="384"/>
      <c r="BR49" s="384"/>
      <c r="BS49" s="384"/>
      <c r="BT49" s="384"/>
      <c r="BU49" s="384"/>
      <c r="BV49" s="384"/>
      <c r="BW49" s="384"/>
      <c r="BX49" s="384"/>
      <c r="BY49" s="384"/>
      <c r="BZ49" s="384"/>
      <c r="CA49" s="384"/>
      <c r="CB49" s="384"/>
      <c r="CC49" s="384"/>
    </row>
    <row r="50" spans="1:81" s="68" customFormat="1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ref="W50:W59" si="1">U50*V50</f>
        <v>0</v>
      </c>
      <c r="X50" s="139"/>
      <c r="Y50" s="134"/>
      <c r="Z50" s="139"/>
      <c r="AA50" s="139"/>
      <c r="AB50" s="138"/>
      <c r="AE50" s="384"/>
      <c r="AF50" s="384"/>
      <c r="AG50" s="384"/>
      <c r="AH50" s="384"/>
      <c r="AI50" s="384"/>
      <c r="AJ50" s="384"/>
      <c r="AK50" s="384"/>
      <c r="AL50" s="384"/>
      <c r="AM50" s="384"/>
      <c r="AN50" s="384"/>
      <c r="AO50" s="384"/>
      <c r="AP50" s="384"/>
      <c r="AQ50" s="384"/>
      <c r="AR50" s="384"/>
      <c r="AS50" s="384"/>
      <c r="AT50" s="384"/>
      <c r="AU50" s="384"/>
      <c r="AV50" s="384"/>
      <c r="AW50" s="384"/>
      <c r="AX50" s="384"/>
      <c r="AY50" s="384"/>
      <c r="AZ50" s="384"/>
      <c r="BA50" s="384"/>
      <c r="BB50" s="384"/>
      <c r="BC50" s="384"/>
      <c r="BD50" s="384"/>
      <c r="BE50" s="384"/>
      <c r="BF50" s="384"/>
      <c r="BG50" s="384"/>
      <c r="BH50" s="384"/>
      <c r="BI50" s="384"/>
      <c r="BJ50" s="384"/>
      <c r="BK50" s="384"/>
      <c r="BL50" s="384"/>
      <c r="BM50" s="384"/>
      <c r="BN50" s="384"/>
      <c r="BO50" s="384"/>
      <c r="BP50" s="384"/>
      <c r="BQ50" s="384"/>
      <c r="BR50" s="384"/>
      <c r="BS50" s="384"/>
      <c r="BT50" s="384"/>
      <c r="BU50" s="384"/>
      <c r="BV50" s="384"/>
      <c r="BW50" s="384"/>
      <c r="BX50" s="384"/>
      <c r="BY50" s="384"/>
      <c r="BZ50" s="384"/>
      <c r="CA50" s="384"/>
      <c r="CB50" s="384"/>
      <c r="CC50" s="384"/>
    </row>
    <row r="51" spans="1:81" s="68" customFormat="1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1"/>
        <v>0</v>
      </c>
      <c r="X51" s="139"/>
      <c r="Y51" s="134"/>
      <c r="Z51" s="139"/>
      <c r="AA51" s="139"/>
      <c r="AB51" s="138"/>
      <c r="AE51" s="384"/>
      <c r="AF51" s="384"/>
      <c r="AG51" s="384"/>
      <c r="AH51" s="384"/>
      <c r="AI51" s="384"/>
      <c r="AJ51" s="384"/>
      <c r="AK51" s="384"/>
      <c r="AL51" s="384"/>
      <c r="AM51" s="384"/>
      <c r="AN51" s="384"/>
      <c r="AO51" s="384"/>
      <c r="AP51" s="384"/>
      <c r="AQ51" s="384"/>
      <c r="AR51" s="384"/>
      <c r="AS51" s="384"/>
      <c r="AT51" s="384"/>
      <c r="AU51" s="384"/>
      <c r="AV51" s="384"/>
      <c r="AW51" s="384"/>
      <c r="AX51" s="384"/>
      <c r="AY51" s="384"/>
      <c r="AZ51" s="384"/>
      <c r="BA51" s="384"/>
      <c r="BB51" s="384"/>
      <c r="BC51" s="384"/>
      <c r="BD51" s="384"/>
      <c r="BE51" s="384"/>
      <c r="BF51" s="384"/>
      <c r="BG51" s="384"/>
      <c r="BH51" s="384"/>
      <c r="BI51" s="384"/>
      <c r="BJ51" s="384"/>
      <c r="BK51" s="384"/>
      <c r="BL51" s="384"/>
      <c r="BM51" s="384"/>
      <c r="BN51" s="384"/>
      <c r="BO51" s="384"/>
      <c r="BP51" s="384"/>
      <c r="BQ51" s="384"/>
      <c r="BR51" s="384"/>
      <c r="BS51" s="384"/>
      <c r="BT51" s="384"/>
      <c r="BU51" s="384"/>
      <c r="BV51" s="384"/>
      <c r="BW51" s="384"/>
      <c r="BX51" s="384"/>
      <c r="BY51" s="384"/>
      <c r="BZ51" s="384"/>
      <c r="CA51" s="384"/>
      <c r="CB51" s="384"/>
      <c r="CC51" s="384"/>
    </row>
    <row r="52" spans="1:81" s="68" customFormat="1">
      <c r="A52" s="157"/>
      <c r="B52" s="152"/>
      <c r="C52" s="124">
        <f>D52*E52</f>
        <v>0</v>
      </c>
      <c r="D52" s="131"/>
      <c r="E52" s="1531"/>
      <c r="F52" s="124">
        <f>D52*E52</f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31"/>
      <c r="W52" s="124">
        <f t="shared" si="1"/>
        <v>0</v>
      </c>
      <c r="X52" s="139"/>
      <c r="Y52" s="134"/>
      <c r="Z52" s="139"/>
      <c r="AA52" s="139"/>
      <c r="AB52" s="138"/>
      <c r="AE52" s="384"/>
      <c r="AF52" s="384"/>
      <c r="AG52" s="384"/>
      <c r="AH52" s="384"/>
      <c r="AI52" s="384"/>
      <c r="AJ52" s="384"/>
      <c r="AK52" s="384"/>
      <c r="AL52" s="384"/>
      <c r="AM52" s="384"/>
      <c r="AN52" s="384"/>
      <c r="AO52" s="384"/>
      <c r="AP52" s="384"/>
      <c r="AQ52" s="384"/>
      <c r="AR52" s="384"/>
      <c r="AS52" s="384"/>
      <c r="AT52" s="384"/>
      <c r="AU52" s="384"/>
      <c r="AV52" s="384"/>
      <c r="AW52" s="384"/>
      <c r="AX52" s="384"/>
      <c r="AY52" s="384"/>
      <c r="AZ52" s="384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N52" s="384"/>
      <c r="BO52" s="384"/>
      <c r="BP52" s="384"/>
      <c r="BQ52" s="384"/>
      <c r="BR52" s="384"/>
      <c r="BS52" s="384"/>
      <c r="BT52" s="384"/>
      <c r="BU52" s="384"/>
      <c r="BV52" s="384"/>
      <c r="BW52" s="384"/>
      <c r="BX52" s="384"/>
      <c r="BY52" s="384"/>
      <c r="BZ52" s="384"/>
      <c r="CA52" s="384"/>
      <c r="CB52" s="384"/>
      <c r="CC52" s="384"/>
    </row>
    <row r="53" spans="1:81" s="68" customFormat="1">
      <c r="A53" s="157"/>
      <c r="B53" s="152"/>
      <c r="C53" s="124"/>
      <c r="D53" s="131"/>
      <c r="E53" s="157"/>
      <c r="F53" s="124"/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  <c r="AE53" s="384"/>
      <c r="AF53" s="384"/>
      <c r="AG53" s="384"/>
      <c r="AH53" s="384"/>
      <c r="AI53" s="384"/>
      <c r="AJ53" s="384"/>
      <c r="AK53" s="384"/>
      <c r="AL53" s="384"/>
      <c r="AM53" s="384"/>
      <c r="AN53" s="384"/>
      <c r="AO53" s="384"/>
      <c r="AP53" s="384"/>
      <c r="AQ53" s="384"/>
      <c r="AR53" s="384"/>
      <c r="AS53" s="384"/>
      <c r="AT53" s="384"/>
      <c r="AU53" s="384"/>
      <c r="AV53" s="384"/>
      <c r="AW53" s="384"/>
      <c r="AX53" s="384"/>
      <c r="AY53" s="384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M53" s="384"/>
      <c r="BN53" s="384"/>
      <c r="BO53" s="384"/>
      <c r="BP53" s="384"/>
      <c r="BQ53" s="384"/>
      <c r="BR53" s="384"/>
      <c r="BS53" s="384"/>
      <c r="BT53" s="384"/>
      <c r="BU53" s="384"/>
      <c r="BV53" s="384"/>
      <c r="BW53" s="384"/>
      <c r="BX53" s="384"/>
      <c r="BY53" s="384"/>
      <c r="BZ53" s="384"/>
      <c r="CA53" s="384"/>
      <c r="CB53" s="384"/>
      <c r="CC53" s="384"/>
    </row>
    <row r="54" spans="1:81" s="68" customFormat="1">
      <c r="A54" s="1530"/>
      <c r="B54" s="152"/>
      <c r="C54" s="124">
        <f t="shared" ref="C54:C59" si="2">D54*E54</f>
        <v>0</v>
      </c>
      <c r="D54" s="131"/>
      <c r="E54" s="157"/>
      <c r="F54" s="124">
        <f t="shared" ref="F54:F59" si="3">D54*E54</f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1"/>
        <v>0</v>
      </c>
      <c r="X54" s="139"/>
      <c r="Y54" s="134"/>
      <c r="Z54" s="139"/>
      <c r="AA54" s="139"/>
      <c r="AB54" s="138"/>
      <c r="AE54" s="384"/>
      <c r="AF54" s="384"/>
      <c r="AG54" s="384"/>
      <c r="AH54" s="384"/>
      <c r="AI54" s="384"/>
      <c r="AJ54" s="384"/>
      <c r="AK54" s="384"/>
      <c r="AL54" s="384"/>
      <c r="AM54" s="384"/>
      <c r="AN54" s="384"/>
      <c r="AO54" s="384"/>
      <c r="AP54" s="384"/>
      <c r="AQ54" s="384"/>
      <c r="AR54" s="384"/>
      <c r="AS54" s="384"/>
      <c r="AT54" s="384"/>
      <c r="AU54" s="384"/>
      <c r="AV54" s="384"/>
      <c r="AW54" s="384"/>
      <c r="AX54" s="384"/>
      <c r="AY54" s="384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M54" s="384"/>
      <c r="BN54" s="384"/>
      <c r="BO54" s="384"/>
      <c r="BP54" s="384"/>
      <c r="BQ54" s="384"/>
      <c r="BR54" s="384"/>
      <c r="BS54" s="384"/>
      <c r="BT54" s="384"/>
      <c r="BU54" s="384"/>
      <c r="BV54" s="384"/>
      <c r="BW54" s="384"/>
      <c r="BX54" s="384"/>
      <c r="BY54" s="384"/>
      <c r="BZ54" s="384"/>
      <c r="CA54" s="384"/>
      <c r="CB54" s="384"/>
      <c r="CC54" s="384"/>
    </row>
    <row r="55" spans="1:81" s="68" customFormat="1">
      <c r="A55" s="157"/>
      <c r="B55" s="152"/>
      <c r="C55" s="124">
        <f t="shared" si="2"/>
        <v>0</v>
      </c>
      <c r="D55" s="131"/>
      <c r="E55" s="146"/>
      <c r="F55" s="124">
        <f t="shared" si="3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46"/>
      <c r="W55" s="124">
        <f t="shared" si="1"/>
        <v>0</v>
      </c>
      <c r="X55" s="139"/>
      <c r="Y55" s="134"/>
      <c r="Z55" s="139"/>
      <c r="AA55" s="139"/>
      <c r="AB55" s="138"/>
      <c r="AE55" s="384"/>
      <c r="AF55" s="384"/>
      <c r="AG55" s="384"/>
      <c r="AH55" s="384"/>
      <c r="AI55" s="384"/>
      <c r="AJ55" s="384"/>
      <c r="AK55" s="384"/>
      <c r="AL55" s="384"/>
      <c r="AM55" s="384"/>
      <c r="AN55" s="384"/>
      <c r="AO55" s="384"/>
      <c r="AP55" s="384"/>
      <c r="AQ55" s="384"/>
      <c r="AR55" s="384"/>
      <c r="AS55" s="384"/>
      <c r="AT55" s="384"/>
      <c r="AU55" s="384"/>
      <c r="AV55" s="384"/>
      <c r="AW55" s="384"/>
      <c r="AX55" s="384"/>
      <c r="AY55" s="384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M55" s="384"/>
      <c r="BN55" s="384"/>
      <c r="BO55" s="384"/>
      <c r="BP55" s="384"/>
      <c r="BQ55" s="384"/>
      <c r="BR55" s="384"/>
      <c r="BS55" s="384"/>
      <c r="BT55" s="384"/>
      <c r="BU55" s="384"/>
      <c r="BV55" s="384"/>
      <c r="BW55" s="384"/>
      <c r="BX55" s="384"/>
      <c r="BY55" s="384"/>
      <c r="BZ55" s="384"/>
      <c r="CA55" s="384"/>
      <c r="CB55" s="384"/>
      <c r="CC55" s="384"/>
    </row>
    <row r="56" spans="1:81" s="68" customFormat="1">
      <c r="A56" s="157"/>
      <c r="B56" s="152"/>
      <c r="C56" s="124">
        <f t="shared" si="2"/>
        <v>0</v>
      </c>
      <c r="D56" s="131"/>
      <c r="E56" s="157"/>
      <c r="F56" s="124">
        <f t="shared" si="3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57"/>
      <c r="W56" s="124">
        <f t="shared" si="1"/>
        <v>0</v>
      </c>
      <c r="X56" s="139"/>
      <c r="Y56" s="134"/>
      <c r="Z56" s="139"/>
      <c r="AA56" s="139"/>
      <c r="AB56" s="138"/>
      <c r="AE56" s="384"/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384"/>
      <c r="AW56" s="384"/>
      <c r="AX56" s="384"/>
      <c r="AY56" s="384"/>
      <c r="AZ56" s="384"/>
      <c r="BA56" s="384"/>
      <c r="BB56" s="384"/>
      <c r="BC56" s="384"/>
      <c r="BD56" s="384"/>
      <c r="BE56" s="384"/>
      <c r="BF56" s="384"/>
      <c r="BG56" s="384"/>
      <c r="BH56" s="384"/>
      <c r="BI56" s="384"/>
      <c r="BJ56" s="384"/>
      <c r="BK56" s="384"/>
      <c r="BL56" s="384"/>
      <c r="BM56" s="384"/>
      <c r="BN56" s="384"/>
      <c r="BO56" s="384"/>
      <c r="BP56" s="384"/>
      <c r="BQ56" s="384"/>
      <c r="BR56" s="384"/>
      <c r="BS56" s="384"/>
      <c r="BT56" s="384"/>
      <c r="BU56" s="384"/>
      <c r="BV56" s="384"/>
      <c r="BW56" s="384"/>
      <c r="BX56" s="384"/>
      <c r="BY56" s="384"/>
      <c r="BZ56" s="384"/>
      <c r="CA56" s="384"/>
      <c r="CB56" s="384"/>
      <c r="CC56" s="384"/>
    </row>
    <row r="57" spans="1:81" s="68" customFormat="1">
      <c r="A57" s="157"/>
      <c r="B57" s="152"/>
      <c r="C57" s="124">
        <f t="shared" si="2"/>
        <v>0</v>
      </c>
      <c r="D57" s="131"/>
      <c r="E57" s="146"/>
      <c r="F57" s="124">
        <f t="shared" si="3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46"/>
      <c r="W57" s="124">
        <f t="shared" si="1"/>
        <v>0</v>
      </c>
      <c r="X57" s="139"/>
      <c r="Y57" s="134"/>
      <c r="Z57" s="139"/>
      <c r="AA57" s="139"/>
      <c r="AB57" s="138"/>
      <c r="AE57" s="384"/>
      <c r="AF57" s="384"/>
      <c r="AG57" s="384"/>
      <c r="AH57" s="384"/>
      <c r="AI57" s="384"/>
      <c r="AJ57" s="384"/>
      <c r="AK57" s="384"/>
      <c r="AL57" s="384"/>
      <c r="AM57" s="384"/>
      <c r="AN57" s="384"/>
      <c r="AO57" s="384"/>
      <c r="AP57" s="384"/>
      <c r="AQ57" s="384"/>
      <c r="AR57" s="384"/>
      <c r="AS57" s="384"/>
      <c r="AT57" s="384"/>
      <c r="AU57" s="384"/>
      <c r="AV57" s="384"/>
      <c r="AW57" s="384"/>
      <c r="AX57" s="384"/>
      <c r="AY57" s="384"/>
      <c r="AZ57" s="384"/>
      <c r="BA57" s="384"/>
      <c r="BB57" s="384"/>
      <c r="BC57" s="384"/>
      <c r="BD57" s="384"/>
      <c r="BE57" s="384"/>
      <c r="BF57" s="384"/>
      <c r="BG57" s="384"/>
      <c r="BH57" s="384"/>
      <c r="BI57" s="384"/>
      <c r="BJ57" s="384"/>
      <c r="BK57" s="384"/>
      <c r="BL57" s="384"/>
      <c r="BM57" s="384"/>
      <c r="BN57" s="384"/>
      <c r="BO57" s="384"/>
      <c r="BP57" s="384"/>
      <c r="BQ57" s="384"/>
      <c r="BR57" s="384"/>
      <c r="BS57" s="384"/>
      <c r="BT57" s="384"/>
      <c r="BU57" s="384"/>
      <c r="BV57" s="384"/>
      <c r="BW57" s="384"/>
      <c r="BX57" s="384"/>
      <c r="BY57" s="384"/>
      <c r="BZ57" s="384"/>
      <c r="CA57" s="384"/>
      <c r="CB57" s="384"/>
      <c r="CC57" s="384"/>
    </row>
    <row r="58" spans="1:81" s="68" customFormat="1">
      <c r="A58" s="157"/>
      <c r="B58" s="152"/>
      <c r="C58" s="124">
        <f t="shared" si="2"/>
        <v>0</v>
      </c>
      <c r="D58" s="131"/>
      <c r="E58" s="157"/>
      <c r="F58" s="124">
        <f t="shared" si="3"/>
        <v>0</v>
      </c>
      <c r="G58" s="134"/>
      <c r="H58" s="134"/>
      <c r="I58" s="135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57"/>
      <c r="W58" s="124">
        <f t="shared" si="1"/>
        <v>0</v>
      </c>
      <c r="X58" s="139"/>
      <c r="Y58" s="134"/>
      <c r="Z58" s="139"/>
      <c r="AA58" s="139"/>
      <c r="AB58" s="138"/>
      <c r="AE58" s="384"/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384"/>
      <c r="BC58" s="384"/>
      <c r="BD58" s="384"/>
      <c r="BE58" s="384"/>
      <c r="BF58" s="384"/>
      <c r="BG58" s="384"/>
      <c r="BH58" s="384"/>
      <c r="BI58" s="384"/>
      <c r="BJ58" s="384"/>
      <c r="BK58" s="384"/>
      <c r="BL58" s="384"/>
      <c r="BM58" s="384"/>
      <c r="BN58" s="384"/>
      <c r="BO58" s="384"/>
      <c r="BP58" s="384"/>
      <c r="BQ58" s="384"/>
      <c r="BR58" s="384"/>
      <c r="BS58" s="384"/>
      <c r="BT58" s="384"/>
      <c r="BU58" s="384"/>
      <c r="BV58" s="384"/>
      <c r="BW58" s="384"/>
      <c r="BX58" s="384"/>
      <c r="BY58" s="384"/>
      <c r="BZ58" s="384"/>
      <c r="CA58" s="384"/>
      <c r="CB58" s="384"/>
      <c r="CC58" s="384"/>
    </row>
    <row r="59" spans="1:81" s="68" customFormat="1">
      <c r="A59" s="157"/>
      <c r="B59" s="158"/>
      <c r="C59" s="124">
        <f t="shared" si="2"/>
        <v>0</v>
      </c>
      <c r="D59" s="131"/>
      <c r="E59" s="132"/>
      <c r="F59" s="124">
        <f t="shared" si="3"/>
        <v>0</v>
      </c>
      <c r="G59" s="134"/>
      <c r="H59" s="134"/>
      <c r="I59" s="134"/>
      <c r="J59" s="134"/>
      <c r="K59" s="134"/>
      <c r="L59" s="139"/>
      <c r="M59" s="134"/>
      <c r="N59" s="134"/>
      <c r="O59" s="134"/>
      <c r="P59" s="139"/>
      <c r="Q59" s="134"/>
      <c r="R59" s="139"/>
      <c r="S59" s="139"/>
      <c r="T59" s="138"/>
      <c r="U59" s="144"/>
      <c r="V59" s="132"/>
      <c r="W59" s="124">
        <f t="shared" si="1"/>
        <v>0</v>
      </c>
      <c r="X59" s="139"/>
      <c r="Y59" s="134"/>
      <c r="Z59" s="139"/>
      <c r="AA59" s="139"/>
      <c r="AB59" s="138"/>
      <c r="AE59" s="384"/>
      <c r="AF59" s="384"/>
      <c r="AG59" s="384"/>
      <c r="AH59" s="384"/>
      <c r="AI59" s="384"/>
      <c r="AJ59" s="384"/>
      <c r="AK59" s="384"/>
      <c r="AL59" s="384"/>
      <c r="AM59" s="384"/>
      <c r="AN59" s="384"/>
      <c r="AO59" s="384"/>
      <c r="AP59" s="384"/>
      <c r="AQ59" s="384"/>
      <c r="AR59" s="384"/>
      <c r="AS59" s="384"/>
      <c r="AT59" s="384"/>
      <c r="AU59" s="384"/>
      <c r="AV59" s="384"/>
      <c r="AW59" s="384"/>
      <c r="AX59" s="384"/>
      <c r="AY59" s="384"/>
      <c r="AZ59" s="384"/>
      <c r="BA59" s="384"/>
      <c r="BB59" s="384"/>
      <c r="BC59" s="384"/>
      <c r="BD59" s="384"/>
      <c r="BE59" s="384"/>
      <c r="BF59" s="384"/>
      <c r="BG59" s="384"/>
      <c r="BH59" s="384"/>
      <c r="BI59" s="384"/>
      <c r="BJ59" s="384"/>
      <c r="BK59" s="384"/>
      <c r="BL59" s="384"/>
      <c r="BM59" s="384"/>
      <c r="BN59" s="384"/>
      <c r="BO59" s="384"/>
      <c r="BP59" s="384"/>
      <c r="BQ59" s="384"/>
      <c r="BR59" s="384"/>
      <c r="BS59" s="384"/>
      <c r="BT59" s="384"/>
      <c r="BU59" s="384"/>
      <c r="BV59" s="384"/>
      <c r="BW59" s="384"/>
      <c r="BX59" s="384"/>
      <c r="BY59" s="384"/>
      <c r="BZ59" s="384"/>
      <c r="CA59" s="384"/>
      <c r="CB59" s="384"/>
      <c r="CC59" s="384"/>
    </row>
    <row r="60" spans="1:81" s="68" customFormat="1">
      <c r="A60" s="159"/>
      <c r="B60" s="160" t="s">
        <v>17</v>
      </c>
      <c r="C60" s="1535">
        <f>SUM(C15:C59)</f>
        <v>540000</v>
      </c>
      <c r="D60" s="1536"/>
      <c r="E60" s="1536"/>
      <c r="F60" s="1536">
        <f>SUM(F15:F59)</f>
        <v>540000</v>
      </c>
      <c r="G60" s="1536">
        <f t="shared" ref="G60:N60" si="4">SUM(G16:G59)</f>
        <v>0</v>
      </c>
      <c r="H60" s="1536">
        <f t="shared" si="4"/>
        <v>0</v>
      </c>
      <c r="I60" s="1536">
        <f t="shared" si="4"/>
        <v>60000</v>
      </c>
      <c r="J60" s="1536">
        <f t="shared" si="4"/>
        <v>12000</v>
      </c>
      <c r="K60" s="1536">
        <f t="shared" si="4"/>
        <v>0</v>
      </c>
      <c r="L60" s="1536">
        <f>SUM(L15:L59)</f>
        <v>216000</v>
      </c>
      <c r="M60" s="1536">
        <f t="shared" si="4"/>
        <v>0</v>
      </c>
      <c r="N60" s="1536">
        <f t="shared" si="4"/>
        <v>0</v>
      </c>
      <c r="O60" s="1536">
        <f>SUM(O14:O59)</f>
        <v>0</v>
      </c>
      <c r="P60" s="1536">
        <f>SUM(P14:P59)</f>
        <v>0</v>
      </c>
      <c r="Q60" s="1536">
        <f>SUM(Q14:Q59)</f>
        <v>0</v>
      </c>
      <c r="R60" s="1536">
        <f>SUM(R14:R59)</f>
        <v>0</v>
      </c>
      <c r="S60" s="1536">
        <f>SUM(S16:S59)</f>
        <v>0</v>
      </c>
      <c r="T60" s="1537">
        <f>W60-L60</f>
        <v>54000</v>
      </c>
      <c r="U60" s="1536"/>
      <c r="V60" s="1536"/>
      <c r="W60" s="1536">
        <f>SUM(W14:W59)</f>
        <v>270000</v>
      </c>
      <c r="X60" s="1536">
        <f>SUM(X16:X59)</f>
        <v>0</v>
      </c>
      <c r="Y60" s="1536">
        <f>SUM(Y16:Y59)</f>
        <v>0</v>
      </c>
      <c r="Z60" s="1536">
        <f>SUM(Z16:Z59)</f>
        <v>0</v>
      </c>
      <c r="AA60" s="1536">
        <v>0</v>
      </c>
      <c r="AB60" s="1536">
        <f>SUM(AB16:AB59)</f>
        <v>0</v>
      </c>
      <c r="AE60" s="384"/>
      <c r="AF60" s="384"/>
      <c r="AG60" s="384"/>
      <c r="AH60" s="384"/>
      <c r="AI60" s="384"/>
      <c r="AJ60" s="384"/>
      <c r="AK60" s="384"/>
      <c r="AL60" s="384"/>
      <c r="AM60" s="384"/>
      <c r="AN60" s="384"/>
      <c r="AO60" s="384"/>
      <c r="AP60" s="384"/>
      <c r="AQ60" s="384"/>
      <c r="AR60" s="384"/>
      <c r="AS60" s="384"/>
      <c r="AT60" s="384"/>
      <c r="AU60" s="384"/>
      <c r="AV60" s="384"/>
      <c r="AW60" s="384"/>
      <c r="AX60" s="384"/>
      <c r="AY60" s="384"/>
      <c r="AZ60" s="384"/>
      <c r="BA60" s="384"/>
      <c r="BB60" s="384"/>
      <c r="BC60" s="384"/>
      <c r="BD60" s="384"/>
      <c r="BE60" s="384"/>
      <c r="BF60" s="384"/>
      <c r="BG60" s="384"/>
      <c r="BH60" s="384"/>
      <c r="BI60" s="384"/>
      <c r="BJ60" s="384"/>
      <c r="BK60" s="384"/>
      <c r="BL60" s="384"/>
      <c r="BM60" s="384"/>
      <c r="BN60" s="384"/>
      <c r="BO60" s="384"/>
      <c r="BP60" s="384"/>
      <c r="BQ60" s="384"/>
      <c r="BR60" s="384"/>
      <c r="BS60" s="384"/>
      <c r="BT60" s="384"/>
      <c r="BU60" s="384"/>
      <c r="BV60" s="384"/>
      <c r="BW60" s="384"/>
      <c r="BX60" s="384"/>
      <c r="BY60" s="384"/>
      <c r="BZ60" s="384"/>
      <c r="CA60" s="384"/>
      <c r="CB60" s="384"/>
      <c r="CC60" s="384"/>
    </row>
    <row r="61" spans="1:81" s="68" customFormat="1">
      <c r="A61" s="161"/>
      <c r="B61" s="162"/>
      <c r="C61" s="67"/>
      <c r="D61" s="67"/>
      <c r="E61" s="67"/>
      <c r="F61" s="163"/>
      <c r="G61" s="163"/>
      <c r="H61" s="163"/>
      <c r="I61" s="163"/>
      <c r="J61" s="163"/>
      <c r="K61" s="163"/>
      <c r="L61" s="163"/>
      <c r="M61" s="163"/>
      <c r="N61" s="163"/>
      <c r="O61" s="67"/>
      <c r="P61" s="163"/>
      <c r="Q61" s="67"/>
      <c r="R61" s="67"/>
      <c r="U61" s="67"/>
      <c r="V61" s="67"/>
      <c r="W61" s="163"/>
      <c r="AE61" s="384"/>
      <c r="AF61" s="384"/>
      <c r="AG61" s="384"/>
      <c r="AH61" s="384"/>
      <c r="AI61" s="384"/>
      <c r="AJ61" s="384"/>
      <c r="AK61" s="384"/>
      <c r="AL61" s="384"/>
      <c r="AM61" s="384"/>
      <c r="AN61" s="384"/>
      <c r="AO61" s="384"/>
      <c r="AP61" s="384"/>
      <c r="AQ61" s="384"/>
      <c r="AR61" s="384"/>
      <c r="AS61" s="384"/>
      <c r="AT61" s="384"/>
      <c r="AU61" s="384"/>
      <c r="AV61" s="384"/>
      <c r="AW61" s="384"/>
      <c r="AX61" s="384"/>
      <c r="AY61" s="384"/>
      <c r="AZ61" s="384"/>
      <c r="BA61" s="384"/>
      <c r="BB61" s="384"/>
      <c r="BC61" s="384"/>
      <c r="BD61" s="384"/>
      <c r="BE61" s="384"/>
      <c r="BF61" s="384"/>
      <c r="BG61" s="384"/>
      <c r="BH61" s="384"/>
      <c r="BI61" s="384"/>
      <c r="BJ61" s="384"/>
      <c r="BK61" s="384"/>
      <c r="BL61" s="384"/>
      <c r="BM61" s="384"/>
      <c r="BN61" s="384"/>
      <c r="BO61" s="384"/>
      <c r="BP61" s="384"/>
      <c r="BQ61" s="384"/>
      <c r="BR61" s="384"/>
      <c r="BS61" s="384"/>
      <c r="BT61" s="384"/>
      <c r="BU61" s="384"/>
      <c r="BV61" s="384"/>
      <c r="BW61" s="384"/>
      <c r="BX61" s="384"/>
      <c r="BY61" s="384"/>
      <c r="BZ61" s="384"/>
      <c r="CA61" s="384"/>
      <c r="CB61" s="384"/>
      <c r="CC61" s="384"/>
    </row>
    <row r="62" spans="1:81" s="68" customFormat="1">
      <c r="A62" s="164"/>
      <c r="B62" s="162"/>
      <c r="C62" s="67"/>
      <c r="D62" s="67"/>
      <c r="E62" s="67"/>
      <c r="F62" s="163"/>
      <c r="G62" s="163"/>
      <c r="H62" s="163"/>
      <c r="I62" s="163"/>
      <c r="J62" s="163"/>
      <c r="K62" s="163"/>
      <c r="L62" s="163"/>
      <c r="M62" s="163"/>
      <c r="N62" s="163"/>
      <c r="O62" s="67"/>
      <c r="P62" s="163"/>
      <c r="Q62" s="67"/>
      <c r="R62" s="67"/>
      <c r="U62" s="67"/>
      <c r="V62" s="67"/>
      <c r="W62" s="163"/>
      <c r="AE62" s="384"/>
      <c r="AF62" s="384"/>
      <c r="AG62" s="384"/>
      <c r="AH62" s="384"/>
      <c r="AI62" s="384"/>
      <c r="AJ62" s="384"/>
      <c r="AK62" s="384"/>
      <c r="AL62" s="384"/>
      <c r="AM62" s="384"/>
      <c r="AN62" s="384"/>
      <c r="AO62" s="384"/>
      <c r="AP62" s="384"/>
      <c r="AQ62" s="384"/>
      <c r="AR62" s="384"/>
      <c r="AS62" s="384"/>
      <c r="AT62" s="384"/>
      <c r="AU62" s="384"/>
      <c r="AV62" s="384"/>
      <c r="AW62" s="384"/>
      <c r="AX62" s="384"/>
      <c r="AY62" s="384"/>
      <c r="AZ62" s="384"/>
      <c r="BA62" s="384"/>
      <c r="BB62" s="384"/>
      <c r="BC62" s="384"/>
      <c r="BD62" s="384"/>
      <c r="BE62" s="384"/>
      <c r="BF62" s="384"/>
      <c r="BG62" s="384"/>
      <c r="BH62" s="384"/>
      <c r="BI62" s="384"/>
      <c r="BJ62" s="384"/>
      <c r="BK62" s="384"/>
      <c r="BL62" s="384"/>
      <c r="BM62" s="384"/>
      <c r="BN62" s="384"/>
      <c r="BO62" s="384"/>
      <c r="BP62" s="384"/>
      <c r="BQ62" s="384"/>
      <c r="BR62" s="384"/>
      <c r="BS62" s="384"/>
      <c r="BT62" s="384"/>
      <c r="BU62" s="384"/>
      <c r="BV62" s="384"/>
      <c r="BW62" s="384"/>
      <c r="BX62" s="384"/>
      <c r="BY62" s="384"/>
      <c r="BZ62" s="384"/>
      <c r="CA62" s="384"/>
      <c r="CB62" s="384"/>
      <c r="CC62" s="384"/>
    </row>
    <row r="63" spans="1:81" s="68" customFormat="1">
      <c r="A63" s="67"/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R63" s="67"/>
      <c r="U63" s="67"/>
      <c r="V63" s="67"/>
      <c r="W63" s="163"/>
      <c r="AE63" s="384"/>
      <c r="AF63" s="384"/>
      <c r="AG63" s="384"/>
      <c r="AH63" s="384"/>
      <c r="AI63" s="384"/>
      <c r="AJ63" s="384"/>
      <c r="AK63" s="384"/>
      <c r="AL63" s="384"/>
      <c r="AM63" s="384"/>
      <c r="AN63" s="384"/>
      <c r="AO63" s="384"/>
      <c r="AP63" s="384"/>
      <c r="AQ63" s="384"/>
      <c r="AR63" s="384"/>
      <c r="AS63" s="384"/>
      <c r="AT63" s="384"/>
      <c r="AU63" s="384"/>
      <c r="AV63" s="384"/>
      <c r="AW63" s="384"/>
      <c r="AX63" s="384"/>
      <c r="AY63" s="384"/>
      <c r="AZ63" s="384"/>
      <c r="BA63" s="384"/>
      <c r="BB63" s="384"/>
      <c r="BC63" s="384"/>
      <c r="BD63" s="384"/>
      <c r="BE63" s="384"/>
      <c r="BF63" s="384"/>
      <c r="BG63" s="384"/>
      <c r="BH63" s="384"/>
      <c r="BI63" s="384"/>
      <c r="BJ63" s="384"/>
      <c r="BK63" s="384"/>
      <c r="BL63" s="384"/>
      <c r="BM63" s="384"/>
      <c r="BN63" s="384"/>
      <c r="BO63" s="384"/>
      <c r="BP63" s="384"/>
      <c r="BQ63" s="384"/>
      <c r="BR63" s="384"/>
      <c r="BS63" s="384"/>
      <c r="BT63" s="384"/>
      <c r="BU63" s="384"/>
      <c r="BV63" s="384"/>
      <c r="BW63" s="384"/>
      <c r="BX63" s="384"/>
      <c r="BY63" s="384"/>
      <c r="BZ63" s="384"/>
      <c r="CA63" s="384"/>
      <c r="CB63" s="384"/>
      <c r="CC63" s="384"/>
    </row>
    <row r="64" spans="1:81" s="68" customFormat="1">
      <c r="A64" s="67"/>
      <c r="B64" s="67"/>
      <c r="C64" s="67"/>
      <c r="D64" s="67"/>
      <c r="E64" s="67"/>
      <c r="F64" s="163"/>
      <c r="G64" s="67"/>
      <c r="H64" s="67"/>
      <c r="I64" s="67"/>
      <c r="J64" s="67"/>
      <c r="K64" s="67"/>
      <c r="L64" s="67"/>
      <c r="M64" s="67"/>
      <c r="N64" s="67"/>
      <c r="O64" s="67"/>
      <c r="P64" s="67"/>
      <c r="R64" s="67"/>
      <c r="U64" s="67"/>
      <c r="V64" s="67"/>
      <c r="W64" s="163"/>
      <c r="AE64" s="384"/>
      <c r="AF64" s="384"/>
      <c r="AG64" s="384"/>
      <c r="AH64" s="384"/>
      <c r="AI64" s="384"/>
      <c r="AJ64" s="384"/>
      <c r="AK64" s="384"/>
      <c r="AL64" s="384"/>
      <c r="AM64" s="384"/>
      <c r="AN64" s="384"/>
      <c r="AO64" s="384"/>
      <c r="AP64" s="384"/>
      <c r="AQ64" s="384"/>
      <c r="AR64" s="384"/>
      <c r="AS64" s="384"/>
      <c r="AT64" s="384"/>
      <c r="AU64" s="384"/>
      <c r="AV64" s="384"/>
      <c r="AW64" s="384"/>
      <c r="AX64" s="384"/>
      <c r="AY64" s="384"/>
      <c r="AZ64" s="384"/>
      <c r="BA64" s="384"/>
      <c r="BB64" s="384"/>
      <c r="BC64" s="384"/>
      <c r="BD64" s="384"/>
      <c r="BE64" s="384"/>
      <c r="BF64" s="384"/>
      <c r="BG64" s="384"/>
      <c r="BH64" s="384"/>
      <c r="BI64" s="384"/>
      <c r="BJ64" s="384"/>
      <c r="BK64" s="384"/>
      <c r="BL64" s="384"/>
      <c r="BM64" s="384"/>
      <c r="BN64" s="384"/>
      <c r="BO64" s="384"/>
      <c r="BP64" s="384"/>
      <c r="BQ64" s="384"/>
      <c r="BR64" s="384"/>
      <c r="BS64" s="384"/>
      <c r="BT64" s="384"/>
      <c r="BU64" s="384"/>
      <c r="BV64" s="384"/>
      <c r="BW64" s="384"/>
      <c r="BX64" s="384"/>
      <c r="BY64" s="384"/>
      <c r="BZ64" s="384"/>
      <c r="CA64" s="384"/>
      <c r="CB64" s="384"/>
      <c r="CC64" s="384"/>
    </row>
    <row r="65" spans="1:81" s="68" customFormat="1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R65" s="67"/>
      <c r="U65" s="67"/>
      <c r="V65" s="67"/>
      <c r="W65" s="67"/>
      <c r="AE65" s="384"/>
      <c r="AF65" s="384"/>
      <c r="AG65" s="384"/>
      <c r="AH65" s="384"/>
      <c r="AI65" s="384"/>
      <c r="AJ65" s="384"/>
      <c r="AK65" s="384"/>
      <c r="AL65" s="384"/>
      <c r="AM65" s="384"/>
      <c r="AN65" s="384"/>
      <c r="AO65" s="384"/>
      <c r="AP65" s="384"/>
      <c r="AQ65" s="384"/>
      <c r="AR65" s="384"/>
      <c r="AS65" s="384"/>
      <c r="AT65" s="384"/>
      <c r="AU65" s="384"/>
      <c r="AV65" s="384"/>
      <c r="AW65" s="384"/>
      <c r="AX65" s="384"/>
      <c r="AY65" s="384"/>
      <c r="AZ65" s="384"/>
      <c r="BA65" s="384"/>
      <c r="BB65" s="384"/>
      <c r="BC65" s="384"/>
      <c r="BD65" s="384"/>
      <c r="BE65" s="384"/>
      <c r="BF65" s="384"/>
      <c r="BG65" s="384"/>
      <c r="BH65" s="384"/>
      <c r="BI65" s="384"/>
      <c r="BJ65" s="384"/>
      <c r="BK65" s="384"/>
      <c r="BL65" s="384"/>
      <c r="BM65" s="384"/>
      <c r="BN65" s="384"/>
      <c r="BO65" s="384"/>
      <c r="BP65" s="384"/>
      <c r="BQ65" s="384"/>
      <c r="BR65" s="384"/>
      <c r="BS65" s="384"/>
      <c r="BT65" s="384"/>
      <c r="BU65" s="384"/>
      <c r="BV65" s="384"/>
      <c r="BW65" s="384"/>
      <c r="BX65" s="384"/>
      <c r="BY65" s="384"/>
      <c r="BZ65" s="384"/>
      <c r="CA65" s="384"/>
      <c r="CB65" s="384"/>
      <c r="CC65" s="384"/>
    </row>
    <row r="66" spans="1:81" s="68" customFormat="1">
      <c r="A66" s="67" t="s">
        <v>59</v>
      </c>
      <c r="B66" s="67"/>
      <c r="C66" s="67"/>
      <c r="D66" s="67"/>
      <c r="E66" s="67"/>
      <c r="F66" s="163"/>
      <c r="G66" s="67"/>
      <c r="H66" s="67"/>
      <c r="I66" s="67"/>
      <c r="J66" s="67"/>
      <c r="K66" s="67"/>
      <c r="L66" s="67"/>
      <c r="M66" s="67"/>
      <c r="N66" s="67"/>
      <c r="O66" s="67"/>
      <c r="P66" s="67"/>
      <c r="U66" s="67"/>
      <c r="V66" s="67"/>
      <c r="W66" s="163"/>
      <c r="AE66" s="384"/>
      <c r="AF66" s="384"/>
      <c r="AG66" s="384"/>
      <c r="AH66" s="384"/>
      <c r="AI66" s="384"/>
      <c r="AJ66" s="384"/>
      <c r="AK66" s="384"/>
      <c r="AL66" s="384"/>
      <c r="AM66" s="384"/>
      <c r="AN66" s="384"/>
      <c r="AO66" s="384"/>
      <c r="AP66" s="384"/>
      <c r="AQ66" s="384"/>
      <c r="AR66" s="384"/>
      <c r="AS66" s="384"/>
      <c r="AT66" s="384"/>
      <c r="AU66" s="384"/>
      <c r="AV66" s="384"/>
      <c r="AW66" s="384"/>
      <c r="AX66" s="384"/>
      <c r="AY66" s="384"/>
      <c r="AZ66" s="384"/>
      <c r="BA66" s="384"/>
      <c r="BB66" s="384"/>
      <c r="BC66" s="384"/>
      <c r="BD66" s="384"/>
      <c r="BE66" s="384"/>
      <c r="BF66" s="384"/>
      <c r="BG66" s="384"/>
      <c r="BH66" s="384"/>
      <c r="BI66" s="384"/>
      <c r="BJ66" s="384"/>
      <c r="BK66" s="384"/>
      <c r="BL66" s="384"/>
      <c r="BM66" s="384"/>
      <c r="BN66" s="384"/>
      <c r="BO66" s="384"/>
      <c r="BP66" s="384"/>
      <c r="BQ66" s="384"/>
      <c r="BR66" s="384"/>
      <c r="BS66" s="384"/>
      <c r="BT66" s="384"/>
      <c r="BU66" s="384"/>
      <c r="BV66" s="384"/>
      <c r="BW66" s="384"/>
      <c r="BX66" s="384"/>
      <c r="BY66" s="384"/>
      <c r="BZ66" s="384"/>
      <c r="CA66" s="384"/>
      <c r="CB66" s="384"/>
      <c r="CC66" s="384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1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pageSetUpPr fitToPage="1"/>
  </sheetPr>
  <dimension ref="A1:CC66"/>
  <sheetViews>
    <sheetView showGridLines="0" showZeros="0" view="pageBreakPreview" topLeftCell="D1" zoomScaleNormal="100" workbookViewId="0">
      <selection activeCell="N15" sqref="N15"/>
    </sheetView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10.625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3">
        <v>42369</v>
      </c>
      <c r="F1" s="239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761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247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201401400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762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>
        <v>1</v>
      </c>
      <c r="B15" s="152" t="s">
        <v>759</v>
      </c>
      <c r="C15" s="124">
        <f>D15*E15</f>
        <v>624000</v>
      </c>
      <c r="D15" s="131">
        <f>520000*1.2</f>
        <v>624000</v>
      </c>
      <c r="E15" s="132">
        <v>1</v>
      </c>
      <c r="F15" s="124">
        <f>D15*E15</f>
        <v>624000</v>
      </c>
      <c r="G15" s="103">
        <f>6800.4*11.2*3/4</f>
        <v>57123.360000000001</v>
      </c>
      <c r="H15" s="103" t="s">
        <v>772</v>
      </c>
      <c r="I15" s="103">
        <f>W15</f>
        <v>312000</v>
      </c>
      <c r="J15" s="103">
        <f>0.2*I15</f>
        <v>62400</v>
      </c>
      <c r="K15" s="103"/>
      <c r="L15" s="103">
        <f>I15-J15+K15</f>
        <v>249600</v>
      </c>
      <c r="M15" s="103"/>
      <c r="N15" s="103">
        <f>G15*0.5</f>
        <v>28561.68</v>
      </c>
      <c r="O15" s="105"/>
      <c r="P15" s="103"/>
      <c r="Q15" s="105"/>
      <c r="R15" s="105"/>
      <c r="S15" s="123"/>
      <c r="T15" s="106"/>
      <c r="U15" s="124">
        <f>D15*0.5</f>
        <v>312000</v>
      </c>
      <c r="V15" s="120">
        <v>1</v>
      </c>
      <c r="W15" s="124">
        <f>U15*V15</f>
        <v>312000</v>
      </c>
      <c r="X15" s="103"/>
      <c r="Y15" s="103"/>
      <c r="Z15" s="103"/>
      <c r="AA15" s="105"/>
      <c r="AB15" s="106"/>
    </row>
    <row r="16" spans="1:81" ht="22.5">
      <c r="A16" s="1534">
        <v>2</v>
      </c>
      <c r="B16" s="152" t="s">
        <v>760</v>
      </c>
      <c r="C16" s="124">
        <f>D16*E16</f>
        <v>120000</v>
      </c>
      <c r="D16" s="131">
        <f>100000*1.2</f>
        <v>120000</v>
      </c>
      <c r="E16" s="132">
        <v>1</v>
      </c>
      <c r="F16" s="124">
        <f>D16*E16</f>
        <v>120000</v>
      </c>
      <c r="G16" s="133"/>
      <c r="H16" s="133"/>
      <c r="I16" s="103">
        <f>W16</f>
        <v>60000</v>
      </c>
      <c r="J16" s="103">
        <f>0.2*I16</f>
        <v>12000</v>
      </c>
      <c r="K16" s="133"/>
      <c r="L16" s="133">
        <f>+I16-J16+K16</f>
        <v>48000</v>
      </c>
      <c r="M16" s="133"/>
      <c r="N16" s="133"/>
      <c r="O16" s="133"/>
      <c r="P16" s="134"/>
      <c r="Q16" s="133"/>
      <c r="R16" s="135"/>
      <c r="S16" s="135"/>
      <c r="T16" s="137"/>
      <c r="U16" s="124">
        <f>D16*0.5</f>
        <v>60000</v>
      </c>
      <c r="V16" s="132">
        <v>1</v>
      </c>
      <c r="W16" s="124">
        <f>U16*V16</f>
        <v>60000</v>
      </c>
      <c r="X16" s="133">
        <v>0</v>
      </c>
      <c r="Y16" s="133"/>
      <c r="Z16" s="134"/>
      <c r="AA16" s="135"/>
      <c r="AB16" s="137"/>
    </row>
    <row r="17" spans="1:81" s="68" customFormat="1">
      <c r="A17" s="1534"/>
      <c r="B17" s="152"/>
      <c r="C17" s="124"/>
      <c r="D17" s="131"/>
      <c r="E17" s="132"/>
      <c r="F17" s="124"/>
      <c r="G17" s="139"/>
      <c r="H17" s="139"/>
      <c r="I17" s="139"/>
      <c r="J17" s="139"/>
      <c r="K17" s="133"/>
      <c r="L17" s="133"/>
      <c r="M17" s="139"/>
      <c r="N17" s="134"/>
      <c r="O17" s="139"/>
      <c r="P17" s="140"/>
      <c r="Q17" s="124"/>
      <c r="R17" s="124"/>
      <c r="S17" s="139"/>
      <c r="T17" s="139"/>
      <c r="U17" s="124"/>
      <c r="V17" s="132"/>
      <c r="W17" s="124"/>
      <c r="X17" s="133"/>
      <c r="Y17" s="133"/>
      <c r="Z17" s="140"/>
      <c r="AA17" s="124"/>
      <c r="AB17" s="139"/>
      <c r="AE17" s="384"/>
      <c r="AF17" s="384"/>
      <c r="AG17" s="384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4"/>
      <c r="BV17" s="384"/>
      <c r="BW17" s="384"/>
      <c r="BX17" s="384"/>
      <c r="BY17" s="384"/>
      <c r="BZ17" s="384"/>
      <c r="CA17" s="384"/>
      <c r="CB17" s="384"/>
      <c r="CC17" s="384"/>
    </row>
    <row r="18" spans="1:81" s="68" customFormat="1">
      <c r="A18" s="2314"/>
      <c r="B18" s="152"/>
      <c r="C18" s="124"/>
      <c r="D18" s="131"/>
      <c r="E18" s="132"/>
      <c r="F18" s="124"/>
      <c r="G18" s="139"/>
      <c r="H18" s="139"/>
      <c r="I18" s="139"/>
      <c r="J18" s="139"/>
      <c r="K18" s="133"/>
      <c r="L18" s="133"/>
      <c r="M18" s="139"/>
      <c r="N18" s="134"/>
      <c r="O18" s="139"/>
      <c r="P18" s="140"/>
      <c r="Q18" s="124"/>
      <c r="R18" s="124"/>
      <c r="S18" s="139"/>
      <c r="T18" s="139"/>
      <c r="U18" s="131"/>
      <c r="V18" s="132"/>
      <c r="W18" s="124"/>
      <c r="X18" s="133"/>
      <c r="Y18" s="133"/>
      <c r="Z18" s="140"/>
      <c r="AA18" s="124"/>
      <c r="AB18" s="139"/>
      <c r="AE18" s="384"/>
      <c r="AF18" s="384"/>
      <c r="AG18" s="384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4"/>
      <c r="BI18" s="384"/>
      <c r="BJ18" s="384"/>
      <c r="BK18" s="384"/>
      <c r="BL18" s="384"/>
      <c r="BM18" s="384"/>
      <c r="BN18" s="384"/>
      <c r="BO18" s="384"/>
      <c r="BP18" s="384"/>
      <c r="BQ18" s="384"/>
      <c r="BR18" s="384"/>
      <c r="BS18" s="384"/>
      <c r="BT18" s="384"/>
      <c r="BU18" s="384"/>
      <c r="BV18" s="384"/>
      <c r="BW18" s="384"/>
      <c r="BX18" s="384"/>
      <c r="BY18" s="384"/>
      <c r="BZ18" s="384"/>
      <c r="CA18" s="384"/>
      <c r="CB18" s="384"/>
      <c r="CC18" s="384"/>
    </row>
    <row r="19" spans="1:81" s="68" customFormat="1">
      <c r="A19" s="1532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3"/>
      <c r="M19" s="139"/>
      <c r="N19" s="133"/>
      <c r="O19" s="139"/>
      <c r="P19" s="124"/>
      <c r="Q19" s="124"/>
      <c r="R19" s="124"/>
      <c r="S19" s="139"/>
      <c r="T19" s="139"/>
      <c r="U19" s="131"/>
      <c r="V19" s="132"/>
      <c r="W19" s="124"/>
      <c r="X19" s="133"/>
      <c r="Y19" s="133"/>
      <c r="Z19" s="124"/>
      <c r="AA19" s="143"/>
      <c r="AB19" s="139"/>
      <c r="AE19" s="384"/>
      <c r="AF19" s="384"/>
      <c r="AG19" s="384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4"/>
      <c r="BC19" s="384"/>
      <c r="BD19" s="384"/>
      <c r="BE19" s="384"/>
      <c r="BF19" s="384"/>
      <c r="BG19" s="384"/>
      <c r="BH19" s="384"/>
      <c r="BI19" s="384"/>
      <c r="BJ19" s="384"/>
      <c r="BK19" s="384"/>
      <c r="BL19" s="384"/>
      <c r="BM19" s="384"/>
      <c r="BN19" s="384"/>
      <c r="BO19" s="384"/>
      <c r="BP19" s="384"/>
      <c r="BQ19" s="384"/>
      <c r="BR19" s="384"/>
      <c r="BS19" s="384"/>
      <c r="BT19" s="384"/>
      <c r="BU19" s="384"/>
      <c r="BV19" s="384"/>
      <c r="BW19" s="384"/>
      <c r="BX19" s="384"/>
      <c r="BY19" s="384"/>
      <c r="BZ19" s="384"/>
      <c r="CA19" s="384"/>
      <c r="CB19" s="384"/>
      <c r="CC19" s="384"/>
    </row>
    <row r="20" spans="1:81" s="68" customFormat="1">
      <c r="A20" s="1530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384"/>
      <c r="AU20" s="384"/>
      <c r="AV20" s="384"/>
      <c r="AW20" s="384"/>
      <c r="AX20" s="384"/>
      <c r="AY20" s="384"/>
      <c r="AZ20" s="384"/>
      <c r="BA20" s="384"/>
      <c r="BB20" s="384"/>
      <c r="BC20" s="384"/>
      <c r="BD20" s="384"/>
      <c r="BE20" s="384"/>
      <c r="BF20" s="384"/>
      <c r="BG20" s="384"/>
      <c r="BH20" s="384"/>
      <c r="BI20" s="384"/>
      <c r="BJ20" s="384"/>
      <c r="BK20" s="384"/>
      <c r="BL20" s="384"/>
      <c r="BM20" s="384"/>
      <c r="BN20" s="384"/>
      <c r="BO20" s="384"/>
      <c r="BP20" s="384"/>
      <c r="BQ20" s="384"/>
      <c r="BR20" s="384"/>
      <c r="BS20" s="384"/>
      <c r="BT20" s="384"/>
      <c r="BU20" s="384"/>
      <c r="BV20" s="384"/>
      <c r="BW20" s="384"/>
      <c r="BX20" s="384"/>
      <c r="BY20" s="384"/>
      <c r="BZ20" s="384"/>
      <c r="CA20" s="384"/>
      <c r="CB20" s="384"/>
      <c r="CC20" s="384"/>
    </row>
    <row r="21" spans="1:81" s="68" customFormat="1">
      <c r="A21" s="1532"/>
      <c r="B21" s="152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24"/>
      <c r="Q21" s="141"/>
      <c r="R21" s="143"/>
      <c r="S21" s="139"/>
      <c r="T21" s="139"/>
      <c r="U21" s="131"/>
      <c r="V21" s="132"/>
      <c r="W21" s="124"/>
      <c r="X21" s="139"/>
      <c r="Y21" s="133"/>
      <c r="Z21" s="124"/>
      <c r="AA21" s="143"/>
      <c r="AB21" s="139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4"/>
      <c r="BC21" s="384"/>
      <c r="BD21" s="384"/>
      <c r="BE21" s="384"/>
      <c r="BF21" s="384"/>
      <c r="BG21" s="384"/>
      <c r="BH21" s="384"/>
      <c r="BI21" s="384"/>
      <c r="BJ21" s="384"/>
      <c r="BK21" s="384"/>
      <c r="BL21" s="384"/>
      <c r="BM21" s="384"/>
      <c r="BN21" s="384"/>
      <c r="BO21" s="384"/>
      <c r="BP21" s="384"/>
      <c r="BQ21" s="384"/>
      <c r="BR21" s="384"/>
      <c r="BS21" s="384"/>
      <c r="BT21" s="384"/>
      <c r="BU21" s="384"/>
      <c r="BV21" s="384"/>
      <c r="BW21" s="384"/>
      <c r="BX21" s="384"/>
      <c r="BY21" s="384"/>
      <c r="BZ21" s="384"/>
      <c r="CA21" s="384"/>
      <c r="CB21" s="384"/>
      <c r="CC21" s="384"/>
    </row>
    <row r="22" spans="1:81" s="68" customFormat="1">
      <c r="A22" s="1532"/>
      <c r="B22" s="145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43"/>
      <c r="Q22" s="141"/>
      <c r="R22" s="143"/>
      <c r="S22" s="139"/>
      <c r="T22" s="139"/>
      <c r="U22" s="131"/>
      <c r="V22" s="132"/>
      <c r="W22" s="124"/>
      <c r="X22" s="139"/>
      <c r="Y22" s="133"/>
      <c r="Z22" s="143"/>
      <c r="AA22" s="143"/>
      <c r="AB22" s="139"/>
      <c r="AE22" s="384"/>
      <c r="AF22" s="384"/>
      <c r="AG22" s="384"/>
      <c r="AH22" s="384"/>
      <c r="AI22" s="384"/>
      <c r="AJ22" s="384"/>
      <c r="AK22" s="384"/>
      <c r="AL22" s="384"/>
      <c r="AM22" s="384"/>
      <c r="AN22" s="384"/>
      <c r="AO22" s="384"/>
      <c r="AP22" s="384"/>
      <c r="AQ22" s="384"/>
      <c r="AR22" s="384"/>
      <c r="AS22" s="384"/>
      <c r="AT22" s="384"/>
      <c r="AU22" s="384"/>
      <c r="AV22" s="384"/>
      <c r="AW22" s="384"/>
      <c r="AX22" s="384"/>
      <c r="AY22" s="384"/>
      <c r="AZ22" s="384"/>
      <c r="BA22" s="384"/>
      <c r="BB22" s="384"/>
      <c r="BC22" s="384"/>
      <c r="BD22" s="384"/>
      <c r="BE22" s="384"/>
      <c r="BF22" s="384"/>
      <c r="BG22" s="384"/>
      <c r="BH22" s="384"/>
      <c r="BI22" s="384"/>
      <c r="BJ22" s="384"/>
      <c r="BK22" s="384"/>
      <c r="BL22" s="384"/>
      <c r="BM22" s="384"/>
      <c r="BN22" s="384"/>
      <c r="BO22" s="384"/>
      <c r="BP22" s="384"/>
      <c r="BQ22" s="384"/>
      <c r="BR22" s="384"/>
      <c r="BS22" s="384"/>
      <c r="BT22" s="384"/>
      <c r="BU22" s="384"/>
      <c r="BV22" s="384"/>
      <c r="BW22" s="384"/>
      <c r="BX22" s="384"/>
      <c r="BY22" s="384"/>
      <c r="BZ22" s="384"/>
      <c r="CA22" s="384"/>
      <c r="CB22" s="384"/>
      <c r="CC22" s="384"/>
    </row>
    <row r="23" spans="1:81" s="68" customFormat="1">
      <c r="A23" s="1532"/>
      <c r="B23" s="798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4"/>
      <c r="S23" s="139"/>
      <c r="T23" s="139"/>
      <c r="U23" s="131"/>
      <c r="V23" s="132"/>
      <c r="W23" s="124"/>
      <c r="X23" s="139"/>
      <c r="Y23" s="133"/>
      <c r="Z23" s="139"/>
      <c r="AA23" s="134"/>
      <c r="AB23" s="139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</row>
    <row r="24" spans="1:81" s="68" customFormat="1">
      <c r="A24" s="1532"/>
      <c r="B24" s="798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49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</row>
    <row r="25" spans="1:81" s="68" customFormat="1">
      <c r="A25" s="1532"/>
      <c r="B25" s="798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  <c r="AE25" s="384"/>
      <c r="AF25" s="384"/>
      <c r="AG25" s="384"/>
      <c r="AH25" s="384"/>
      <c r="AI25" s="384"/>
      <c r="AJ25" s="384"/>
      <c r="AK25" s="384"/>
      <c r="AL25" s="384"/>
      <c r="AM25" s="384"/>
      <c r="AN25" s="384"/>
      <c r="AO25" s="384"/>
      <c r="AP25" s="384"/>
      <c r="AQ25" s="384"/>
      <c r="AR25" s="384"/>
      <c r="AS25" s="384"/>
      <c r="AT25" s="384"/>
      <c r="AU25" s="384"/>
      <c r="AV25" s="384"/>
      <c r="AW25" s="384"/>
      <c r="AX25" s="384"/>
      <c r="AY25" s="384"/>
      <c r="AZ25" s="384"/>
      <c r="BA25" s="384"/>
      <c r="BB25" s="384"/>
      <c r="BC25" s="384"/>
      <c r="BD25" s="384"/>
      <c r="BE25" s="384"/>
      <c r="BF25" s="384"/>
      <c r="BG25" s="384"/>
      <c r="BH25" s="384"/>
      <c r="BI25" s="384"/>
      <c r="BJ25" s="384"/>
      <c r="BK25" s="384"/>
      <c r="BL25" s="384"/>
      <c r="BM25" s="384"/>
      <c r="BN25" s="384"/>
      <c r="BO25" s="384"/>
      <c r="BP25" s="384"/>
      <c r="BQ25" s="384"/>
      <c r="BR25" s="384"/>
      <c r="BS25" s="384"/>
      <c r="BT25" s="384"/>
      <c r="BU25" s="384"/>
      <c r="BV25" s="384"/>
      <c r="BW25" s="384"/>
      <c r="BX25" s="384"/>
      <c r="BY25" s="384"/>
      <c r="BZ25" s="384"/>
      <c r="CA25" s="384"/>
      <c r="CB25" s="384"/>
      <c r="CC25" s="384"/>
    </row>
    <row r="26" spans="1:81" s="68" customFormat="1">
      <c r="A26" s="1532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49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  <c r="AE26" s="384"/>
      <c r="AF26" s="384"/>
      <c r="AG26" s="384"/>
      <c r="AH26" s="384"/>
      <c r="AI26" s="384"/>
      <c r="AJ26" s="384"/>
      <c r="AK26" s="384"/>
      <c r="AL26" s="384"/>
      <c r="AM26" s="384"/>
      <c r="AN26" s="384"/>
      <c r="AO26" s="384"/>
      <c r="AP26" s="384"/>
      <c r="AQ26" s="384"/>
      <c r="AR26" s="384"/>
      <c r="AS26" s="384"/>
      <c r="AT26" s="384"/>
      <c r="AU26" s="384"/>
      <c r="AV26" s="384"/>
      <c r="AW26" s="384"/>
      <c r="AX26" s="384"/>
      <c r="AY26" s="384"/>
      <c r="AZ26" s="384"/>
      <c r="BA26" s="384"/>
      <c r="BB26" s="384"/>
      <c r="BC26" s="384"/>
      <c r="BD26" s="384"/>
      <c r="BE26" s="384"/>
      <c r="BF26" s="384"/>
      <c r="BG26" s="384"/>
      <c r="BH26" s="384"/>
      <c r="BI26" s="384"/>
      <c r="BJ26" s="384"/>
      <c r="BK26" s="384"/>
      <c r="BL26" s="384"/>
      <c r="BM26" s="384"/>
      <c r="BN26" s="384"/>
      <c r="BO26" s="384"/>
      <c r="BP26" s="384"/>
      <c r="BQ26" s="384"/>
      <c r="BR26" s="384"/>
      <c r="BS26" s="384"/>
      <c r="BT26" s="384"/>
      <c r="BU26" s="384"/>
      <c r="BV26" s="384"/>
      <c r="BW26" s="384"/>
      <c r="BX26" s="384"/>
      <c r="BY26" s="384"/>
      <c r="BZ26" s="384"/>
      <c r="CA26" s="384"/>
      <c r="CB26" s="384"/>
      <c r="CC26" s="384"/>
    </row>
    <row r="27" spans="1:81" s="68" customFormat="1">
      <c r="A27" s="1532"/>
      <c r="B27" s="798"/>
      <c r="C27" s="124"/>
      <c r="D27" s="131"/>
      <c r="E27" s="132"/>
      <c r="F27" s="124"/>
      <c r="G27" s="139"/>
      <c r="H27" s="139"/>
      <c r="I27" s="139"/>
      <c r="J27" s="139"/>
      <c r="K27" s="133"/>
      <c r="L27" s="139"/>
      <c r="M27" s="139"/>
      <c r="N27" s="133"/>
      <c r="O27" s="139"/>
      <c r="P27" s="139"/>
      <c r="Q27" s="149"/>
      <c r="R27" s="139"/>
      <c r="S27" s="139"/>
      <c r="T27" s="139"/>
      <c r="U27" s="131"/>
      <c r="V27" s="132"/>
      <c r="W27" s="124"/>
      <c r="X27" s="139"/>
      <c r="Y27" s="133"/>
      <c r="Z27" s="139"/>
      <c r="AA27" s="139"/>
      <c r="AB27" s="139"/>
      <c r="AE27" s="384"/>
      <c r="AF27" s="384"/>
      <c r="AG27" s="384"/>
      <c r="AH27" s="384"/>
      <c r="AI27" s="384"/>
      <c r="AJ27" s="384"/>
      <c r="AK27" s="384"/>
      <c r="AL27" s="384"/>
      <c r="AM27" s="384"/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X27" s="384"/>
      <c r="AY27" s="384"/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  <c r="BJ27" s="384"/>
      <c r="BK27" s="384"/>
      <c r="BL27" s="384"/>
      <c r="BM27" s="384"/>
      <c r="BN27" s="384"/>
      <c r="BO27" s="384"/>
      <c r="BP27" s="384"/>
      <c r="BQ27" s="384"/>
      <c r="BR27" s="384"/>
      <c r="BS27" s="384"/>
      <c r="BT27" s="384"/>
      <c r="BU27" s="384"/>
      <c r="BV27" s="384"/>
      <c r="BW27" s="384"/>
      <c r="BX27" s="384"/>
      <c r="BY27" s="384"/>
      <c r="BZ27" s="384"/>
      <c r="CA27" s="384"/>
      <c r="CB27" s="384"/>
      <c r="CC27" s="384"/>
    </row>
    <row r="28" spans="1:81" s="68" customFormat="1">
      <c r="A28" s="1530"/>
      <c r="B28" s="1645"/>
      <c r="C28" s="124"/>
      <c r="D28" s="131"/>
      <c r="E28" s="1531"/>
      <c r="F28" s="124"/>
      <c r="G28" s="139"/>
      <c r="H28" s="139"/>
      <c r="I28" s="139"/>
      <c r="J28" s="139"/>
      <c r="K28" s="133"/>
      <c r="L28" s="1533"/>
      <c r="M28" s="139"/>
      <c r="N28" s="133"/>
      <c r="O28" s="139"/>
      <c r="P28" s="153"/>
      <c r="Q28" s="149"/>
      <c r="R28" s="153"/>
      <c r="S28" s="139"/>
      <c r="T28" s="139"/>
      <c r="U28" s="131"/>
      <c r="V28" s="1531"/>
      <c r="W28" s="124"/>
      <c r="X28" s="1533"/>
      <c r="Y28" s="133"/>
      <c r="Z28" s="153"/>
      <c r="AA28" s="153"/>
      <c r="AB28" s="139"/>
      <c r="AE28" s="384"/>
      <c r="AF28" s="384"/>
      <c r="AG28" s="384"/>
      <c r="AH28" s="384"/>
      <c r="AI28" s="384"/>
      <c r="AJ28" s="384"/>
      <c r="AK28" s="384"/>
      <c r="AL28" s="384"/>
      <c r="AM28" s="384"/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X28" s="384"/>
      <c r="AY28" s="384"/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  <c r="BJ28" s="384"/>
      <c r="BK28" s="384"/>
      <c r="BL28" s="384"/>
      <c r="BM28" s="384"/>
      <c r="BN28" s="384"/>
      <c r="BO28" s="384"/>
      <c r="BP28" s="384"/>
      <c r="BQ28" s="384"/>
      <c r="BR28" s="384"/>
      <c r="BS28" s="384"/>
      <c r="BT28" s="384"/>
      <c r="BU28" s="384"/>
      <c r="BV28" s="384"/>
      <c r="BW28" s="384"/>
      <c r="BX28" s="384"/>
      <c r="BY28" s="384"/>
      <c r="BZ28" s="384"/>
      <c r="CA28" s="384"/>
      <c r="CB28" s="384"/>
      <c r="CC28" s="384"/>
    </row>
    <row r="29" spans="1:81" s="68" customFormat="1">
      <c r="A29" s="1530"/>
      <c r="B29" s="142"/>
      <c r="C29" s="124"/>
      <c r="D29" s="131"/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39"/>
      <c r="Q29" s="155"/>
      <c r="R29" s="139"/>
      <c r="S29" s="139"/>
      <c r="T29" s="139"/>
      <c r="U29" s="131"/>
      <c r="V29" s="132"/>
      <c r="W29" s="124"/>
      <c r="X29" s="139"/>
      <c r="Y29" s="133"/>
      <c r="Z29" s="139"/>
      <c r="AA29" s="139"/>
      <c r="AB29" s="139"/>
      <c r="AE29" s="384"/>
      <c r="AF29" s="384"/>
      <c r="AG29" s="384"/>
      <c r="AH29" s="384"/>
      <c r="AI29" s="384"/>
      <c r="AJ29" s="384"/>
      <c r="AK29" s="384"/>
      <c r="AL29" s="384"/>
      <c r="AM29" s="384"/>
      <c r="AN29" s="384"/>
      <c r="AO29" s="384"/>
      <c r="AP29" s="384"/>
      <c r="AQ29" s="384"/>
      <c r="AR29" s="384"/>
      <c r="AS29" s="384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4"/>
      <c r="BV29" s="384"/>
      <c r="BW29" s="384"/>
      <c r="BX29" s="384"/>
      <c r="BY29" s="384"/>
      <c r="BZ29" s="384"/>
      <c r="CA29" s="384"/>
      <c r="CB29" s="384"/>
      <c r="CC29" s="384"/>
    </row>
    <row r="30" spans="1:81" s="68" customFormat="1">
      <c r="A30" s="1534"/>
      <c r="B30" s="142"/>
      <c r="C30" s="124"/>
      <c r="D30" s="131" t="s">
        <v>87</v>
      </c>
      <c r="E30" s="132"/>
      <c r="F30" s="124"/>
      <c r="G30" s="139"/>
      <c r="H30" s="139"/>
      <c r="I30" s="139"/>
      <c r="J30" s="139"/>
      <c r="K30" s="133"/>
      <c r="L30" s="139"/>
      <c r="M30" s="139"/>
      <c r="N30" s="133"/>
      <c r="O30" s="139"/>
      <c r="P30" s="153"/>
      <c r="Q30" s="156"/>
      <c r="R30" s="153"/>
      <c r="S30" s="139"/>
      <c r="T30" s="139"/>
      <c r="U30" s="131"/>
      <c r="V30" s="1531"/>
      <c r="W30" s="124"/>
      <c r="X30" s="139"/>
      <c r="Y30" s="133"/>
      <c r="Z30" s="153"/>
      <c r="AA30" s="153"/>
      <c r="AB30" s="139"/>
      <c r="AE30" s="384"/>
      <c r="AF30" s="384"/>
      <c r="AG30" s="384"/>
      <c r="AH30" s="384"/>
      <c r="AI30" s="384"/>
      <c r="AJ30" s="384"/>
      <c r="AK30" s="384"/>
      <c r="AL30" s="384"/>
      <c r="AM30" s="384"/>
      <c r="AN30" s="384"/>
      <c r="AO30" s="384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N30" s="384"/>
      <c r="BO30" s="384"/>
      <c r="BP30" s="384"/>
      <c r="BQ30" s="384"/>
      <c r="BR30" s="384"/>
      <c r="BS30" s="384"/>
      <c r="BT30" s="384"/>
      <c r="BU30" s="384"/>
      <c r="BV30" s="384"/>
      <c r="BW30" s="384"/>
      <c r="BX30" s="384"/>
      <c r="BY30" s="384"/>
      <c r="BZ30" s="384"/>
      <c r="CA30" s="384"/>
      <c r="CB30" s="384"/>
      <c r="CC30" s="384"/>
    </row>
    <row r="31" spans="1:81" s="68" customFormat="1">
      <c r="A31" s="157"/>
      <c r="B31" s="152"/>
      <c r="C31" s="124"/>
      <c r="D31" s="131"/>
      <c r="E31" s="1531"/>
      <c r="F31" s="124"/>
      <c r="G31" s="139"/>
      <c r="H31" s="139"/>
      <c r="I31" s="139"/>
      <c r="J31" s="139"/>
      <c r="K31" s="133">
        <f>0.5*W31</f>
        <v>0</v>
      </c>
      <c r="L31" s="139"/>
      <c r="M31" s="139"/>
      <c r="N31" s="133"/>
      <c r="O31" s="139"/>
      <c r="P31" s="139"/>
      <c r="Q31" s="156"/>
      <c r="R31" s="139"/>
      <c r="S31" s="139"/>
      <c r="T31" s="139"/>
      <c r="U31" s="144"/>
      <c r="V31" s="1531"/>
      <c r="W31" s="124">
        <f t="shared" ref="W31:W36" si="0">U31*V31</f>
        <v>0</v>
      </c>
      <c r="X31" s="139"/>
      <c r="Y31" s="133"/>
      <c r="Z31" s="139"/>
      <c r="AA31" s="139"/>
      <c r="AB31" s="139">
        <v>0</v>
      </c>
      <c r="AE31" s="384"/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384"/>
      <c r="AW31" s="384"/>
      <c r="AX31" s="384"/>
      <c r="AY31" s="384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M31" s="384"/>
      <c r="BN31" s="384"/>
      <c r="BO31" s="384"/>
      <c r="BP31" s="384"/>
      <c r="BQ31" s="384"/>
      <c r="BR31" s="384"/>
      <c r="BS31" s="384"/>
      <c r="BT31" s="384"/>
      <c r="BU31" s="384"/>
      <c r="BV31" s="384"/>
      <c r="BW31" s="384"/>
      <c r="BX31" s="384"/>
      <c r="BY31" s="384"/>
      <c r="BZ31" s="384"/>
      <c r="CA31" s="384"/>
      <c r="CB31" s="384"/>
      <c r="CC31" s="384"/>
    </row>
    <row r="32" spans="1:81" s="68" customFormat="1">
      <c r="A32" s="146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53"/>
      <c r="Q32" s="156"/>
      <c r="R32" s="153"/>
      <c r="S32" s="139"/>
      <c r="T32" s="138"/>
      <c r="U32" s="144"/>
      <c r="V32" s="1531"/>
      <c r="W32" s="124">
        <f t="shared" si="0"/>
        <v>0</v>
      </c>
      <c r="X32" s="139"/>
      <c r="Y32" s="133"/>
      <c r="Z32" s="153"/>
      <c r="AA32" s="153"/>
      <c r="AB32" s="138"/>
      <c r="AE32" s="384"/>
      <c r="AF32" s="384"/>
      <c r="AG32" s="384"/>
      <c r="AH32" s="384"/>
      <c r="AI32" s="384"/>
      <c r="AJ32" s="384"/>
      <c r="AK32" s="384"/>
      <c r="AL32" s="384"/>
      <c r="AM32" s="384"/>
      <c r="AN32" s="384"/>
      <c r="AO32" s="384"/>
      <c r="AP32" s="384"/>
      <c r="AQ32" s="384"/>
      <c r="AR32" s="384"/>
      <c r="AS32" s="384"/>
      <c r="AT32" s="384"/>
      <c r="AU32" s="384"/>
      <c r="AV32" s="384"/>
      <c r="AW32" s="384"/>
      <c r="AX32" s="384"/>
      <c r="AY32" s="384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M32" s="384"/>
      <c r="BN32" s="384"/>
      <c r="BO32" s="384"/>
      <c r="BP32" s="384"/>
      <c r="BQ32" s="384"/>
      <c r="BR32" s="384"/>
      <c r="BS32" s="384"/>
      <c r="BT32" s="384"/>
      <c r="BU32" s="384"/>
      <c r="BV32" s="384"/>
      <c r="BW32" s="384"/>
      <c r="BX32" s="384"/>
      <c r="BY32" s="384"/>
      <c r="BZ32" s="384"/>
      <c r="CA32" s="384"/>
      <c r="CB32" s="384"/>
      <c r="CC32" s="384"/>
    </row>
    <row r="33" spans="1:81" s="68" customForma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0"/>
        <v>0</v>
      </c>
      <c r="X33" s="139"/>
      <c r="Y33" s="133"/>
      <c r="Z33" s="134"/>
      <c r="AA33" s="139"/>
      <c r="AB33" s="138"/>
      <c r="AE33" s="384"/>
      <c r="AF33" s="384"/>
      <c r="AG33" s="384"/>
      <c r="AH33" s="384"/>
      <c r="AI33" s="384"/>
      <c r="AJ33" s="384"/>
      <c r="AK33" s="384"/>
      <c r="AL33" s="384"/>
      <c r="AM33" s="384"/>
      <c r="AN33" s="384"/>
      <c r="AO33" s="384"/>
      <c r="AP33" s="384"/>
      <c r="AQ33" s="384"/>
      <c r="AR33" s="384"/>
      <c r="AS33" s="384"/>
      <c r="AT33" s="384"/>
      <c r="AU33" s="384"/>
      <c r="AV33" s="384"/>
      <c r="AW33" s="384"/>
      <c r="AX33" s="384"/>
      <c r="AY33" s="384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M33" s="384"/>
      <c r="BN33" s="384"/>
      <c r="BO33" s="384"/>
      <c r="BP33" s="384"/>
      <c r="BQ33" s="384"/>
      <c r="BR33" s="384"/>
      <c r="BS33" s="384"/>
      <c r="BT33" s="384"/>
      <c r="BU33" s="384"/>
      <c r="BV33" s="384"/>
      <c r="BW33" s="384"/>
      <c r="BX33" s="384"/>
      <c r="BY33" s="384"/>
      <c r="BZ33" s="384"/>
      <c r="CA33" s="384"/>
      <c r="CB33" s="384"/>
      <c r="CC33" s="384"/>
    </row>
    <row r="34" spans="1:81" s="68" customFormat="1" ht="9.9499999999999993" customHeight="1">
      <c r="A34" s="157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3">
        <f>0.5*W34</f>
        <v>0</v>
      </c>
      <c r="L34" s="139"/>
      <c r="M34" s="134"/>
      <c r="N34" s="133"/>
      <c r="O34" s="134"/>
      <c r="P34" s="134"/>
      <c r="Q34" s="156"/>
      <c r="R34" s="139"/>
      <c r="S34" s="139"/>
      <c r="T34" s="138"/>
      <c r="U34" s="144"/>
      <c r="V34" s="1531"/>
      <c r="W34" s="124">
        <f t="shared" si="0"/>
        <v>0</v>
      </c>
      <c r="X34" s="139"/>
      <c r="Y34" s="133"/>
      <c r="Z34" s="134"/>
      <c r="AA34" s="139"/>
      <c r="AB34" s="138"/>
      <c r="AE34" s="384"/>
      <c r="AF34" s="384"/>
      <c r="AG34" s="384"/>
      <c r="AH34" s="384"/>
      <c r="AI34" s="384"/>
      <c r="AJ34" s="384"/>
      <c r="AK34" s="384"/>
      <c r="AL34" s="384"/>
      <c r="AM34" s="384"/>
      <c r="AN34" s="384"/>
      <c r="AO34" s="384"/>
      <c r="AP34" s="384"/>
      <c r="AQ34" s="384"/>
      <c r="AR34" s="384"/>
      <c r="AS34" s="384"/>
      <c r="AT34" s="384"/>
      <c r="AU34" s="384"/>
      <c r="AV34" s="384"/>
      <c r="AW34" s="384"/>
      <c r="AX34" s="384"/>
      <c r="AY34" s="384"/>
      <c r="AZ34" s="384"/>
      <c r="BA34" s="384"/>
      <c r="BB34" s="384"/>
      <c r="BC34" s="384"/>
      <c r="BD34" s="384"/>
      <c r="BE34" s="384"/>
      <c r="BF34" s="384"/>
      <c r="BG34" s="384"/>
      <c r="BH34" s="384"/>
      <c r="BI34" s="384"/>
      <c r="BJ34" s="384"/>
      <c r="BK34" s="384"/>
      <c r="BL34" s="384"/>
      <c r="BM34" s="384"/>
      <c r="BN34" s="384"/>
      <c r="BO34" s="384"/>
      <c r="BP34" s="384"/>
      <c r="BQ34" s="384"/>
      <c r="BR34" s="384"/>
      <c r="BS34" s="384"/>
      <c r="BT34" s="384"/>
      <c r="BU34" s="384"/>
      <c r="BV34" s="384"/>
      <c r="BW34" s="384"/>
      <c r="BX34" s="384"/>
      <c r="BY34" s="384"/>
      <c r="BZ34" s="384"/>
      <c r="CA34" s="384"/>
      <c r="CB34" s="384"/>
      <c r="CC34" s="384"/>
    </row>
    <row r="35" spans="1:81" s="68" customFormat="1">
      <c r="A35" s="1530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0"/>
        <v>0</v>
      </c>
      <c r="X35" s="139"/>
      <c r="Y35" s="134"/>
      <c r="Z35" s="134"/>
      <c r="AA35" s="139"/>
      <c r="AB35" s="138"/>
      <c r="AE35" s="384"/>
      <c r="AF35" s="384"/>
      <c r="AG35" s="384"/>
      <c r="AH35" s="384"/>
      <c r="AI35" s="384"/>
      <c r="AJ35" s="384"/>
      <c r="AK35" s="384"/>
      <c r="AL35" s="384"/>
      <c r="AM35" s="384"/>
      <c r="AN35" s="384"/>
      <c r="AO35" s="384"/>
      <c r="AP35" s="384"/>
      <c r="AQ35" s="384"/>
      <c r="AR35" s="384"/>
      <c r="AS35" s="384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84"/>
      <c r="BV35" s="384"/>
      <c r="BW35" s="384"/>
      <c r="BX35" s="384"/>
      <c r="BY35" s="384"/>
      <c r="BZ35" s="384"/>
      <c r="CA35" s="384"/>
      <c r="CB35" s="384"/>
      <c r="CC35" s="384"/>
    </row>
    <row r="36" spans="1:81" s="68" customFormat="1">
      <c r="A36" s="157"/>
      <c r="B36" s="152"/>
      <c r="C36" s="124">
        <f>D36*E36</f>
        <v>0</v>
      </c>
      <c r="D36" s="131"/>
      <c r="E36" s="1531"/>
      <c r="F36" s="124">
        <f>D36*E36</f>
        <v>0</v>
      </c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>
        <f t="shared" si="0"/>
        <v>0</v>
      </c>
      <c r="X36" s="139"/>
      <c r="Y36" s="134"/>
      <c r="Z36" s="134"/>
      <c r="AA36" s="139"/>
      <c r="AB36" s="138"/>
      <c r="AE36" s="384"/>
      <c r="AF36" s="384"/>
      <c r="AG36" s="384"/>
      <c r="AH36" s="384"/>
      <c r="AI36" s="384"/>
      <c r="AJ36" s="384"/>
      <c r="AK36" s="384"/>
      <c r="AL36" s="384"/>
      <c r="AM36" s="384"/>
      <c r="AN36" s="384"/>
      <c r="AO36" s="384"/>
      <c r="AP36" s="384"/>
      <c r="AQ36" s="384"/>
      <c r="AR36" s="384"/>
      <c r="AS36" s="384"/>
      <c r="AT36" s="384"/>
      <c r="AU36" s="384"/>
      <c r="AV36" s="384"/>
      <c r="AW36" s="384"/>
      <c r="AX36" s="384"/>
      <c r="AY36" s="384"/>
      <c r="AZ36" s="384"/>
      <c r="BA36" s="384"/>
      <c r="BB36" s="384"/>
      <c r="BC36" s="384"/>
      <c r="BD36" s="384"/>
      <c r="BE36" s="384"/>
      <c r="BF36" s="384"/>
      <c r="BG36" s="384"/>
      <c r="BH36" s="384"/>
      <c r="BI36" s="384"/>
      <c r="BJ36" s="384"/>
      <c r="BK36" s="384"/>
      <c r="BL36" s="384"/>
      <c r="BM36" s="384"/>
      <c r="BN36" s="384"/>
      <c r="BO36" s="384"/>
      <c r="BP36" s="384"/>
      <c r="BQ36" s="384"/>
      <c r="BR36" s="384"/>
      <c r="BS36" s="384"/>
      <c r="BT36" s="384"/>
      <c r="BU36" s="384"/>
      <c r="BV36" s="384"/>
      <c r="BW36" s="384"/>
      <c r="BX36" s="384"/>
      <c r="BY36" s="384"/>
      <c r="BZ36" s="384"/>
      <c r="CA36" s="384"/>
      <c r="CB36" s="384"/>
      <c r="CC36" s="384"/>
    </row>
    <row r="37" spans="1:81" s="68" customFormat="1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  <c r="AE37" s="384"/>
      <c r="AF37" s="384"/>
      <c r="AG37" s="384"/>
      <c r="AH37" s="384"/>
      <c r="AI37" s="384"/>
      <c r="AJ37" s="384"/>
      <c r="AK37" s="384"/>
      <c r="AL37" s="384"/>
      <c r="AM37" s="384"/>
      <c r="AN37" s="384"/>
      <c r="AO37" s="384"/>
      <c r="AP37" s="384"/>
      <c r="AQ37" s="384"/>
      <c r="AR37" s="384"/>
      <c r="AS37" s="384"/>
      <c r="AT37" s="384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84"/>
      <c r="BV37" s="384"/>
      <c r="BW37" s="384"/>
      <c r="BX37" s="384"/>
      <c r="BY37" s="384"/>
      <c r="BZ37" s="384"/>
      <c r="CA37" s="384"/>
      <c r="CB37" s="384"/>
      <c r="CC37" s="384"/>
    </row>
    <row r="38" spans="1:81" s="68" customFormat="1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4"/>
      <c r="AS38" s="384"/>
      <c r="AT38" s="384"/>
      <c r="AU38" s="384"/>
      <c r="AV38" s="384"/>
      <c r="AW38" s="384"/>
      <c r="AX38" s="384"/>
      <c r="AY38" s="384"/>
      <c r="AZ38" s="384"/>
      <c r="BA38" s="384"/>
      <c r="BB38" s="384"/>
      <c r="BC38" s="384"/>
      <c r="BD38" s="384"/>
      <c r="BE38" s="384"/>
      <c r="BF38" s="384"/>
      <c r="BG38" s="384"/>
      <c r="BH38" s="384"/>
      <c r="BI38" s="384"/>
      <c r="BJ38" s="384"/>
      <c r="BK38" s="384"/>
      <c r="BL38" s="384"/>
      <c r="BM38" s="384"/>
      <c r="BN38" s="384"/>
      <c r="BO38" s="384"/>
      <c r="BP38" s="384"/>
      <c r="BQ38" s="384"/>
      <c r="BR38" s="384"/>
      <c r="BS38" s="384"/>
      <c r="BT38" s="384"/>
      <c r="BU38" s="384"/>
      <c r="BV38" s="384"/>
      <c r="BW38" s="384"/>
      <c r="BX38" s="384"/>
      <c r="BY38" s="384"/>
      <c r="BZ38" s="384"/>
      <c r="CA38" s="384"/>
      <c r="CB38" s="384"/>
      <c r="CC38" s="384"/>
    </row>
    <row r="39" spans="1:81" s="68" customFormat="1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4"/>
      <c r="AS39" s="384"/>
      <c r="AT39" s="384"/>
      <c r="AU39" s="384"/>
      <c r="AV39" s="384"/>
      <c r="AW39" s="384"/>
      <c r="AX39" s="384"/>
      <c r="AY39" s="384"/>
      <c r="AZ39" s="384"/>
      <c r="BA39" s="384"/>
      <c r="BB39" s="384"/>
      <c r="BC39" s="384"/>
      <c r="BD39" s="384"/>
      <c r="BE39" s="384"/>
      <c r="BF39" s="384"/>
      <c r="BG39" s="384"/>
      <c r="BH39" s="384"/>
      <c r="BI39" s="384"/>
      <c r="BJ39" s="384"/>
      <c r="BK39" s="384"/>
      <c r="BL39" s="384"/>
      <c r="BM39" s="384"/>
      <c r="BN39" s="384"/>
      <c r="BO39" s="384"/>
      <c r="BP39" s="384"/>
      <c r="BQ39" s="384"/>
      <c r="BR39" s="384"/>
      <c r="BS39" s="384"/>
      <c r="BT39" s="384"/>
      <c r="BU39" s="384"/>
      <c r="BV39" s="384"/>
      <c r="BW39" s="384"/>
      <c r="BX39" s="384"/>
      <c r="BY39" s="384"/>
      <c r="BZ39" s="384"/>
      <c r="CA39" s="384"/>
      <c r="CB39" s="384"/>
      <c r="CC39" s="384"/>
    </row>
    <row r="40" spans="1:81" s="68" customFormat="1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4"/>
      <c r="AS40" s="384"/>
      <c r="AT40" s="384"/>
      <c r="AU40" s="384"/>
      <c r="AV40" s="384"/>
      <c r="AW40" s="384"/>
      <c r="AX40" s="384"/>
      <c r="AY40" s="384"/>
      <c r="AZ40" s="384"/>
      <c r="BA40" s="384"/>
      <c r="BB40" s="384"/>
      <c r="BC40" s="384"/>
      <c r="BD40" s="384"/>
      <c r="BE40" s="384"/>
      <c r="BF40" s="384"/>
      <c r="BG40" s="384"/>
      <c r="BH40" s="384"/>
      <c r="BI40" s="384"/>
      <c r="BJ40" s="384"/>
      <c r="BK40" s="384"/>
      <c r="BL40" s="384"/>
      <c r="BM40" s="384"/>
      <c r="BN40" s="384"/>
      <c r="BO40" s="384"/>
      <c r="BP40" s="384"/>
      <c r="BQ40" s="384"/>
      <c r="BR40" s="384"/>
      <c r="BS40" s="384"/>
      <c r="BT40" s="384"/>
      <c r="BU40" s="384"/>
      <c r="BV40" s="384"/>
      <c r="BW40" s="384"/>
      <c r="BX40" s="384"/>
      <c r="BY40" s="384"/>
      <c r="BZ40" s="384"/>
      <c r="CA40" s="384"/>
      <c r="CB40" s="384"/>
      <c r="CC40" s="384"/>
    </row>
    <row r="41" spans="1:81" s="68" customFormat="1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</row>
    <row r="42" spans="1:81" s="68" customFormat="1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4"/>
      <c r="AS42" s="384"/>
      <c r="AT42" s="384"/>
      <c r="AU42" s="384"/>
      <c r="AV42" s="384"/>
      <c r="AW42" s="384"/>
      <c r="AX42" s="384"/>
      <c r="AY42" s="384"/>
      <c r="AZ42" s="384"/>
      <c r="BA42" s="384"/>
      <c r="BB42" s="384"/>
      <c r="BC42" s="384"/>
      <c r="BD42" s="384"/>
      <c r="BE42" s="384"/>
      <c r="BF42" s="384"/>
      <c r="BG42" s="384"/>
      <c r="BH42" s="384"/>
      <c r="BI42" s="384"/>
      <c r="BJ42" s="384"/>
      <c r="BK42" s="384"/>
      <c r="BL42" s="384"/>
      <c r="BM42" s="384"/>
      <c r="BN42" s="384"/>
      <c r="BO42" s="384"/>
      <c r="BP42" s="384"/>
      <c r="BQ42" s="384"/>
      <c r="BR42" s="384"/>
      <c r="BS42" s="384"/>
      <c r="BT42" s="384"/>
      <c r="BU42" s="384"/>
      <c r="BV42" s="384"/>
      <c r="BW42" s="384"/>
      <c r="BX42" s="384"/>
      <c r="BY42" s="384"/>
      <c r="BZ42" s="384"/>
      <c r="CA42" s="384"/>
      <c r="CB42" s="384"/>
      <c r="CC42" s="384"/>
    </row>
    <row r="43" spans="1:81" s="68" customFormat="1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  <c r="AE43" s="384"/>
      <c r="AF43" s="384"/>
      <c r="AG43" s="384"/>
      <c r="AH43" s="384"/>
      <c r="AI43" s="384"/>
      <c r="AJ43" s="384"/>
      <c r="AK43" s="384"/>
      <c r="AL43" s="384"/>
      <c r="AM43" s="384"/>
      <c r="AN43" s="384"/>
      <c r="AO43" s="384"/>
      <c r="AP43" s="384"/>
      <c r="AQ43" s="384"/>
      <c r="AR43" s="384"/>
      <c r="AS43" s="384"/>
      <c r="AT43" s="384"/>
      <c r="AU43" s="384"/>
      <c r="AV43" s="384"/>
      <c r="AW43" s="384"/>
      <c r="AX43" s="384"/>
      <c r="AY43" s="384"/>
      <c r="AZ43" s="384"/>
      <c r="BA43" s="384"/>
      <c r="BB43" s="384"/>
      <c r="BC43" s="384"/>
      <c r="BD43" s="384"/>
      <c r="BE43" s="384"/>
      <c r="BF43" s="384"/>
      <c r="BG43" s="384"/>
      <c r="BH43" s="384"/>
      <c r="BI43" s="384"/>
      <c r="BJ43" s="384"/>
      <c r="BK43" s="384"/>
      <c r="BL43" s="384"/>
      <c r="BM43" s="384"/>
      <c r="BN43" s="384"/>
      <c r="BO43" s="384"/>
      <c r="BP43" s="384"/>
      <c r="BQ43" s="384"/>
      <c r="BR43" s="384"/>
      <c r="BS43" s="384"/>
      <c r="BT43" s="384"/>
      <c r="BU43" s="384"/>
      <c r="BV43" s="384"/>
      <c r="BW43" s="384"/>
      <c r="BX43" s="384"/>
      <c r="BY43" s="384"/>
      <c r="BZ43" s="384"/>
      <c r="CA43" s="384"/>
      <c r="CB43" s="384"/>
      <c r="CC43" s="384"/>
    </row>
    <row r="44" spans="1:81" s="68" customFormat="1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  <c r="AE44" s="384"/>
      <c r="AF44" s="384"/>
      <c r="AG44" s="384"/>
      <c r="AH44" s="384"/>
      <c r="AI44" s="384"/>
      <c r="AJ44" s="384"/>
      <c r="AK44" s="384"/>
      <c r="AL44" s="384"/>
      <c r="AM44" s="384"/>
      <c r="AN44" s="384"/>
      <c r="AO44" s="384"/>
      <c r="AP44" s="384"/>
      <c r="AQ44" s="384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4"/>
      <c r="BM44" s="384"/>
      <c r="BN44" s="384"/>
      <c r="BO44" s="384"/>
      <c r="BP44" s="384"/>
      <c r="BQ44" s="384"/>
      <c r="BR44" s="384"/>
      <c r="BS44" s="384"/>
      <c r="BT44" s="384"/>
      <c r="BU44" s="384"/>
      <c r="BV44" s="384"/>
      <c r="BW44" s="384"/>
      <c r="BX44" s="384"/>
      <c r="BY44" s="384"/>
      <c r="BZ44" s="384"/>
      <c r="CA44" s="384"/>
      <c r="CB44" s="384"/>
      <c r="CC44" s="384"/>
    </row>
    <row r="45" spans="1:81" s="68" customFormat="1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  <c r="AE45" s="384"/>
      <c r="AF45" s="384"/>
      <c r="AG45" s="384"/>
      <c r="AH45" s="384"/>
      <c r="AI45" s="384"/>
      <c r="AJ45" s="384"/>
      <c r="AK45" s="384"/>
      <c r="AL45" s="384"/>
      <c r="AM45" s="384"/>
      <c r="AN45" s="384"/>
      <c r="AO45" s="384"/>
      <c r="AP45" s="384"/>
      <c r="AQ45" s="384"/>
      <c r="AR45" s="384"/>
      <c r="AS45" s="384"/>
      <c r="AT45" s="384"/>
      <c r="AU45" s="384"/>
      <c r="AV45" s="384"/>
      <c r="AW45" s="384"/>
      <c r="AX45" s="384"/>
      <c r="AY45" s="384"/>
      <c r="AZ45" s="384"/>
      <c r="BA45" s="384"/>
      <c r="BB45" s="384"/>
      <c r="BC45" s="384"/>
      <c r="BD45" s="384"/>
      <c r="BE45" s="384"/>
      <c r="BF45" s="384"/>
      <c r="BG45" s="384"/>
      <c r="BH45" s="384"/>
      <c r="BI45" s="384"/>
      <c r="BJ45" s="384"/>
      <c r="BK45" s="384"/>
      <c r="BL45" s="384"/>
      <c r="BM45" s="384"/>
      <c r="BN45" s="384"/>
      <c r="BO45" s="384"/>
      <c r="BP45" s="384"/>
      <c r="BQ45" s="384"/>
      <c r="BR45" s="384"/>
      <c r="BS45" s="384"/>
      <c r="BT45" s="384"/>
      <c r="BU45" s="384"/>
      <c r="BV45" s="384"/>
      <c r="BW45" s="384"/>
      <c r="BX45" s="384"/>
      <c r="BY45" s="384"/>
      <c r="BZ45" s="384"/>
      <c r="CA45" s="384"/>
      <c r="CB45" s="384"/>
      <c r="CC45" s="384"/>
    </row>
    <row r="46" spans="1:81" s="68" customFormat="1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  <c r="AE46" s="384"/>
      <c r="AF46" s="384"/>
      <c r="AG46" s="384"/>
      <c r="AH46" s="384"/>
      <c r="AI46" s="384"/>
      <c r="AJ46" s="384"/>
      <c r="AK46" s="384"/>
      <c r="AL46" s="384"/>
      <c r="AM46" s="384"/>
      <c r="AN46" s="384"/>
      <c r="AO46" s="384"/>
      <c r="AP46" s="384"/>
      <c r="AQ46" s="384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4"/>
      <c r="BM46" s="384"/>
      <c r="BN46" s="384"/>
      <c r="BO46" s="384"/>
      <c r="BP46" s="384"/>
      <c r="BQ46" s="384"/>
      <c r="BR46" s="384"/>
      <c r="BS46" s="384"/>
      <c r="BT46" s="384"/>
      <c r="BU46" s="384"/>
      <c r="BV46" s="384"/>
      <c r="BW46" s="384"/>
      <c r="BX46" s="384"/>
      <c r="BY46" s="384"/>
      <c r="BZ46" s="384"/>
      <c r="CA46" s="384"/>
      <c r="CB46" s="384"/>
      <c r="CC46" s="384"/>
    </row>
    <row r="47" spans="1:81" s="68" customFormat="1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  <c r="AE47" s="384"/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384"/>
      <c r="AW47" s="384"/>
      <c r="AX47" s="384"/>
      <c r="AY47" s="384"/>
      <c r="AZ47" s="384"/>
      <c r="BA47" s="384"/>
      <c r="BB47" s="384"/>
      <c r="BC47" s="384"/>
      <c r="BD47" s="384"/>
      <c r="BE47" s="384"/>
      <c r="BF47" s="384"/>
      <c r="BG47" s="384"/>
      <c r="BH47" s="384"/>
      <c r="BI47" s="384"/>
      <c r="BJ47" s="384"/>
      <c r="BK47" s="384"/>
      <c r="BL47" s="384"/>
      <c r="BM47" s="384"/>
      <c r="BN47" s="384"/>
      <c r="BO47" s="384"/>
      <c r="BP47" s="384"/>
      <c r="BQ47" s="384"/>
      <c r="BR47" s="384"/>
      <c r="BS47" s="384"/>
      <c r="BT47" s="384"/>
      <c r="BU47" s="384"/>
      <c r="BV47" s="384"/>
      <c r="BW47" s="384"/>
      <c r="BX47" s="384"/>
      <c r="BY47" s="384"/>
      <c r="BZ47" s="384"/>
      <c r="CA47" s="384"/>
      <c r="CB47" s="384"/>
      <c r="CC47" s="384"/>
    </row>
    <row r="48" spans="1:81" s="68" customFormat="1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  <c r="AE48" s="384"/>
      <c r="AF48" s="384"/>
      <c r="AG48" s="384"/>
      <c r="AH48" s="384"/>
      <c r="AI48" s="384"/>
      <c r="AJ48" s="384"/>
      <c r="AK48" s="384"/>
      <c r="AL48" s="384"/>
      <c r="AM48" s="384"/>
      <c r="AN48" s="384"/>
      <c r="AO48" s="384"/>
      <c r="AP48" s="384"/>
      <c r="AQ48" s="384"/>
      <c r="AR48" s="384"/>
      <c r="AS48" s="384"/>
      <c r="AT48" s="384"/>
      <c r="AU48" s="384"/>
      <c r="AV48" s="384"/>
      <c r="AW48" s="384"/>
      <c r="AX48" s="384"/>
      <c r="AY48" s="384"/>
      <c r="AZ48" s="384"/>
      <c r="BA48" s="384"/>
      <c r="BB48" s="384"/>
      <c r="BC48" s="384"/>
      <c r="BD48" s="384"/>
      <c r="BE48" s="384"/>
      <c r="BF48" s="384"/>
      <c r="BG48" s="384"/>
      <c r="BH48" s="384"/>
      <c r="BI48" s="384"/>
      <c r="BJ48" s="384"/>
      <c r="BK48" s="384"/>
      <c r="BL48" s="384"/>
      <c r="BM48" s="384"/>
      <c r="BN48" s="384"/>
      <c r="BO48" s="384"/>
      <c r="BP48" s="384"/>
      <c r="BQ48" s="384"/>
      <c r="BR48" s="384"/>
      <c r="BS48" s="384"/>
      <c r="BT48" s="384"/>
      <c r="BU48" s="384"/>
      <c r="BV48" s="384"/>
      <c r="BW48" s="384"/>
      <c r="BX48" s="384"/>
      <c r="BY48" s="384"/>
      <c r="BZ48" s="384"/>
      <c r="CA48" s="384"/>
      <c r="CB48" s="384"/>
      <c r="CC48" s="384"/>
    </row>
    <row r="49" spans="1:81" s="68" customFormat="1">
      <c r="A49" s="157"/>
      <c r="B49" s="152"/>
      <c r="C49" s="124"/>
      <c r="D49" s="131"/>
      <c r="E49" s="1531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4"/>
      <c r="Q49" s="156"/>
      <c r="R49" s="139"/>
      <c r="S49" s="139"/>
      <c r="T49" s="138"/>
      <c r="U49" s="144"/>
      <c r="V49" s="1531"/>
      <c r="W49" s="124"/>
      <c r="X49" s="139"/>
      <c r="Y49" s="134"/>
      <c r="Z49" s="134"/>
      <c r="AA49" s="139"/>
      <c r="AB49" s="138"/>
      <c r="AE49" s="384"/>
      <c r="AF49" s="384"/>
      <c r="AG49" s="384"/>
      <c r="AH49" s="384"/>
      <c r="AI49" s="384"/>
      <c r="AJ49" s="384"/>
      <c r="AK49" s="384"/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  <c r="BC49" s="384"/>
      <c r="BD49" s="384"/>
      <c r="BE49" s="384"/>
      <c r="BF49" s="384"/>
      <c r="BG49" s="384"/>
      <c r="BH49" s="384"/>
      <c r="BI49" s="384"/>
      <c r="BJ49" s="384"/>
      <c r="BK49" s="384"/>
      <c r="BL49" s="384"/>
      <c r="BM49" s="384"/>
      <c r="BN49" s="384"/>
      <c r="BO49" s="384"/>
      <c r="BP49" s="384"/>
      <c r="BQ49" s="384"/>
      <c r="BR49" s="384"/>
      <c r="BS49" s="384"/>
      <c r="BT49" s="384"/>
      <c r="BU49" s="384"/>
      <c r="BV49" s="384"/>
      <c r="BW49" s="384"/>
      <c r="BX49" s="384"/>
      <c r="BY49" s="384"/>
      <c r="BZ49" s="384"/>
      <c r="CA49" s="384"/>
      <c r="CB49" s="384"/>
      <c r="CC49" s="384"/>
    </row>
    <row r="50" spans="1:81" s="68" customFormat="1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ref="W50:W59" si="1">U50*V50</f>
        <v>0</v>
      </c>
      <c r="X50" s="139"/>
      <c r="Y50" s="134"/>
      <c r="Z50" s="139"/>
      <c r="AA50" s="139"/>
      <c r="AB50" s="138"/>
      <c r="AE50" s="384"/>
      <c r="AF50" s="384"/>
      <c r="AG50" s="384"/>
      <c r="AH50" s="384"/>
      <c r="AI50" s="384"/>
      <c r="AJ50" s="384"/>
      <c r="AK50" s="384"/>
      <c r="AL50" s="384"/>
      <c r="AM50" s="384"/>
      <c r="AN50" s="384"/>
      <c r="AO50" s="384"/>
      <c r="AP50" s="384"/>
      <c r="AQ50" s="384"/>
      <c r="AR50" s="384"/>
      <c r="AS50" s="384"/>
      <c r="AT50" s="384"/>
      <c r="AU50" s="384"/>
      <c r="AV50" s="384"/>
      <c r="AW50" s="384"/>
      <c r="AX50" s="384"/>
      <c r="AY50" s="384"/>
      <c r="AZ50" s="384"/>
      <c r="BA50" s="384"/>
      <c r="BB50" s="384"/>
      <c r="BC50" s="384"/>
      <c r="BD50" s="384"/>
      <c r="BE50" s="384"/>
      <c r="BF50" s="384"/>
      <c r="BG50" s="384"/>
      <c r="BH50" s="384"/>
      <c r="BI50" s="384"/>
      <c r="BJ50" s="384"/>
      <c r="BK50" s="384"/>
      <c r="BL50" s="384"/>
      <c r="BM50" s="384"/>
      <c r="BN50" s="384"/>
      <c r="BO50" s="384"/>
      <c r="BP50" s="384"/>
      <c r="BQ50" s="384"/>
      <c r="BR50" s="384"/>
      <c r="BS50" s="384"/>
      <c r="BT50" s="384"/>
      <c r="BU50" s="384"/>
      <c r="BV50" s="384"/>
      <c r="BW50" s="384"/>
      <c r="BX50" s="384"/>
      <c r="BY50" s="384"/>
      <c r="BZ50" s="384"/>
      <c r="CA50" s="384"/>
      <c r="CB50" s="384"/>
      <c r="CC50" s="384"/>
    </row>
    <row r="51" spans="1:81" s="68" customFormat="1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1"/>
        <v>0</v>
      </c>
      <c r="X51" s="139"/>
      <c r="Y51" s="134"/>
      <c r="Z51" s="139"/>
      <c r="AA51" s="139"/>
      <c r="AB51" s="138"/>
      <c r="AE51" s="384"/>
      <c r="AF51" s="384"/>
      <c r="AG51" s="384"/>
      <c r="AH51" s="384"/>
      <c r="AI51" s="384"/>
      <c r="AJ51" s="384"/>
      <c r="AK51" s="384"/>
      <c r="AL51" s="384"/>
      <c r="AM51" s="384"/>
      <c r="AN51" s="384"/>
      <c r="AO51" s="384"/>
      <c r="AP51" s="384"/>
      <c r="AQ51" s="384"/>
      <c r="AR51" s="384"/>
      <c r="AS51" s="384"/>
      <c r="AT51" s="384"/>
      <c r="AU51" s="384"/>
      <c r="AV51" s="384"/>
      <c r="AW51" s="384"/>
      <c r="AX51" s="384"/>
      <c r="AY51" s="384"/>
      <c r="AZ51" s="384"/>
      <c r="BA51" s="384"/>
      <c r="BB51" s="384"/>
      <c r="BC51" s="384"/>
      <c r="BD51" s="384"/>
      <c r="BE51" s="384"/>
      <c r="BF51" s="384"/>
      <c r="BG51" s="384"/>
      <c r="BH51" s="384"/>
      <c r="BI51" s="384"/>
      <c r="BJ51" s="384"/>
      <c r="BK51" s="384"/>
      <c r="BL51" s="384"/>
      <c r="BM51" s="384"/>
      <c r="BN51" s="384"/>
      <c r="BO51" s="384"/>
      <c r="BP51" s="384"/>
      <c r="BQ51" s="384"/>
      <c r="BR51" s="384"/>
      <c r="BS51" s="384"/>
      <c r="BT51" s="384"/>
      <c r="BU51" s="384"/>
      <c r="BV51" s="384"/>
      <c r="BW51" s="384"/>
      <c r="BX51" s="384"/>
      <c r="BY51" s="384"/>
      <c r="BZ51" s="384"/>
      <c r="CA51" s="384"/>
      <c r="CB51" s="384"/>
      <c r="CC51" s="384"/>
    </row>
    <row r="52" spans="1:81" s="68" customFormat="1">
      <c r="A52" s="157"/>
      <c r="B52" s="152"/>
      <c r="C52" s="124">
        <f>D52*E52</f>
        <v>0</v>
      </c>
      <c r="D52" s="131"/>
      <c r="E52" s="1531"/>
      <c r="F52" s="124">
        <f>D52*E52</f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31"/>
      <c r="W52" s="124">
        <f t="shared" si="1"/>
        <v>0</v>
      </c>
      <c r="X52" s="139"/>
      <c r="Y52" s="134"/>
      <c r="Z52" s="139"/>
      <c r="AA52" s="139"/>
      <c r="AB52" s="138"/>
      <c r="AE52" s="384"/>
      <c r="AF52" s="384"/>
      <c r="AG52" s="384"/>
      <c r="AH52" s="384"/>
      <c r="AI52" s="384"/>
      <c r="AJ52" s="384"/>
      <c r="AK52" s="384"/>
      <c r="AL52" s="384"/>
      <c r="AM52" s="384"/>
      <c r="AN52" s="384"/>
      <c r="AO52" s="384"/>
      <c r="AP52" s="384"/>
      <c r="AQ52" s="384"/>
      <c r="AR52" s="384"/>
      <c r="AS52" s="384"/>
      <c r="AT52" s="384"/>
      <c r="AU52" s="384"/>
      <c r="AV52" s="384"/>
      <c r="AW52" s="384"/>
      <c r="AX52" s="384"/>
      <c r="AY52" s="384"/>
      <c r="AZ52" s="384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N52" s="384"/>
      <c r="BO52" s="384"/>
      <c r="BP52" s="384"/>
      <c r="BQ52" s="384"/>
      <c r="BR52" s="384"/>
      <c r="BS52" s="384"/>
      <c r="BT52" s="384"/>
      <c r="BU52" s="384"/>
      <c r="BV52" s="384"/>
      <c r="BW52" s="384"/>
      <c r="BX52" s="384"/>
      <c r="BY52" s="384"/>
      <c r="BZ52" s="384"/>
      <c r="CA52" s="384"/>
      <c r="CB52" s="384"/>
      <c r="CC52" s="384"/>
    </row>
    <row r="53" spans="1:81" s="68" customFormat="1">
      <c r="A53" s="157"/>
      <c r="B53" s="152"/>
      <c r="C53" s="124"/>
      <c r="D53" s="131"/>
      <c r="E53" s="157"/>
      <c r="F53" s="124"/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  <c r="AE53" s="384"/>
      <c r="AF53" s="384"/>
      <c r="AG53" s="384"/>
      <c r="AH53" s="384"/>
      <c r="AI53" s="384"/>
      <c r="AJ53" s="384"/>
      <c r="AK53" s="384"/>
      <c r="AL53" s="384"/>
      <c r="AM53" s="384"/>
      <c r="AN53" s="384"/>
      <c r="AO53" s="384"/>
      <c r="AP53" s="384"/>
      <c r="AQ53" s="384"/>
      <c r="AR53" s="384"/>
      <c r="AS53" s="384"/>
      <c r="AT53" s="384"/>
      <c r="AU53" s="384"/>
      <c r="AV53" s="384"/>
      <c r="AW53" s="384"/>
      <c r="AX53" s="384"/>
      <c r="AY53" s="384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M53" s="384"/>
      <c r="BN53" s="384"/>
      <c r="BO53" s="384"/>
      <c r="BP53" s="384"/>
      <c r="BQ53" s="384"/>
      <c r="BR53" s="384"/>
      <c r="BS53" s="384"/>
      <c r="BT53" s="384"/>
      <c r="BU53" s="384"/>
      <c r="BV53" s="384"/>
      <c r="BW53" s="384"/>
      <c r="BX53" s="384"/>
      <c r="BY53" s="384"/>
      <c r="BZ53" s="384"/>
      <c r="CA53" s="384"/>
      <c r="CB53" s="384"/>
      <c r="CC53" s="384"/>
    </row>
    <row r="54" spans="1:81" s="68" customFormat="1">
      <c r="A54" s="1530"/>
      <c r="B54" s="152"/>
      <c r="C54" s="124">
        <f t="shared" ref="C54:C59" si="2">D54*E54</f>
        <v>0</v>
      </c>
      <c r="D54" s="131"/>
      <c r="E54" s="157"/>
      <c r="F54" s="124">
        <f t="shared" ref="F54:F59" si="3">D54*E54</f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1"/>
        <v>0</v>
      </c>
      <c r="X54" s="139"/>
      <c r="Y54" s="134"/>
      <c r="Z54" s="139"/>
      <c r="AA54" s="139"/>
      <c r="AB54" s="138"/>
      <c r="AE54" s="384"/>
      <c r="AF54" s="384"/>
      <c r="AG54" s="384"/>
      <c r="AH54" s="384"/>
      <c r="AI54" s="384"/>
      <c r="AJ54" s="384"/>
      <c r="AK54" s="384"/>
      <c r="AL54" s="384"/>
      <c r="AM54" s="384"/>
      <c r="AN54" s="384"/>
      <c r="AO54" s="384"/>
      <c r="AP54" s="384"/>
      <c r="AQ54" s="384"/>
      <c r="AR54" s="384"/>
      <c r="AS54" s="384"/>
      <c r="AT54" s="384"/>
      <c r="AU54" s="384"/>
      <c r="AV54" s="384"/>
      <c r="AW54" s="384"/>
      <c r="AX54" s="384"/>
      <c r="AY54" s="384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M54" s="384"/>
      <c r="BN54" s="384"/>
      <c r="BO54" s="384"/>
      <c r="BP54" s="384"/>
      <c r="BQ54" s="384"/>
      <c r="BR54" s="384"/>
      <c r="BS54" s="384"/>
      <c r="BT54" s="384"/>
      <c r="BU54" s="384"/>
      <c r="BV54" s="384"/>
      <c r="BW54" s="384"/>
      <c r="BX54" s="384"/>
      <c r="BY54" s="384"/>
      <c r="BZ54" s="384"/>
      <c r="CA54" s="384"/>
      <c r="CB54" s="384"/>
      <c r="CC54" s="384"/>
    </row>
    <row r="55" spans="1:81" s="68" customFormat="1">
      <c r="A55" s="157"/>
      <c r="B55" s="152"/>
      <c r="C55" s="124">
        <f t="shared" si="2"/>
        <v>0</v>
      </c>
      <c r="D55" s="131"/>
      <c r="E55" s="146"/>
      <c r="F55" s="124">
        <f t="shared" si="3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46"/>
      <c r="W55" s="124">
        <f t="shared" si="1"/>
        <v>0</v>
      </c>
      <c r="X55" s="139"/>
      <c r="Y55" s="134"/>
      <c r="Z55" s="139"/>
      <c r="AA55" s="139"/>
      <c r="AB55" s="138"/>
      <c r="AE55" s="384"/>
      <c r="AF55" s="384"/>
      <c r="AG55" s="384"/>
      <c r="AH55" s="384"/>
      <c r="AI55" s="384"/>
      <c r="AJ55" s="384"/>
      <c r="AK55" s="384"/>
      <c r="AL55" s="384"/>
      <c r="AM55" s="384"/>
      <c r="AN55" s="384"/>
      <c r="AO55" s="384"/>
      <c r="AP55" s="384"/>
      <c r="AQ55" s="384"/>
      <c r="AR55" s="384"/>
      <c r="AS55" s="384"/>
      <c r="AT55" s="384"/>
      <c r="AU55" s="384"/>
      <c r="AV55" s="384"/>
      <c r="AW55" s="384"/>
      <c r="AX55" s="384"/>
      <c r="AY55" s="384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M55" s="384"/>
      <c r="BN55" s="384"/>
      <c r="BO55" s="384"/>
      <c r="BP55" s="384"/>
      <c r="BQ55" s="384"/>
      <c r="BR55" s="384"/>
      <c r="BS55" s="384"/>
      <c r="BT55" s="384"/>
      <c r="BU55" s="384"/>
      <c r="BV55" s="384"/>
      <c r="BW55" s="384"/>
      <c r="BX55" s="384"/>
      <c r="BY55" s="384"/>
      <c r="BZ55" s="384"/>
      <c r="CA55" s="384"/>
      <c r="CB55" s="384"/>
      <c r="CC55" s="384"/>
    </row>
    <row r="56" spans="1:81" s="68" customFormat="1">
      <c r="A56" s="157"/>
      <c r="B56" s="152"/>
      <c r="C56" s="124">
        <f t="shared" si="2"/>
        <v>0</v>
      </c>
      <c r="D56" s="131"/>
      <c r="E56" s="157"/>
      <c r="F56" s="124">
        <f t="shared" si="3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57"/>
      <c r="W56" s="124">
        <f t="shared" si="1"/>
        <v>0</v>
      </c>
      <c r="X56" s="139"/>
      <c r="Y56" s="134"/>
      <c r="Z56" s="139"/>
      <c r="AA56" s="139"/>
      <c r="AB56" s="138"/>
      <c r="AE56" s="384"/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384"/>
      <c r="AW56" s="384"/>
      <c r="AX56" s="384"/>
      <c r="AY56" s="384"/>
      <c r="AZ56" s="384"/>
      <c r="BA56" s="384"/>
      <c r="BB56" s="384"/>
      <c r="BC56" s="384"/>
      <c r="BD56" s="384"/>
      <c r="BE56" s="384"/>
      <c r="BF56" s="384"/>
      <c r="BG56" s="384"/>
      <c r="BH56" s="384"/>
      <c r="BI56" s="384"/>
      <c r="BJ56" s="384"/>
      <c r="BK56" s="384"/>
      <c r="BL56" s="384"/>
      <c r="BM56" s="384"/>
      <c r="BN56" s="384"/>
      <c r="BO56" s="384"/>
      <c r="BP56" s="384"/>
      <c r="BQ56" s="384"/>
      <c r="BR56" s="384"/>
      <c r="BS56" s="384"/>
      <c r="BT56" s="384"/>
      <c r="BU56" s="384"/>
      <c r="BV56" s="384"/>
      <c r="BW56" s="384"/>
      <c r="BX56" s="384"/>
      <c r="BY56" s="384"/>
      <c r="BZ56" s="384"/>
      <c r="CA56" s="384"/>
      <c r="CB56" s="384"/>
      <c r="CC56" s="384"/>
    </row>
    <row r="57" spans="1:81" s="68" customFormat="1">
      <c r="A57" s="157"/>
      <c r="B57" s="152"/>
      <c r="C57" s="124">
        <f t="shared" si="2"/>
        <v>0</v>
      </c>
      <c r="D57" s="131"/>
      <c r="E57" s="146"/>
      <c r="F57" s="124">
        <f t="shared" si="3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46"/>
      <c r="W57" s="124">
        <f t="shared" si="1"/>
        <v>0</v>
      </c>
      <c r="X57" s="139"/>
      <c r="Y57" s="134"/>
      <c r="Z57" s="139"/>
      <c r="AA57" s="139"/>
      <c r="AB57" s="138"/>
      <c r="AE57" s="384"/>
      <c r="AF57" s="384"/>
      <c r="AG57" s="384"/>
      <c r="AH57" s="384"/>
      <c r="AI57" s="384"/>
      <c r="AJ57" s="384"/>
      <c r="AK57" s="384"/>
      <c r="AL57" s="384"/>
      <c r="AM57" s="384"/>
      <c r="AN57" s="384"/>
      <c r="AO57" s="384"/>
      <c r="AP57" s="384"/>
      <c r="AQ57" s="384"/>
      <c r="AR57" s="384"/>
      <c r="AS57" s="384"/>
      <c r="AT57" s="384"/>
      <c r="AU57" s="384"/>
      <c r="AV57" s="384"/>
      <c r="AW57" s="384"/>
      <c r="AX57" s="384"/>
      <c r="AY57" s="384"/>
      <c r="AZ57" s="384"/>
      <c r="BA57" s="384"/>
      <c r="BB57" s="384"/>
      <c r="BC57" s="384"/>
      <c r="BD57" s="384"/>
      <c r="BE57" s="384"/>
      <c r="BF57" s="384"/>
      <c r="BG57" s="384"/>
      <c r="BH57" s="384"/>
      <c r="BI57" s="384"/>
      <c r="BJ57" s="384"/>
      <c r="BK57" s="384"/>
      <c r="BL57" s="384"/>
      <c r="BM57" s="384"/>
      <c r="BN57" s="384"/>
      <c r="BO57" s="384"/>
      <c r="BP57" s="384"/>
      <c r="BQ57" s="384"/>
      <c r="BR57" s="384"/>
      <c r="BS57" s="384"/>
      <c r="BT57" s="384"/>
      <c r="BU57" s="384"/>
      <c r="BV57" s="384"/>
      <c r="BW57" s="384"/>
      <c r="BX57" s="384"/>
      <c r="BY57" s="384"/>
      <c r="BZ57" s="384"/>
      <c r="CA57" s="384"/>
      <c r="CB57" s="384"/>
      <c r="CC57" s="384"/>
    </row>
    <row r="58" spans="1:81" s="68" customFormat="1">
      <c r="A58" s="157"/>
      <c r="B58" s="152"/>
      <c r="C58" s="124">
        <f t="shared" si="2"/>
        <v>0</v>
      </c>
      <c r="D58" s="131"/>
      <c r="E58" s="157"/>
      <c r="F58" s="124">
        <f t="shared" si="3"/>
        <v>0</v>
      </c>
      <c r="G58" s="134"/>
      <c r="H58" s="134"/>
      <c r="I58" s="135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57"/>
      <c r="W58" s="124">
        <f t="shared" si="1"/>
        <v>0</v>
      </c>
      <c r="X58" s="139"/>
      <c r="Y58" s="134"/>
      <c r="Z58" s="139"/>
      <c r="AA58" s="139"/>
      <c r="AB58" s="138"/>
      <c r="AE58" s="384"/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384"/>
      <c r="BC58" s="384"/>
      <c r="BD58" s="384"/>
      <c r="BE58" s="384"/>
      <c r="BF58" s="384"/>
      <c r="BG58" s="384"/>
      <c r="BH58" s="384"/>
      <c r="BI58" s="384"/>
      <c r="BJ58" s="384"/>
      <c r="BK58" s="384"/>
      <c r="BL58" s="384"/>
      <c r="BM58" s="384"/>
      <c r="BN58" s="384"/>
      <c r="BO58" s="384"/>
      <c r="BP58" s="384"/>
      <c r="BQ58" s="384"/>
      <c r="BR58" s="384"/>
      <c r="BS58" s="384"/>
      <c r="BT58" s="384"/>
      <c r="BU58" s="384"/>
      <c r="BV58" s="384"/>
      <c r="BW58" s="384"/>
      <c r="BX58" s="384"/>
      <c r="BY58" s="384"/>
      <c r="BZ58" s="384"/>
      <c r="CA58" s="384"/>
      <c r="CB58" s="384"/>
      <c r="CC58" s="384"/>
    </row>
    <row r="59" spans="1:81" s="68" customFormat="1">
      <c r="A59" s="157"/>
      <c r="B59" s="158"/>
      <c r="C59" s="124">
        <f t="shared" si="2"/>
        <v>0</v>
      </c>
      <c r="D59" s="131"/>
      <c r="E59" s="132"/>
      <c r="F59" s="124">
        <f t="shared" si="3"/>
        <v>0</v>
      </c>
      <c r="G59" s="134"/>
      <c r="H59" s="134"/>
      <c r="I59" s="134"/>
      <c r="J59" s="134"/>
      <c r="K59" s="134"/>
      <c r="L59" s="139"/>
      <c r="M59" s="134"/>
      <c r="N59" s="134"/>
      <c r="O59" s="134"/>
      <c r="P59" s="139"/>
      <c r="Q59" s="134"/>
      <c r="R59" s="139"/>
      <c r="S59" s="139"/>
      <c r="T59" s="138"/>
      <c r="U59" s="144"/>
      <c r="V59" s="132"/>
      <c r="W59" s="124">
        <f t="shared" si="1"/>
        <v>0</v>
      </c>
      <c r="X59" s="139"/>
      <c r="Y59" s="134"/>
      <c r="Z59" s="139"/>
      <c r="AA59" s="139"/>
      <c r="AB59" s="138"/>
      <c r="AE59" s="384"/>
      <c r="AF59" s="384"/>
      <c r="AG59" s="384"/>
      <c r="AH59" s="384"/>
      <c r="AI59" s="384"/>
      <c r="AJ59" s="384"/>
      <c r="AK59" s="384"/>
      <c r="AL59" s="384"/>
      <c r="AM59" s="384"/>
      <c r="AN59" s="384"/>
      <c r="AO59" s="384"/>
      <c r="AP59" s="384"/>
      <c r="AQ59" s="384"/>
      <c r="AR59" s="384"/>
      <c r="AS59" s="384"/>
      <c r="AT59" s="384"/>
      <c r="AU59" s="384"/>
      <c r="AV59" s="384"/>
      <c r="AW59" s="384"/>
      <c r="AX59" s="384"/>
      <c r="AY59" s="384"/>
      <c r="AZ59" s="384"/>
      <c r="BA59" s="384"/>
      <c r="BB59" s="384"/>
      <c r="BC59" s="384"/>
      <c r="BD59" s="384"/>
      <c r="BE59" s="384"/>
      <c r="BF59" s="384"/>
      <c r="BG59" s="384"/>
      <c r="BH59" s="384"/>
      <c r="BI59" s="384"/>
      <c r="BJ59" s="384"/>
      <c r="BK59" s="384"/>
      <c r="BL59" s="384"/>
      <c r="BM59" s="384"/>
      <c r="BN59" s="384"/>
      <c r="BO59" s="384"/>
      <c r="BP59" s="384"/>
      <c r="BQ59" s="384"/>
      <c r="BR59" s="384"/>
      <c r="BS59" s="384"/>
      <c r="BT59" s="384"/>
      <c r="BU59" s="384"/>
      <c r="BV59" s="384"/>
      <c r="BW59" s="384"/>
      <c r="BX59" s="384"/>
      <c r="BY59" s="384"/>
      <c r="BZ59" s="384"/>
      <c r="CA59" s="384"/>
      <c r="CB59" s="384"/>
      <c r="CC59" s="384"/>
    </row>
    <row r="60" spans="1:81" s="68" customFormat="1">
      <c r="A60" s="159"/>
      <c r="B60" s="160" t="s">
        <v>17</v>
      </c>
      <c r="C60" s="1535">
        <f>SUM(C15:C59)</f>
        <v>744000</v>
      </c>
      <c r="D60" s="1536"/>
      <c r="E60" s="1536"/>
      <c r="F60" s="1536">
        <f>SUM(F15:F59)</f>
        <v>744000</v>
      </c>
      <c r="G60" s="1536">
        <f t="shared" ref="G60:N60" si="4">SUM(G16:G59)</f>
        <v>0</v>
      </c>
      <c r="H60" s="1536">
        <f t="shared" si="4"/>
        <v>0</v>
      </c>
      <c r="I60" s="1536">
        <f t="shared" si="4"/>
        <v>60000</v>
      </c>
      <c r="J60" s="1536">
        <f t="shared" si="4"/>
        <v>12000</v>
      </c>
      <c r="K60" s="1536">
        <f t="shared" si="4"/>
        <v>0</v>
      </c>
      <c r="L60" s="1536">
        <f>SUM(L15:L59)</f>
        <v>297600</v>
      </c>
      <c r="M60" s="1536">
        <f t="shared" si="4"/>
        <v>0</v>
      </c>
      <c r="N60" s="1536">
        <f t="shared" si="4"/>
        <v>0</v>
      </c>
      <c r="O60" s="1536">
        <f>SUM(O14:O59)</f>
        <v>0</v>
      </c>
      <c r="P60" s="1536">
        <f>SUM(P14:P59)</f>
        <v>0</v>
      </c>
      <c r="Q60" s="1536">
        <f>SUM(Q14:Q59)</f>
        <v>0</v>
      </c>
      <c r="R60" s="1536">
        <f>SUM(R14:R59)</f>
        <v>0</v>
      </c>
      <c r="S60" s="1536">
        <f>SUM(S16:S59)</f>
        <v>0</v>
      </c>
      <c r="T60" s="1537">
        <f>W60-L60</f>
        <v>74400</v>
      </c>
      <c r="U60" s="1536"/>
      <c r="V60" s="1536"/>
      <c r="W60" s="1536">
        <f>SUM(W14:W59)</f>
        <v>372000</v>
      </c>
      <c r="X60" s="1536">
        <f>SUM(X16:X59)</f>
        <v>0</v>
      </c>
      <c r="Y60" s="1536">
        <f>SUM(Y16:Y59)</f>
        <v>0</v>
      </c>
      <c r="Z60" s="1536">
        <f>SUM(Z16:Z59)</f>
        <v>0</v>
      </c>
      <c r="AA60" s="1536">
        <v>0</v>
      </c>
      <c r="AB60" s="1536">
        <f>SUM(AB16:AB59)</f>
        <v>0</v>
      </c>
      <c r="AE60" s="384"/>
      <c r="AF60" s="384"/>
      <c r="AG60" s="384"/>
      <c r="AH60" s="384"/>
      <c r="AI60" s="384"/>
      <c r="AJ60" s="384"/>
      <c r="AK60" s="384"/>
      <c r="AL60" s="384"/>
      <c r="AM60" s="384"/>
      <c r="AN60" s="384"/>
      <c r="AO60" s="384"/>
      <c r="AP60" s="384"/>
      <c r="AQ60" s="384"/>
      <c r="AR60" s="384"/>
      <c r="AS60" s="384"/>
      <c r="AT60" s="384"/>
      <c r="AU60" s="384"/>
      <c r="AV60" s="384"/>
      <c r="AW60" s="384"/>
      <c r="AX60" s="384"/>
      <c r="AY60" s="384"/>
      <c r="AZ60" s="384"/>
      <c r="BA60" s="384"/>
      <c r="BB60" s="384"/>
      <c r="BC60" s="384"/>
      <c r="BD60" s="384"/>
      <c r="BE60" s="384"/>
      <c r="BF60" s="384"/>
      <c r="BG60" s="384"/>
      <c r="BH60" s="384"/>
      <c r="BI60" s="384"/>
      <c r="BJ60" s="384"/>
      <c r="BK60" s="384"/>
      <c r="BL60" s="384"/>
      <c r="BM60" s="384"/>
      <c r="BN60" s="384"/>
      <c r="BO60" s="384"/>
      <c r="BP60" s="384"/>
      <c r="BQ60" s="384"/>
      <c r="BR60" s="384"/>
      <c r="BS60" s="384"/>
      <c r="BT60" s="384"/>
      <c r="BU60" s="384"/>
      <c r="BV60" s="384"/>
      <c r="BW60" s="384"/>
      <c r="BX60" s="384"/>
      <c r="BY60" s="384"/>
      <c r="BZ60" s="384"/>
      <c r="CA60" s="384"/>
      <c r="CB60" s="384"/>
      <c r="CC60" s="384"/>
    </row>
    <row r="61" spans="1:81" s="68" customFormat="1">
      <c r="A61" s="161"/>
      <c r="B61" s="162"/>
      <c r="C61" s="67"/>
      <c r="D61" s="67"/>
      <c r="E61" s="67"/>
      <c r="F61" s="163"/>
      <c r="G61" s="163"/>
      <c r="H61" s="163"/>
      <c r="I61" s="163"/>
      <c r="J61" s="163"/>
      <c r="K61" s="163"/>
      <c r="L61" s="163"/>
      <c r="M61" s="163"/>
      <c r="N61" s="163"/>
      <c r="O61" s="67"/>
      <c r="P61" s="163"/>
      <c r="Q61" s="67"/>
      <c r="R61" s="67"/>
      <c r="U61" s="67"/>
      <c r="V61" s="67"/>
      <c r="W61" s="163"/>
      <c r="AE61" s="384"/>
      <c r="AF61" s="384"/>
      <c r="AG61" s="384"/>
      <c r="AH61" s="384"/>
      <c r="AI61" s="384"/>
      <c r="AJ61" s="384"/>
      <c r="AK61" s="384"/>
      <c r="AL61" s="384"/>
      <c r="AM61" s="384"/>
      <c r="AN61" s="384"/>
      <c r="AO61" s="384"/>
      <c r="AP61" s="384"/>
      <c r="AQ61" s="384"/>
      <c r="AR61" s="384"/>
      <c r="AS61" s="384"/>
      <c r="AT61" s="384"/>
      <c r="AU61" s="384"/>
      <c r="AV61" s="384"/>
      <c r="AW61" s="384"/>
      <c r="AX61" s="384"/>
      <c r="AY61" s="384"/>
      <c r="AZ61" s="384"/>
      <c r="BA61" s="384"/>
      <c r="BB61" s="384"/>
      <c r="BC61" s="384"/>
      <c r="BD61" s="384"/>
      <c r="BE61" s="384"/>
      <c r="BF61" s="384"/>
      <c r="BG61" s="384"/>
      <c r="BH61" s="384"/>
      <c r="BI61" s="384"/>
      <c r="BJ61" s="384"/>
      <c r="BK61" s="384"/>
      <c r="BL61" s="384"/>
      <c r="BM61" s="384"/>
      <c r="BN61" s="384"/>
      <c r="BO61" s="384"/>
      <c r="BP61" s="384"/>
      <c r="BQ61" s="384"/>
      <c r="BR61" s="384"/>
      <c r="BS61" s="384"/>
      <c r="BT61" s="384"/>
      <c r="BU61" s="384"/>
      <c r="BV61" s="384"/>
      <c r="BW61" s="384"/>
      <c r="BX61" s="384"/>
      <c r="BY61" s="384"/>
      <c r="BZ61" s="384"/>
      <c r="CA61" s="384"/>
      <c r="CB61" s="384"/>
      <c r="CC61" s="384"/>
    </row>
    <row r="62" spans="1:81" s="68" customFormat="1">
      <c r="A62" s="164"/>
      <c r="B62" s="162"/>
      <c r="C62" s="67"/>
      <c r="D62" s="67"/>
      <c r="E62" s="67"/>
      <c r="F62" s="163"/>
      <c r="G62" s="163"/>
      <c r="H62" s="163"/>
      <c r="I62" s="163"/>
      <c r="J62" s="163"/>
      <c r="K62" s="163"/>
      <c r="L62" s="163"/>
      <c r="M62" s="163"/>
      <c r="N62" s="163"/>
      <c r="O62" s="67"/>
      <c r="P62" s="163"/>
      <c r="Q62" s="67"/>
      <c r="R62" s="67"/>
      <c r="U62" s="67"/>
      <c r="V62" s="67"/>
      <c r="W62" s="163"/>
      <c r="AE62" s="384"/>
      <c r="AF62" s="384"/>
      <c r="AG62" s="384"/>
      <c r="AH62" s="384"/>
      <c r="AI62" s="384"/>
      <c r="AJ62" s="384"/>
      <c r="AK62" s="384"/>
      <c r="AL62" s="384"/>
      <c r="AM62" s="384"/>
      <c r="AN62" s="384"/>
      <c r="AO62" s="384"/>
      <c r="AP62" s="384"/>
      <c r="AQ62" s="384"/>
      <c r="AR62" s="384"/>
      <c r="AS62" s="384"/>
      <c r="AT62" s="384"/>
      <c r="AU62" s="384"/>
      <c r="AV62" s="384"/>
      <c r="AW62" s="384"/>
      <c r="AX62" s="384"/>
      <c r="AY62" s="384"/>
      <c r="AZ62" s="384"/>
      <c r="BA62" s="384"/>
      <c r="BB62" s="384"/>
      <c r="BC62" s="384"/>
      <c r="BD62" s="384"/>
      <c r="BE62" s="384"/>
      <c r="BF62" s="384"/>
      <c r="BG62" s="384"/>
      <c r="BH62" s="384"/>
      <c r="BI62" s="384"/>
      <c r="BJ62" s="384"/>
      <c r="BK62" s="384"/>
      <c r="BL62" s="384"/>
      <c r="BM62" s="384"/>
      <c r="BN62" s="384"/>
      <c r="BO62" s="384"/>
      <c r="BP62" s="384"/>
      <c r="BQ62" s="384"/>
      <c r="BR62" s="384"/>
      <c r="BS62" s="384"/>
      <c r="BT62" s="384"/>
      <c r="BU62" s="384"/>
      <c r="BV62" s="384"/>
      <c r="BW62" s="384"/>
      <c r="BX62" s="384"/>
      <c r="BY62" s="384"/>
      <c r="BZ62" s="384"/>
      <c r="CA62" s="384"/>
      <c r="CB62" s="384"/>
      <c r="CC62" s="384"/>
    </row>
    <row r="63" spans="1:81" s="68" customFormat="1">
      <c r="A63" s="67"/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R63" s="67"/>
      <c r="U63" s="67"/>
      <c r="V63" s="67"/>
      <c r="W63" s="163"/>
      <c r="AE63" s="384"/>
      <c r="AF63" s="384"/>
      <c r="AG63" s="384"/>
      <c r="AH63" s="384"/>
      <c r="AI63" s="384"/>
      <c r="AJ63" s="384"/>
      <c r="AK63" s="384"/>
      <c r="AL63" s="384"/>
      <c r="AM63" s="384"/>
      <c r="AN63" s="384"/>
      <c r="AO63" s="384"/>
      <c r="AP63" s="384"/>
      <c r="AQ63" s="384"/>
      <c r="AR63" s="384"/>
      <c r="AS63" s="384"/>
      <c r="AT63" s="384"/>
      <c r="AU63" s="384"/>
      <c r="AV63" s="384"/>
      <c r="AW63" s="384"/>
      <c r="AX63" s="384"/>
      <c r="AY63" s="384"/>
      <c r="AZ63" s="384"/>
      <c r="BA63" s="384"/>
      <c r="BB63" s="384"/>
      <c r="BC63" s="384"/>
      <c r="BD63" s="384"/>
      <c r="BE63" s="384"/>
      <c r="BF63" s="384"/>
      <c r="BG63" s="384"/>
      <c r="BH63" s="384"/>
      <c r="BI63" s="384"/>
      <c r="BJ63" s="384"/>
      <c r="BK63" s="384"/>
      <c r="BL63" s="384"/>
      <c r="BM63" s="384"/>
      <c r="BN63" s="384"/>
      <c r="BO63" s="384"/>
      <c r="BP63" s="384"/>
      <c r="BQ63" s="384"/>
      <c r="BR63" s="384"/>
      <c r="BS63" s="384"/>
      <c r="BT63" s="384"/>
      <c r="BU63" s="384"/>
      <c r="BV63" s="384"/>
      <c r="BW63" s="384"/>
      <c r="BX63" s="384"/>
      <c r="BY63" s="384"/>
      <c r="BZ63" s="384"/>
      <c r="CA63" s="384"/>
      <c r="CB63" s="384"/>
      <c r="CC63" s="384"/>
    </row>
    <row r="64" spans="1:81" s="68" customFormat="1">
      <c r="A64" s="67"/>
      <c r="B64" s="67"/>
      <c r="C64" s="67"/>
      <c r="D64" s="67"/>
      <c r="E64" s="67"/>
      <c r="F64" s="163"/>
      <c r="G64" s="67"/>
      <c r="H64" s="67"/>
      <c r="I64" s="67"/>
      <c r="J64" s="67"/>
      <c r="K64" s="67"/>
      <c r="L64" s="67"/>
      <c r="M64" s="67"/>
      <c r="N64" s="67"/>
      <c r="O64" s="67"/>
      <c r="P64" s="67"/>
      <c r="R64" s="67"/>
      <c r="U64" s="67"/>
      <c r="V64" s="67"/>
      <c r="W64" s="163"/>
      <c r="AE64" s="384"/>
      <c r="AF64" s="384"/>
      <c r="AG64" s="384"/>
      <c r="AH64" s="384"/>
      <c r="AI64" s="384"/>
      <c r="AJ64" s="384"/>
      <c r="AK64" s="384"/>
      <c r="AL64" s="384"/>
      <c r="AM64" s="384"/>
      <c r="AN64" s="384"/>
      <c r="AO64" s="384"/>
      <c r="AP64" s="384"/>
      <c r="AQ64" s="384"/>
      <c r="AR64" s="384"/>
      <c r="AS64" s="384"/>
      <c r="AT64" s="384"/>
      <c r="AU64" s="384"/>
      <c r="AV64" s="384"/>
      <c r="AW64" s="384"/>
      <c r="AX64" s="384"/>
      <c r="AY64" s="384"/>
      <c r="AZ64" s="384"/>
      <c r="BA64" s="384"/>
      <c r="BB64" s="384"/>
      <c r="BC64" s="384"/>
      <c r="BD64" s="384"/>
      <c r="BE64" s="384"/>
      <c r="BF64" s="384"/>
      <c r="BG64" s="384"/>
      <c r="BH64" s="384"/>
      <c r="BI64" s="384"/>
      <c r="BJ64" s="384"/>
      <c r="BK64" s="384"/>
      <c r="BL64" s="384"/>
      <c r="BM64" s="384"/>
      <c r="BN64" s="384"/>
      <c r="BO64" s="384"/>
      <c r="BP64" s="384"/>
      <c r="BQ64" s="384"/>
      <c r="BR64" s="384"/>
      <c r="BS64" s="384"/>
      <c r="BT64" s="384"/>
      <c r="BU64" s="384"/>
      <c r="BV64" s="384"/>
      <c r="BW64" s="384"/>
      <c r="BX64" s="384"/>
      <c r="BY64" s="384"/>
      <c r="BZ64" s="384"/>
      <c r="CA64" s="384"/>
      <c r="CB64" s="384"/>
      <c r="CC64" s="384"/>
    </row>
    <row r="65" spans="1:81" s="68" customFormat="1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R65" s="67"/>
      <c r="U65" s="67"/>
      <c r="V65" s="67"/>
      <c r="W65" s="67"/>
      <c r="AE65" s="384"/>
      <c r="AF65" s="384"/>
      <c r="AG65" s="384"/>
      <c r="AH65" s="384"/>
      <c r="AI65" s="384"/>
      <c r="AJ65" s="384"/>
      <c r="AK65" s="384"/>
      <c r="AL65" s="384"/>
      <c r="AM65" s="384"/>
      <c r="AN65" s="384"/>
      <c r="AO65" s="384"/>
      <c r="AP65" s="384"/>
      <c r="AQ65" s="384"/>
      <c r="AR65" s="384"/>
      <c r="AS65" s="384"/>
      <c r="AT65" s="384"/>
      <c r="AU65" s="384"/>
      <c r="AV65" s="384"/>
      <c r="AW65" s="384"/>
      <c r="AX65" s="384"/>
      <c r="AY65" s="384"/>
      <c r="AZ65" s="384"/>
      <c r="BA65" s="384"/>
      <c r="BB65" s="384"/>
      <c r="BC65" s="384"/>
      <c r="BD65" s="384"/>
      <c r="BE65" s="384"/>
      <c r="BF65" s="384"/>
      <c r="BG65" s="384"/>
      <c r="BH65" s="384"/>
      <c r="BI65" s="384"/>
      <c r="BJ65" s="384"/>
      <c r="BK65" s="384"/>
      <c r="BL65" s="384"/>
      <c r="BM65" s="384"/>
      <c r="BN65" s="384"/>
      <c r="BO65" s="384"/>
      <c r="BP65" s="384"/>
      <c r="BQ65" s="384"/>
      <c r="BR65" s="384"/>
      <c r="BS65" s="384"/>
      <c r="BT65" s="384"/>
      <c r="BU65" s="384"/>
      <c r="BV65" s="384"/>
      <c r="BW65" s="384"/>
      <c r="BX65" s="384"/>
      <c r="BY65" s="384"/>
      <c r="BZ65" s="384"/>
      <c r="CA65" s="384"/>
      <c r="CB65" s="384"/>
      <c r="CC65" s="384"/>
    </row>
    <row r="66" spans="1:81" s="68" customFormat="1">
      <c r="A66" s="67" t="s">
        <v>59</v>
      </c>
      <c r="B66" s="67"/>
      <c r="C66" s="67"/>
      <c r="D66" s="67"/>
      <c r="E66" s="67"/>
      <c r="F66" s="163"/>
      <c r="G66" s="67"/>
      <c r="H66" s="67"/>
      <c r="I66" s="67"/>
      <c r="J66" s="67"/>
      <c r="K66" s="67"/>
      <c r="L66" s="67"/>
      <c r="M66" s="67"/>
      <c r="N66" s="67"/>
      <c r="O66" s="67"/>
      <c r="P66" s="67"/>
      <c r="U66" s="67"/>
      <c r="V66" s="67"/>
      <c r="W66" s="163"/>
      <c r="AE66" s="384"/>
      <c r="AF66" s="384"/>
      <c r="AG66" s="384"/>
      <c r="AH66" s="384"/>
      <c r="AI66" s="384"/>
      <c r="AJ66" s="384"/>
      <c r="AK66" s="384"/>
      <c r="AL66" s="384"/>
      <c r="AM66" s="384"/>
      <c r="AN66" s="384"/>
      <c r="AO66" s="384"/>
      <c r="AP66" s="384"/>
      <c r="AQ66" s="384"/>
      <c r="AR66" s="384"/>
      <c r="AS66" s="384"/>
      <c r="AT66" s="384"/>
      <c r="AU66" s="384"/>
      <c r="AV66" s="384"/>
      <c r="AW66" s="384"/>
      <c r="AX66" s="384"/>
      <c r="AY66" s="384"/>
      <c r="AZ66" s="384"/>
      <c r="BA66" s="384"/>
      <c r="BB66" s="384"/>
      <c r="BC66" s="384"/>
      <c r="BD66" s="384"/>
      <c r="BE66" s="384"/>
      <c r="BF66" s="384"/>
      <c r="BG66" s="384"/>
      <c r="BH66" s="384"/>
      <c r="BI66" s="384"/>
      <c r="BJ66" s="384"/>
      <c r="BK66" s="384"/>
      <c r="BL66" s="384"/>
      <c r="BM66" s="384"/>
      <c r="BN66" s="384"/>
      <c r="BO66" s="384"/>
      <c r="BP66" s="384"/>
      <c r="BQ66" s="384"/>
      <c r="BR66" s="384"/>
      <c r="BS66" s="384"/>
      <c r="BT66" s="384"/>
      <c r="BU66" s="384"/>
      <c r="BV66" s="384"/>
      <c r="BW66" s="384"/>
      <c r="BX66" s="384"/>
      <c r="BY66" s="384"/>
      <c r="BZ66" s="384"/>
      <c r="CA66" s="384"/>
      <c r="CB66" s="384"/>
      <c r="CC66" s="384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70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pageSetUpPr fitToPage="1"/>
  </sheetPr>
  <dimension ref="A1:CC66"/>
  <sheetViews>
    <sheetView showGridLines="0" showZeros="0" view="pageBreakPreview" zoomScaleNormal="100" workbookViewId="0"/>
  </sheetViews>
  <sheetFormatPr baseColWidth="10" defaultRowHeight="12.75"/>
  <cols>
    <col min="1" max="1" width="10.25" style="67" customWidth="1"/>
    <col min="2" max="2" width="33.5" style="67" customWidth="1"/>
    <col min="3" max="3" width="10.12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10.625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81" customFormat="1" ht="18" customHeight="1">
      <c r="A1" s="1520" t="s">
        <v>57</v>
      </c>
      <c r="B1" s="1"/>
      <c r="C1" s="2"/>
      <c r="D1" s="2"/>
      <c r="E1" s="2393">
        <v>42369</v>
      </c>
      <c r="F1" s="239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"/>
      <c r="T1" s="1"/>
      <c r="U1" s="2"/>
      <c r="V1" s="2"/>
      <c r="W1" s="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763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2311" t="s">
        <v>66</v>
      </c>
      <c r="D3" s="2311" t="s">
        <v>72</v>
      </c>
      <c r="E3" s="2311"/>
      <c r="F3" s="2311" t="s">
        <v>84</v>
      </c>
      <c r="G3" s="2312"/>
      <c r="H3" s="2311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380</v>
      </c>
      <c r="C4" s="2313"/>
      <c r="D4" s="2313"/>
      <c r="E4" s="2313"/>
      <c r="F4" s="2312"/>
      <c r="G4" s="2312"/>
      <c r="H4" s="2312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201401290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764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>
        <v>1</v>
      </c>
      <c r="B15" s="152" t="s">
        <v>765</v>
      </c>
      <c r="C15" s="124">
        <v>378000</v>
      </c>
      <c r="D15" s="124">
        <f>0.268888888888889*C15/3</f>
        <v>33880.000000000015</v>
      </c>
      <c r="E15" s="132">
        <v>3</v>
      </c>
      <c r="F15" s="124">
        <f>D15*E15</f>
        <v>101640.00000000004</v>
      </c>
      <c r="G15" s="103"/>
      <c r="H15" s="103"/>
      <c r="I15" s="103">
        <f>0.2*W15</f>
        <v>20328.000000000011</v>
      </c>
      <c r="J15" s="103"/>
      <c r="K15" s="103"/>
      <c r="L15" s="103">
        <f>I15-J15+K15</f>
        <v>20328.000000000011</v>
      </c>
      <c r="M15" s="103"/>
      <c r="N15" s="103"/>
      <c r="O15" s="105"/>
      <c r="P15" s="103">
        <v>20328.000000000011</v>
      </c>
      <c r="Q15" s="105"/>
      <c r="R15" s="105"/>
      <c r="S15" s="123"/>
      <c r="T15" s="106"/>
      <c r="U15" s="124">
        <f>D15</f>
        <v>33880.000000000015</v>
      </c>
      <c r="V15" s="141">
        <v>3</v>
      </c>
      <c r="W15" s="124">
        <f>U15*V15</f>
        <v>101640.00000000004</v>
      </c>
      <c r="X15" s="2325"/>
      <c r="Y15" s="103"/>
      <c r="Z15" s="103"/>
      <c r="AA15" s="105"/>
      <c r="AB15" s="106"/>
    </row>
    <row r="16" spans="1:81">
      <c r="A16" s="1534">
        <v>2</v>
      </c>
      <c r="B16" s="152" t="s">
        <v>766</v>
      </c>
      <c r="C16" s="124">
        <v>378000</v>
      </c>
      <c r="D16" s="124">
        <f>0.268888888888889*C16/4</f>
        <v>25410.000000000011</v>
      </c>
      <c r="E16" s="132">
        <v>4</v>
      </c>
      <c r="F16" s="124">
        <f>D16*E16</f>
        <v>101640.00000000004</v>
      </c>
      <c r="G16" s="103"/>
      <c r="H16" s="133"/>
      <c r="I16" s="103">
        <f t="shared" ref="I16:I17" si="0">0.2*W16</f>
        <v>20328.000000000011</v>
      </c>
      <c r="J16" s="133"/>
      <c r="K16" s="133"/>
      <c r="L16" s="133">
        <f>+I16-J16+K16</f>
        <v>20328.000000000011</v>
      </c>
      <c r="M16" s="133"/>
      <c r="N16" s="133"/>
      <c r="O16" s="133"/>
      <c r="P16" s="134">
        <v>20328.000000000011</v>
      </c>
      <c r="Q16" s="133"/>
      <c r="R16" s="135"/>
      <c r="S16" s="135"/>
      <c r="T16" s="137"/>
      <c r="U16" s="124">
        <f t="shared" ref="U16:U17" si="1">D16</f>
        <v>25410.000000000011</v>
      </c>
      <c r="V16" s="141">
        <v>4</v>
      </c>
      <c r="W16" s="124">
        <f>U16*V16</f>
        <v>101640.00000000004</v>
      </c>
      <c r="X16" s="2325"/>
      <c r="Y16" s="133"/>
      <c r="Z16" s="134"/>
      <c r="AA16" s="135"/>
      <c r="AB16" s="137"/>
    </row>
    <row r="17" spans="1:81" s="68" customFormat="1">
      <c r="A17" s="1534">
        <v>3</v>
      </c>
      <c r="B17" s="152" t="s">
        <v>767</v>
      </c>
      <c r="C17" s="124">
        <v>324000</v>
      </c>
      <c r="D17" s="124">
        <f>0.268888888888889*C17/4</f>
        <v>21780.000000000011</v>
      </c>
      <c r="E17" s="132">
        <v>4</v>
      </c>
      <c r="F17" s="124">
        <f>D17*E17</f>
        <v>87120.000000000044</v>
      </c>
      <c r="G17" s="103"/>
      <c r="H17" s="139"/>
      <c r="I17" s="103">
        <f t="shared" si="0"/>
        <v>17424.000000000011</v>
      </c>
      <c r="J17" s="139"/>
      <c r="K17" s="133"/>
      <c r="L17" s="133">
        <f>+I17-J17+K17</f>
        <v>17424.000000000011</v>
      </c>
      <c r="M17" s="139"/>
      <c r="N17" s="134"/>
      <c r="O17" s="139"/>
      <c r="P17" s="140">
        <v>17424.000000000011</v>
      </c>
      <c r="Q17" s="124"/>
      <c r="R17" s="124"/>
      <c r="S17" s="139"/>
      <c r="T17" s="139"/>
      <c r="U17" s="124">
        <f t="shared" si="1"/>
        <v>21780.000000000011</v>
      </c>
      <c r="V17" s="141">
        <v>4</v>
      </c>
      <c r="W17" s="124">
        <f>U17*V17</f>
        <v>87120.000000000044</v>
      </c>
      <c r="X17" s="2325"/>
      <c r="Y17" s="133"/>
      <c r="Z17" s="140"/>
      <c r="AA17" s="124"/>
      <c r="AB17" s="139"/>
      <c r="AE17" s="384"/>
      <c r="AF17" s="384"/>
      <c r="AG17" s="384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4"/>
      <c r="BV17" s="384"/>
      <c r="BW17" s="384"/>
      <c r="BX17" s="384"/>
      <c r="BY17" s="384"/>
      <c r="BZ17" s="384"/>
      <c r="CA17" s="384"/>
      <c r="CB17" s="384"/>
      <c r="CC17" s="384"/>
    </row>
    <row r="18" spans="1:81" s="68" customFormat="1">
      <c r="A18" s="2314"/>
      <c r="B18" s="152"/>
      <c r="C18" s="124"/>
      <c r="D18" s="131"/>
      <c r="E18" s="132"/>
      <c r="F18" s="124"/>
      <c r="G18" s="139"/>
      <c r="H18" s="139"/>
      <c r="I18" s="139"/>
      <c r="J18" s="139"/>
      <c r="K18" s="133"/>
      <c r="L18" s="133"/>
      <c r="M18" s="139"/>
      <c r="N18" s="134"/>
      <c r="O18" s="139"/>
      <c r="P18" s="140"/>
      <c r="Q18" s="124"/>
      <c r="R18" s="124"/>
      <c r="S18" s="139"/>
      <c r="T18" s="139"/>
      <c r="U18" s="131"/>
      <c r="V18" s="132"/>
      <c r="W18" s="124"/>
      <c r="X18" s="133"/>
      <c r="Y18" s="133"/>
      <c r="Z18" s="140"/>
      <c r="AA18" s="124"/>
      <c r="AB18" s="139"/>
      <c r="AE18" s="384"/>
      <c r="AF18" s="384"/>
      <c r="AG18" s="384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4"/>
      <c r="BI18" s="384"/>
      <c r="BJ18" s="384"/>
      <c r="BK18" s="384"/>
      <c r="BL18" s="384"/>
      <c r="BM18" s="384"/>
      <c r="BN18" s="384"/>
      <c r="BO18" s="384"/>
      <c r="BP18" s="384"/>
      <c r="BQ18" s="384"/>
      <c r="BR18" s="384"/>
      <c r="BS18" s="384"/>
      <c r="BT18" s="384"/>
      <c r="BU18" s="384"/>
      <c r="BV18" s="384"/>
      <c r="BW18" s="384"/>
      <c r="BX18" s="384"/>
      <c r="BY18" s="384"/>
      <c r="BZ18" s="384"/>
      <c r="CA18" s="384"/>
      <c r="CB18" s="384"/>
      <c r="CC18" s="384"/>
    </row>
    <row r="19" spans="1:81" s="68" customFormat="1">
      <c r="A19" s="1532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3"/>
      <c r="M19" s="139"/>
      <c r="N19" s="133"/>
      <c r="O19" s="139"/>
      <c r="P19" s="124"/>
      <c r="Q19" s="124"/>
      <c r="R19" s="124"/>
      <c r="S19" s="139"/>
      <c r="T19" s="139"/>
      <c r="U19" s="131"/>
      <c r="V19" s="132"/>
      <c r="W19" s="124"/>
      <c r="X19" s="133"/>
      <c r="Y19" s="133"/>
      <c r="Z19" s="124"/>
      <c r="AA19" s="143"/>
      <c r="AB19" s="139"/>
      <c r="AE19" s="384"/>
      <c r="AF19" s="384"/>
      <c r="AG19" s="384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4"/>
      <c r="BC19" s="384"/>
      <c r="BD19" s="384"/>
      <c r="BE19" s="384"/>
      <c r="BF19" s="384"/>
      <c r="BG19" s="384"/>
      <c r="BH19" s="384"/>
      <c r="BI19" s="384"/>
      <c r="BJ19" s="384"/>
      <c r="BK19" s="384"/>
      <c r="BL19" s="384"/>
      <c r="BM19" s="384"/>
      <c r="BN19" s="384"/>
      <c r="BO19" s="384"/>
      <c r="BP19" s="384"/>
      <c r="BQ19" s="384"/>
      <c r="BR19" s="384"/>
      <c r="BS19" s="384"/>
      <c r="BT19" s="384"/>
      <c r="BU19" s="384"/>
      <c r="BV19" s="384"/>
      <c r="BW19" s="384"/>
      <c r="BX19" s="384"/>
      <c r="BY19" s="384"/>
      <c r="BZ19" s="384"/>
      <c r="CA19" s="384"/>
      <c r="CB19" s="384"/>
      <c r="CC19" s="384"/>
    </row>
    <row r="20" spans="1:81" s="68" customFormat="1">
      <c r="A20" s="1530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24"/>
      <c r="Q20" s="141"/>
      <c r="R20" s="143"/>
      <c r="S20" s="139"/>
      <c r="T20" s="139"/>
      <c r="U20" s="131"/>
      <c r="V20" s="132"/>
      <c r="W20" s="124"/>
      <c r="X20" s="139"/>
      <c r="Y20" s="133"/>
      <c r="Z20" s="124"/>
      <c r="AA20" s="143"/>
      <c r="AB20" s="139"/>
      <c r="AE20" s="384"/>
      <c r="AF20" s="384"/>
      <c r="AG20" s="384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384"/>
      <c r="AU20" s="384"/>
      <c r="AV20" s="384"/>
      <c r="AW20" s="384"/>
      <c r="AX20" s="384"/>
      <c r="AY20" s="384"/>
      <c r="AZ20" s="384"/>
      <c r="BA20" s="384"/>
      <c r="BB20" s="384"/>
      <c r="BC20" s="384"/>
      <c r="BD20" s="384"/>
      <c r="BE20" s="384"/>
      <c r="BF20" s="384"/>
      <c r="BG20" s="384"/>
      <c r="BH20" s="384"/>
      <c r="BI20" s="384"/>
      <c r="BJ20" s="384"/>
      <c r="BK20" s="384"/>
      <c r="BL20" s="384"/>
      <c r="BM20" s="384"/>
      <c r="BN20" s="384"/>
      <c r="BO20" s="384"/>
      <c r="BP20" s="384"/>
      <c r="BQ20" s="384"/>
      <c r="BR20" s="384"/>
      <c r="BS20" s="384"/>
      <c r="BT20" s="384"/>
      <c r="BU20" s="384"/>
      <c r="BV20" s="384"/>
      <c r="BW20" s="384"/>
      <c r="BX20" s="384"/>
      <c r="BY20" s="384"/>
      <c r="BZ20" s="384"/>
      <c r="CA20" s="384"/>
      <c r="CB20" s="384"/>
      <c r="CC20" s="384"/>
    </row>
    <row r="21" spans="1:81" s="68" customFormat="1">
      <c r="A21" s="1532"/>
      <c r="B21" s="152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24"/>
      <c r="Q21" s="141"/>
      <c r="R21" s="143"/>
      <c r="S21" s="139"/>
      <c r="T21" s="139"/>
      <c r="U21" s="131"/>
      <c r="V21" s="132"/>
      <c r="W21" s="124"/>
      <c r="X21" s="139"/>
      <c r="Y21" s="133"/>
      <c r="Z21" s="124"/>
      <c r="AA21" s="143"/>
      <c r="AB21" s="139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4"/>
      <c r="BC21" s="384"/>
      <c r="BD21" s="384"/>
      <c r="BE21" s="384"/>
      <c r="BF21" s="384"/>
      <c r="BG21" s="384"/>
      <c r="BH21" s="384"/>
      <c r="BI21" s="384"/>
      <c r="BJ21" s="384"/>
      <c r="BK21" s="384"/>
      <c r="BL21" s="384"/>
      <c r="BM21" s="384"/>
      <c r="BN21" s="384"/>
      <c r="BO21" s="384"/>
      <c r="BP21" s="384"/>
      <c r="BQ21" s="384"/>
      <c r="BR21" s="384"/>
      <c r="BS21" s="384"/>
      <c r="BT21" s="384"/>
      <c r="BU21" s="384"/>
      <c r="BV21" s="384"/>
      <c r="BW21" s="384"/>
      <c r="BX21" s="384"/>
      <c r="BY21" s="384"/>
      <c r="BZ21" s="384"/>
      <c r="CA21" s="384"/>
      <c r="CB21" s="384"/>
      <c r="CC21" s="384"/>
    </row>
    <row r="22" spans="1:81" s="68" customFormat="1">
      <c r="A22" s="1532"/>
      <c r="B22" s="145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43"/>
      <c r="Q22" s="141"/>
      <c r="R22" s="143"/>
      <c r="S22" s="139"/>
      <c r="T22" s="139"/>
      <c r="U22" s="131"/>
      <c r="V22" s="132"/>
      <c r="W22" s="124"/>
      <c r="X22" s="139"/>
      <c r="Y22" s="133"/>
      <c r="Z22" s="143"/>
      <c r="AA22" s="143"/>
      <c r="AB22" s="139"/>
      <c r="AE22" s="384"/>
      <c r="AF22" s="384"/>
      <c r="AG22" s="384"/>
      <c r="AH22" s="384"/>
      <c r="AI22" s="384"/>
      <c r="AJ22" s="384"/>
      <c r="AK22" s="384"/>
      <c r="AL22" s="384"/>
      <c r="AM22" s="384"/>
      <c r="AN22" s="384"/>
      <c r="AO22" s="384"/>
      <c r="AP22" s="384"/>
      <c r="AQ22" s="384"/>
      <c r="AR22" s="384"/>
      <c r="AS22" s="384"/>
      <c r="AT22" s="384"/>
      <c r="AU22" s="384"/>
      <c r="AV22" s="384"/>
      <c r="AW22" s="384"/>
      <c r="AX22" s="384"/>
      <c r="AY22" s="384"/>
      <c r="AZ22" s="384"/>
      <c r="BA22" s="384"/>
      <c r="BB22" s="384"/>
      <c r="BC22" s="384"/>
      <c r="BD22" s="384"/>
      <c r="BE22" s="384"/>
      <c r="BF22" s="384"/>
      <c r="BG22" s="384"/>
      <c r="BH22" s="384"/>
      <c r="BI22" s="384"/>
      <c r="BJ22" s="384"/>
      <c r="BK22" s="384"/>
      <c r="BL22" s="384"/>
      <c r="BM22" s="384"/>
      <c r="BN22" s="384"/>
      <c r="BO22" s="384"/>
      <c r="BP22" s="384"/>
      <c r="BQ22" s="384"/>
      <c r="BR22" s="384"/>
      <c r="BS22" s="384"/>
      <c r="BT22" s="384"/>
      <c r="BU22" s="384"/>
      <c r="BV22" s="384"/>
      <c r="BW22" s="384"/>
      <c r="BX22" s="384"/>
      <c r="BY22" s="384"/>
      <c r="BZ22" s="384"/>
      <c r="CA22" s="384"/>
      <c r="CB22" s="384"/>
      <c r="CC22" s="384"/>
    </row>
    <row r="23" spans="1:81" s="68" customFormat="1">
      <c r="A23" s="1532"/>
      <c r="B23" s="798"/>
      <c r="C23" s="124"/>
      <c r="D23" s="131"/>
      <c r="E23" s="132"/>
      <c r="F23" s="124"/>
      <c r="G23" s="139"/>
      <c r="H23" s="139"/>
      <c r="I23" s="139"/>
      <c r="J23" s="139"/>
      <c r="K23" s="133"/>
      <c r="L23" s="139"/>
      <c r="M23" s="139"/>
      <c r="N23" s="133"/>
      <c r="O23" s="139"/>
      <c r="P23" s="139"/>
      <c r="Q23" s="149"/>
      <c r="R23" s="134"/>
      <c r="S23" s="139"/>
      <c r="T23" s="139"/>
      <c r="U23" s="131"/>
      <c r="V23" s="132"/>
      <c r="W23" s="124"/>
      <c r="X23" s="139"/>
      <c r="Y23" s="133"/>
      <c r="Z23" s="139"/>
      <c r="AA23" s="134"/>
      <c r="AB23" s="139"/>
      <c r="AE23" s="384"/>
      <c r="AF23" s="384"/>
      <c r="AG23" s="384"/>
      <c r="AH23" s="384"/>
      <c r="AI23" s="384"/>
      <c r="AJ23" s="384"/>
      <c r="AK23" s="384"/>
      <c r="AL23" s="384"/>
      <c r="AM23" s="384"/>
      <c r="AN23" s="384"/>
      <c r="AO23" s="384"/>
      <c r="AP23" s="384"/>
      <c r="AQ23" s="384"/>
      <c r="AR23" s="384"/>
      <c r="AS23" s="384"/>
      <c r="AT23" s="384"/>
      <c r="AU23" s="384"/>
      <c r="AV23" s="384"/>
      <c r="AW23" s="384"/>
      <c r="AX23" s="384"/>
      <c r="AY23" s="384"/>
      <c r="AZ23" s="384"/>
      <c r="BA23" s="384"/>
      <c r="BB23" s="384"/>
      <c r="BC23" s="384"/>
      <c r="BD23" s="384"/>
      <c r="BE23" s="384"/>
      <c r="BF23" s="384"/>
      <c r="BG23" s="384"/>
      <c r="BH23" s="384"/>
      <c r="BI23" s="384"/>
      <c r="BJ23" s="384"/>
      <c r="BK23" s="384"/>
      <c r="BL23" s="384"/>
      <c r="BM23" s="384"/>
      <c r="BN23" s="384"/>
      <c r="BO23" s="384"/>
      <c r="BP23" s="384"/>
      <c r="BQ23" s="384"/>
      <c r="BR23" s="384"/>
      <c r="BS23" s="384"/>
      <c r="BT23" s="384"/>
      <c r="BU23" s="384"/>
      <c r="BV23" s="384"/>
      <c r="BW23" s="384"/>
      <c r="BX23" s="384"/>
      <c r="BY23" s="384"/>
      <c r="BZ23" s="384"/>
      <c r="CA23" s="384"/>
      <c r="CB23" s="384"/>
      <c r="CC23" s="384"/>
    </row>
    <row r="24" spans="1:81" s="68" customFormat="1">
      <c r="A24" s="1532"/>
      <c r="B24" s="798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49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  <c r="AE24" s="384"/>
      <c r="AF24" s="384"/>
      <c r="AG24" s="384"/>
      <c r="AH24" s="384"/>
      <c r="AI24" s="384"/>
      <c r="AJ24" s="384"/>
      <c r="AK24" s="384"/>
      <c r="AL24" s="384"/>
      <c r="AM24" s="384"/>
      <c r="AN24" s="384"/>
      <c r="AO24" s="384"/>
      <c r="AP24" s="384"/>
      <c r="AQ24" s="384"/>
      <c r="AR24" s="384"/>
      <c r="AS24" s="384"/>
      <c r="AT24" s="384"/>
      <c r="AU24" s="384"/>
      <c r="AV24" s="384"/>
      <c r="AW24" s="384"/>
      <c r="AX24" s="384"/>
      <c r="AY24" s="384"/>
      <c r="AZ24" s="384"/>
      <c r="BA24" s="384"/>
      <c r="BB24" s="384"/>
      <c r="BC24" s="384"/>
      <c r="BD24" s="384"/>
      <c r="BE24" s="384"/>
      <c r="BF24" s="384"/>
      <c r="BG24" s="384"/>
      <c r="BH24" s="384"/>
      <c r="BI24" s="384"/>
      <c r="BJ24" s="384"/>
      <c r="BK24" s="384"/>
      <c r="BL24" s="384"/>
      <c r="BM24" s="384"/>
      <c r="BN24" s="384"/>
      <c r="BO24" s="384"/>
      <c r="BP24" s="384"/>
      <c r="BQ24" s="384"/>
      <c r="BR24" s="384"/>
      <c r="BS24" s="384"/>
      <c r="BT24" s="384"/>
      <c r="BU24" s="384"/>
      <c r="BV24" s="384"/>
      <c r="BW24" s="384"/>
      <c r="BX24" s="384"/>
      <c r="BY24" s="384"/>
      <c r="BZ24" s="384"/>
      <c r="CA24" s="384"/>
      <c r="CB24" s="384"/>
      <c r="CC24" s="384"/>
    </row>
    <row r="25" spans="1:81" s="68" customFormat="1">
      <c r="A25" s="1532"/>
      <c r="B25" s="798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49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  <c r="AE25" s="384"/>
      <c r="AF25" s="384"/>
      <c r="AG25" s="384"/>
      <c r="AH25" s="384"/>
      <c r="AI25" s="384"/>
      <c r="AJ25" s="384"/>
      <c r="AK25" s="384"/>
      <c r="AL25" s="384"/>
      <c r="AM25" s="384"/>
      <c r="AN25" s="384"/>
      <c r="AO25" s="384"/>
      <c r="AP25" s="384"/>
      <c r="AQ25" s="384"/>
      <c r="AR25" s="384"/>
      <c r="AS25" s="384"/>
      <c r="AT25" s="384"/>
      <c r="AU25" s="384"/>
      <c r="AV25" s="384"/>
      <c r="AW25" s="384"/>
      <c r="AX25" s="384"/>
      <c r="AY25" s="384"/>
      <c r="AZ25" s="384"/>
      <c r="BA25" s="384"/>
      <c r="BB25" s="384"/>
      <c r="BC25" s="384"/>
      <c r="BD25" s="384"/>
      <c r="BE25" s="384"/>
      <c r="BF25" s="384"/>
      <c r="BG25" s="384"/>
      <c r="BH25" s="384"/>
      <c r="BI25" s="384"/>
      <c r="BJ25" s="384"/>
      <c r="BK25" s="384"/>
      <c r="BL25" s="384"/>
      <c r="BM25" s="384"/>
      <c r="BN25" s="384"/>
      <c r="BO25" s="384"/>
      <c r="BP25" s="384"/>
      <c r="BQ25" s="384"/>
      <c r="BR25" s="384"/>
      <c r="BS25" s="384"/>
      <c r="BT25" s="384"/>
      <c r="BU25" s="384"/>
      <c r="BV25" s="384"/>
      <c r="BW25" s="384"/>
      <c r="BX25" s="384"/>
      <c r="BY25" s="384"/>
      <c r="BZ25" s="384"/>
      <c r="CA25" s="384"/>
      <c r="CB25" s="384"/>
      <c r="CC25" s="384"/>
    </row>
    <row r="26" spans="1:81" s="68" customFormat="1">
      <c r="A26" s="1532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49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  <c r="AE26" s="384"/>
      <c r="AF26" s="384"/>
      <c r="AG26" s="384"/>
      <c r="AH26" s="384"/>
      <c r="AI26" s="384"/>
      <c r="AJ26" s="384"/>
      <c r="AK26" s="384"/>
      <c r="AL26" s="384"/>
      <c r="AM26" s="384"/>
      <c r="AN26" s="384"/>
      <c r="AO26" s="384"/>
      <c r="AP26" s="384"/>
      <c r="AQ26" s="384"/>
      <c r="AR26" s="384"/>
      <c r="AS26" s="384"/>
      <c r="AT26" s="384"/>
      <c r="AU26" s="384"/>
      <c r="AV26" s="384"/>
      <c r="AW26" s="384"/>
      <c r="AX26" s="384"/>
      <c r="AY26" s="384"/>
      <c r="AZ26" s="384"/>
      <c r="BA26" s="384"/>
      <c r="BB26" s="384"/>
      <c r="BC26" s="384"/>
      <c r="BD26" s="384"/>
      <c r="BE26" s="384"/>
      <c r="BF26" s="384"/>
      <c r="BG26" s="384"/>
      <c r="BH26" s="384"/>
      <c r="BI26" s="384"/>
      <c r="BJ26" s="384"/>
      <c r="BK26" s="384"/>
      <c r="BL26" s="384"/>
      <c r="BM26" s="384"/>
      <c r="BN26" s="384"/>
      <c r="BO26" s="384"/>
      <c r="BP26" s="384"/>
      <c r="BQ26" s="384"/>
      <c r="BR26" s="384"/>
      <c r="BS26" s="384"/>
      <c r="BT26" s="384"/>
      <c r="BU26" s="384"/>
      <c r="BV26" s="384"/>
      <c r="BW26" s="384"/>
      <c r="BX26" s="384"/>
      <c r="BY26" s="384"/>
      <c r="BZ26" s="384"/>
      <c r="CA26" s="384"/>
      <c r="CB26" s="384"/>
      <c r="CC26" s="384"/>
    </row>
    <row r="27" spans="1:81" s="68" customFormat="1">
      <c r="A27" s="1532"/>
      <c r="B27" s="798"/>
      <c r="C27" s="124"/>
      <c r="D27" s="131"/>
      <c r="E27" s="132"/>
      <c r="F27" s="124"/>
      <c r="G27" s="139"/>
      <c r="H27" s="139"/>
      <c r="I27" s="139"/>
      <c r="J27" s="139"/>
      <c r="K27" s="133"/>
      <c r="L27" s="139"/>
      <c r="M27" s="139"/>
      <c r="N27" s="133"/>
      <c r="O27" s="139"/>
      <c r="P27" s="139"/>
      <c r="Q27" s="149"/>
      <c r="R27" s="139"/>
      <c r="S27" s="139"/>
      <c r="T27" s="139"/>
      <c r="U27" s="131"/>
      <c r="V27" s="132"/>
      <c r="W27" s="124"/>
      <c r="X27" s="139"/>
      <c r="Y27" s="133"/>
      <c r="Z27" s="139"/>
      <c r="AA27" s="139"/>
      <c r="AB27" s="139"/>
      <c r="AE27" s="384"/>
      <c r="AF27" s="384"/>
      <c r="AG27" s="384"/>
      <c r="AH27" s="384"/>
      <c r="AI27" s="384"/>
      <c r="AJ27" s="384"/>
      <c r="AK27" s="384"/>
      <c r="AL27" s="384"/>
      <c r="AM27" s="384"/>
      <c r="AN27" s="384"/>
      <c r="AO27" s="384"/>
      <c r="AP27" s="384"/>
      <c r="AQ27" s="384"/>
      <c r="AR27" s="384"/>
      <c r="AS27" s="384"/>
      <c r="AT27" s="384"/>
      <c r="AU27" s="384"/>
      <c r="AV27" s="384"/>
      <c r="AW27" s="384"/>
      <c r="AX27" s="384"/>
      <c r="AY27" s="384"/>
      <c r="AZ27" s="384"/>
      <c r="BA27" s="384"/>
      <c r="BB27" s="384"/>
      <c r="BC27" s="384"/>
      <c r="BD27" s="384"/>
      <c r="BE27" s="384"/>
      <c r="BF27" s="384"/>
      <c r="BG27" s="384"/>
      <c r="BH27" s="384"/>
      <c r="BI27" s="384"/>
      <c r="BJ27" s="384"/>
      <c r="BK27" s="384"/>
      <c r="BL27" s="384"/>
      <c r="BM27" s="384"/>
      <c r="BN27" s="384"/>
      <c r="BO27" s="384"/>
      <c r="BP27" s="384"/>
      <c r="BQ27" s="384"/>
      <c r="BR27" s="384"/>
      <c r="BS27" s="384"/>
      <c r="BT27" s="384"/>
      <c r="BU27" s="384"/>
      <c r="BV27" s="384"/>
      <c r="BW27" s="384"/>
      <c r="BX27" s="384"/>
      <c r="BY27" s="384"/>
      <c r="BZ27" s="384"/>
      <c r="CA27" s="384"/>
      <c r="CB27" s="384"/>
      <c r="CC27" s="384"/>
    </row>
    <row r="28" spans="1:81" s="68" customFormat="1">
      <c r="A28" s="1530"/>
      <c r="B28" s="1645"/>
      <c r="C28" s="124"/>
      <c r="D28" s="131"/>
      <c r="E28" s="1531"/>
      <c r="F28" s="124"/>
      <c r="G28" s="139"/>
      <c r="H28" s="139"/>
      <c r="I28" s="139"/>
      <c r="J28" s="139"/>
      <c r="K28" s="133"/>
      <c r="L28" s="1533"/>
      <c r="M28" s="139"/>
      <c r="N28" s="133"/>
      <c r="O28" s="139"/>
      <c r="P28" s="153"/>
      <c r="Q28" s="149"/>
      <c r="R28" s="153"/>
      <c r="S28" s="139"/>
      <c r="T28" s="139"/>
      <c r="U28" s="131"/>
      <c r="V28" s="1531"/>
      <c r="W28" s="124"/>
      <c r="X28" s="1533"/>
      <c r="Y28" s="133"/>
      <c r="Z28" s="153"/>
      <c r="AA28" s="153"/>
      <c r="AB28" s="139"/>
      <c r="AE28" s="384"/>
      <c r="AF28" s="384"/>
      <c r="AG28" s="384"/>
      <c r="AH28" s="384"/>
      <c r="AI28" s="384"/>
      <c r="AJ28" s="384"/>
      <c r="AK28" s="384"/>
      <c r="AL28" s="384"/>
      <c r="AM28" s="384"/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X28" s="384"/>
      <c r="AY28" s="384"/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  <c r="BJ28" s="384"/>
      <c r="BK28" s="384"/>
      <c r="BL28" s="384"/>
      <c r="BM28" s="384"/>
      <c r="BN28" s="384"/>
      <c r="BO28" s="384"/>
      <c r="BP28" s="384"/>
      <c r="BQ28" s="384"/>
      <c r="BR28" s="384"/>
      <c r="BS28" s="384"/>
      <c r="BT28" s="384"/>
      <c r="BU28" s="384"/>
      <c r="BV28" s="384"/>
      <c r="BW28" s="384"/>
      <c r="BX28" s="384"/>
      <c r="BY28" s="384"/>
      <c r="BZ28" s="384"/>
      <c r="CA28" s="384"/>
      <c r="CB28" s="384"/>
      <c r="CC28" s="384"/>
    </row>
    <row r="29" spans="1:81" s="68" customFormat="1">
      <c r="A29" s="1530"/>
      <c r="B29" s="142"/>
      <c r="C29" s="124"/>
      <c r="D29" s="131"/>
      <c r="E29" s="132"/>
      <c r="F29" s="124"/>
      <c r="G29" s="139"/>
      <c r="H29" s="139"/>
      <c r="I29" s="139"/>
      <c r="J29" s="139"/>
      <c r="K29" s="133"/>
      <c r="L29" s="139"/>
      <c r="M29" s="139"/>
      <c r="N29" s="133"/>
      <c r="O29" s="139"/>
      <c r="P29" s="139"/>
      <c r="Q29" s="155"/>
      <c r="R29" s="139"/>
      <c r="S29" s="139"/>
      <c r="T29" s="139"/>
      <c r="U29" s="131"/>
      <c r="V29" s="132"/>
      <c r="W29" s="124"/>
      <c r="X29" s="139"/>
      <c r="Y29" s="133"/>
      <c r="Z29" s="139"/>
      <c r="AA29" s="139"/>
      <c r="AB29" s="139"/>
      <c r="AE29" s="384"/>
      <c r="AF29" s="384"/>
      <c r="AG29" s="384"/>
      <c r="AH29" s="384"/>
      <c r="AI29" s="384"/>
      <c r="AJ29" s="384"/>
      <c r="AK29" s="384"/>
      <c r="AL29" s="384"/>
      <c r="AM29" s="384"/>
      <c r="AN29" s="384"/>
      <c r="AO29" s="384"/>
      <c r="AP29" s="384"/>
      <c r="AQ29" s="384"/>
      <c r="AR29" s="384"/>
      <c r="AS29" s="384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4"/>
      <c r="BV29" s="384"/>
      <c r="BW29" s="384"/>
      <c r="BX29" s="384"/>
      <c r="BY29" s="384"/>
      <c r="BZ29" s="384"/>
      <c r="CA29" s="384"/>
      <c r="CB29" s="384"/>
      <c r="CC29" s="384"/>
    </row>
    <row r="30" spans="1:81" s="68" customFormat="1">
      <c r="A30" s="1534"/>
      <c r="B30" s="142"/>
      <c r="C30" s="124"/>
      <c r="D30" s="131" t="s">
        <v>87</v>
      </c>
      <c r="E30" s="132"/>
      <c r="F30" s="124"/>
      <c r="G30" s="139"/>
      <c r="H30" s="139"/>
      <c r="I30" s="139"/>
      <c r="J30" s="139"/>
      <c r="K30" s="133"/>
      <c r="L30" s="139"/>
      <c r="M30" s="139"/>
      <c r="N30" s="133"/>
      <c r="O30" s="139"/>
      <c r="P30" s="153"/>
      <c r="Q30" s="156"/>
      <c r="R30" s="153"/>
      <c r="S30" s="139"/>
      <c r="T30" s="139"/>
      <c r="U30" s="131"/>
      <c r="V30" s="1531"/>
      <c r="W30" s="124"/>
      <c r="X30" s="139"/>
      <c r="Y30" s="133"/>
      <c r="Z30" s="153"/>
      <c r="AA30" s="153"/>
      <c r="AB30" s="139"/>
      <c r="AE30" s="384"/>
      <c r="AF30" s="384"/>
      <c r="AG30" s="384"/>
      <c r="AH30" s="384"/>
      <c r="AI30" s="384"/>
      <c r="AJ30" s="384"/>
      <c r="AK30" s="384"/>
      <c r="AL30" s="384"/>
      <c r="AM30" s="384"/>
      <c r="AN30" s="384"/>
      <c r="AO30" s="384"/>
      <c r="AP30" s="384"/>
      <c r="AQ30" s="384"/>
      <c r="AR30" s="384"/>
      <c r="AS30" s="384"/>
      <c r="AT30" s="384"/>
      <c r="AU30" s="384"/>
      <c r="AV30" s="384"/>
      <c r="AW30" s="384"/>
      <c r="AX30" s="384"/>
      <c r="AY30" s="384"/>
      <c r="AZ30" s="384"/>
      <c r="BA30" s="384"/>
      <c r="BB30" s="384"/>
      <c r="BC30" s="384"/>
      <c r="BD30" s="384"/>
      <c r="BE30" s="384"/>
      <c r="BF30" s="384"/>
      <c r="BG30" s="384"/>
      <c r="BH30" s="384"/>
      <c r="BI30" s="384"/>
      <c r="BJ30" s="384"/>
      <c r="BK30" s="384"/>
      <c r="BL30" s="384"/>
      <c r="BM30" s="384"/>
      <c r="BN30" s="384"/>
      <c r="BO30" s="384"/>
      <c r="BP30" s="384"/>
      <c r="BQ30" s="384"/>
      <c r="BR30" s="384"/>
      <c r="BS30" s="384"/>
      <c r="BT30" s="384"/>
      <c r="BU30" s="384"/>
      <c r="BV30" s="384"/>
      <c r="BW30" s="384"/>
      <c r="BX30" s="384"/>
      <c r="BY30" s="384"/>
      <c r="BZ30" s="384"/>
      <c r="CA30" s="384"/>
      <c r="CB30" s="384"/>
      <c r="CC30" s="384"/>
    </row>
    <row r="31" spans="1:81" s="68" customFormat="1">
      <c r="A31" s="157"/>
      <c r="B31" s="152"/>
      <c r="C31" s="124"/>
      <c r="D31" s="131"/>
      <c r="E31" s="1531"/>
      <c r="F31" s="124"/>
      <c r="G31" s="139"/>
      <c r="H31" s="139"/>
      <c r="I31" s="139"/>
      <c r="J31" s="139"/>
      <c r="K31" s="133">
        <f>0.5*W31</f>
        <v>0</v>
      </c>
      <c r="L31" s="139"/>
      <c r="M31" s="139"/>
      <c r="N31" s="133"/>
      <c r="O31" s="139"/>
      <c r="P31" s="139"/>
      <c r="Q31" s="156"/>
      <c r="R31" s="139"/>
      <c r="S31" s="139"/>
      <c r="T31" s="139"/>
      <c r="U31" s="144"/>
      <c r="V31" s="1531"/>
      <c r="W31" s="124">
        <f t="shared" ref="W31:W36" si="2">U31*V31</f>
        <v>0</v>
      </c>
      <c r="X31" s="139"/>
      <c r="Y31" s="133"/>
      <c r="Z31" s="139"/>
      <c r="AA31" s="139"/>
      <c r="AB31" s="139">
        <v>0</v>
      </c>
      <c r="AE31" s="384"/>
      <c r="AF31" s="384"/>
      <c r="AG31" s="384"/>
      <c r="AH31" s="384"/>
      <c r="AI31" s="384"/>
      <c r="AJ31" s="384"/>
      <c r="AK31" s="384"/>
      <c r="AL31" s="384"/>
      <c r="AM31" s="384"/>
      <c r="AN31" s="384"/>
      <c r="AO31" s="384"/>
      <c r="AP31" s="384"/>
      <c r="AQ31" s="384"/>
      <c r="AR31" s="384"/>
      <c r="AS31" s="384"/>
      <c r="AT31" s="384"/>
      <c r="AU31" s="384"/>
      <c r="AV31" s="384"/>
      <c r="AW31" s="384"/>
      <c r="AX31" s="384"/>
      <c r="AY31" s="384"/>
      <c r="AZ31" s="384"/>
      <c r="BA31" s="384"/>
      <c r="BB31" s="384"/>
      <c r="BC31" s="384"/>
      <c r="BD31" s="384"/>
      <c r="BE31" s="384"/>
      <c r="BF31" s="384"/>
      <c r="BG31" s="384"/>
      <c r="BH31" s="384"/>
      <c r="BI31" s="384"/>
      <c r="BJ31" s="384"/>
      <c r="BK31" s="384"/>
      <c r="BL31" s="384"/>
      <c r="BM31" s="384"/>
      <c r="BN31" s="384"/>
      <c r="BO31" s="384"/>
      <c r="BP31" s="384"/>
      <c r="BQ31" s="384"/>
      <c r="BR31" s="384"/>
      <c r="BS31" s="384"/>
      <c r="BT31" s="384"/>
      <c r="BU31" s="384"/>
      <c r="BV31" s="384"/>
      <c r="BW31" s="384"/>
      <c r="BX31" s="384"/>
      <c r="BY31" s="384"/>
      <c r="BZ31" s="384"/>
      <c r="CA31" s="384"/>
      <c r="CB31" s="384"/>
      <c r="CC31" s="384"/>
    </row>
    <row r="32" spans="1:81" s="68" customFormat="1">
      <c r="A32" s="146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3">
        <f>0.5*W32</f>
        <v>0</v>
      </c>
      <c r="L32" s="139"/>
      <c r="M32" s="134"/>
      <c r="N32" s="133"/>
      <c r="O32" s="134"/>
      <c r="P32" s="153"/>
      <c r="Q32" s="156"/>
      <c r="R32" s="153"/>
      <c r="S32" s="139"/>
      <c r="T32" s="138"/>
      <c r="U32" s="144"/>
      <c r="V32" s="1531"/>
      <c r="W32" s="124">
        <f t="shared" si="2"/>
        <v>0</v>
      </c>
      <c r="X32" s="139"/>
      <c r="Y32" s="133"/>
      <c r="Z32" s="153"/>
      <c r="AA32" s="153"/>
      <c r="AB32" s="138"/>
      <c r="AE32" s="384"/>
      <c r="AF32" s="384"/>
      <c r="AG32" s="384"/>
      <c r="AH32" s="384"/>
      <c r="AI32" s="384"/>
      <c r="AJ32" s="384"/>
      <c r="AK32" s="384"/>
      <c r="AL32" s="384"/>
      <c r="AM32" s="384"/>
      <c r="AN32" s="384"/>
      <c r="AO32" s="384"/>
      <c r="AP32" s="384"/>
      <c r="AQ32" s="384"/>
      <c r="AR32" s="384"/>
      <c r="AS32" s="384"/>
      <c r="AT32" s="384"/>
      <c r="AU32" s="384"/>
      <c r="AV32" s="384"/>
      <c r="AW32" s="384"/>
      <c r="AX32" s="384"/>
      <c r="AY32" s="384"/>
      <c r="AZ32" s="384"/>
      <c r="BA32" s="384"/>
      <c r="BB32" s="384"/>
      <c r="BC32" s="384"/>
      <c r="BD32" s="384"/>
      <c r="BE32" s="384"/>
      <c r="BF32" s="384"/>
      <c r="BG32" s="384"/>
      <c r="BH32" s="384"/>
      <c r="BI32" s="384"/>
      <c r="BJ32" s="384"/>
      <c r="BK32" s="384"/>
      <c r="BL32" s="384"/>
      <c r="BM32" s="384"/>
      <c r="BN32" s="384"/>
      <c r="BO32" s="384"/>
      <c r="BP32" s="384"/>
      <c r="BQ32" s="384"/>
      <c r="BR32" s="384"/>
      <c r="BS32" s="384"/>
      <c r="BT32" s="384"/>
      <c r="BU32" s="384"/>
      <c r="BV32" s="384"/>
      <c r="BW32" s="384"/>
      <c r="BX32" s="384"/>
      <c r="BY32" s="384"/>
      <c r="BZ32" s="384"/>
      <c r="CA32" s="384"/>
      <c r="CB32" s="384"/>
      <c r="CC32" s="384"/>
    </row>
    <row r="33" spans="1:81" s="68" customFormat="1">
      <c r="A33" s="157"/>
      <c r="B33" s="152"/>
      <c r="C33" s="124">
        <f>D33*E33</f>
        <v>0</v>
      </c>
      <c r="D33" s="131"/>
      <c r="E33" s="1531"/>
      <c r="F33" s="124">
        <f>D33*E33</f>
        <v>0</v>
      </c>
      <c r="G33" s="134"/>
      <c r="H33" s="134"/>
      <c r="I33" s="135"/>
      <c r="J33" s="134"/>
      <c r="K33" s="133">
        <f>0.5*W33</f>
        <v>0</v>
      </c>
      <c r="L33" s="139"/>
      <c r="M33" s="134"/>
      <c r="N33" s="133"/>
      <c r="O33" s="134"/>
      <c r="P33" s="134"/>
      <c r="Q33" s="156"/>
      <c r="R33" s="139"/>
      <c r="S33" s="139"/>
      <c r="T33" s="138"/>
      <c r="U33" s="144"/>
      <c r="V33" s="1531"/>
      <c r="W33" s="124">
        <f t="shared" si="2"/>
        <v>0</v>
      </c>
      <c r="X33" s="139"/>
      <c r="Y33" s="133"/>
      <c r="Z33" s="134"/>
      <c r="AA33" s="139"/>
      <c r="AB33" s="138"/>
      <c r="AE33" s="384"/>
      <c r="AF33" s="384"/>
      <c r="AG33" s="384"/>
      <c r="AH33" s="384"/>
      <c r="AI33" s="384"/>
      <c r="AJ33" s="384"/>
      <c r="AK33" s="384"/>
      <c r="AL33" s="384"/>
      <c r="AM33" s="384"/>
      <c r="AN33" s="384"/>
      <c r="AO33" s="384"/>
      <c r="AP33" s="384"/>
      <c r="AQ33" s="384"/>
      <c r="AR33" s="384"/>
      <c r="AS33" s="384"/>
      <c r="AT33" s="384"/>
      <c r="AU33" s="384"/>
      <c r="AV33" s="384"/>
      <c r="AW33" s="384"/>
      <c r="AX33" s="384"/>
      <c r="AY33" s="384"/>
      <c r="AZ33" s="384"/>
      <c r="BA33" s="384"/>
      <c r="BB33" s="384"/>
      <c r="BC33" s="384"/>
      <c r="BD33" s="384"/>
      <c r="BE33" s="384"/>
      <c r="BF33" s="384"/>
      <c r="BG33" s="384"/>
      <c r="BH33" s="384"/>
      <c r="BI33" s="384"/>
      <c r="BJ33" s="384"/>
      <c r="BK33" s="384"/>
      <c r="BL33" s="384"/>
      <c r="BM33" s="384"/>
      <c r="BN33" s="384"/>
      <c r="BO33" s="384"/>
      <c r="BP33" s="384"/>
      <c r="BQ33" s="384"/>
      <c r="BR33" s="384"/>
      <c r="BS33" s="384"/>
      <c r="BT33" s="384"/>
      <c r="BU33" s="384"/>
      <c r="BV33" s="384"/>
      <c r="BW33" s="384"/>
      <c r="BX33" s="384"/>
      <c r="BY33" s="384"/>
      <c r="BZ33" s="384"/>
      <c r="CA33" s="384"/>
      <c r="CB33" s="384"/>
      <c r="CC33" s="384"/>
    </row>
    <row r="34" spans="1:81" s="68" customFormat="1" ht="9.9499999999999993" customHeight="1">
      <c r="A34" s="157"/>
      <c r="B34" s="152"/>
      <c r="C34" s="124">
        <f>D34*E34</f>
        <v>0</v>
      </c>
      <c r="D34" s="131"/>
      <c r="E34" s="1531"/>
      <c r="F34" s="124">
        <f>D34*E34</f>
        <v>0</v>
      </c>
      <c r="G34" s="134"/>
      <c r="H34" s="134"/>
      <c r="I34" s="135"/>
      <c r="J34" s="134"/>
      <c r="K34" s="133">
        <f>0.5*W34</f>
        <v>0</v>
      </c>
      <c r="L34" s="139"/>
      <c r="M34" s="134"/>
      <c r="N34" s="133"/>
      <c r="O34" s="134"/>
      <c r="P34" s="134"/>
      <c r="Q34" s="156"/>
      <c r="R34" s="139"/>
      <c r="S34" s="139"/>
      <c r="T34" s="138"/>
      <c r="U34" s="144"/>
      <c r="V34" s="1531"/>
      <c r="W34" s="124">
        <f t="shared" si="2"/>
        <v>0</v>
      </c>
      <c r="X34" s="139"/>
      <c r="Y34" s="133"/>
      <c r="Z34" s="134"/>
      <c r="AA34" s="139"/>
      <c r="AB34" s="138"/>
      <c r="AE34" s="384"/>
      <c r="AF34" s="384"/>
      <c r="AG34" s="384"/>
      <c r="AH34" s="384"/>
      <c r="AI34" s="384"/>
      <c r="AJ34" s="384"/>
      <c r="AK34" s="384"/>
      <c r="AL34" s="384"/>
      <c r="AM34" s="384"/>
      <c r="AN34" s="384"/>
      <c r="AO34" s="384"/>
      <c r="AP34" s="384"/>
      <c r="AQ34" s="384"/>
      <c r="AR34" s="384"/>
      <c r="AS34" s="384"/>
      <c r="AT34" s="384"/>
      <c r="AU34" s="384"/>
      <c r="AV34" s="384"/>
      <c r="AW34" s="384"/>
      <c r="AX34" s="384"/>
      <c r="AY34" s="384"/>
      <c r="AZ34" s="384"/>
      <c r="BA34" s="384"/>
      <c r="BB34" s="384"/>
      <c r="BC34" s="384"/>
      <c r="BD34" s="384"/>
      <c r="BE34" s="384"/>
      <c r="BF34" s="384"/>
      <c r="BG34" s="384"/>
      <c r="BH34" s="384"/>
      <c r="BI34" s="384"/>
      <c r="BJ34" s="384"/>
      <c r="BK34" s="384"/>
      <c r="BL34" s="384"/>
      <c r="BM34" s="384"/>
      <c r="BN34" s="384"/>
      <c r="BO34" s="384"/>
      <c r="BP34" s="384"/>
      <c r="BQ34" s="384"/>
      <c r="BR34" s="384"/>
      <c r="BS34" s="384"/>
      <c r="BT34" s="384"/>
      <c r="BU34" s="384"/>
      <c r="BV34" s="384"/>
      <c r="BW34" s="384"/>
      <c r="BX34" s="384"/>
      <c r="BY34" s="384"/>
      <c r="BZ34" s="384"/>
      <c r="CA34" s="384"/>
      <c r="CB34" s="384"/>
      <c r="CC34" s="384"/>
    </row>
    <row r="35" spans="1:81" s="68" customFormat="1">
      <c r="A35" s="1530"/>
      <c r="B35" s="152"/>
      <c r="C35" s="124">
        <f>D35*E35</f>
        <v>0</v>
      </c>
      <c r="D35" s="131"/>
      <c r="E35" s="1531"/>
      <c r="F35" s="124">
        <f>D35*E35</f>
        <v>0</v>
      </c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>
        <f t="shared" si="2"/>
        <v>0</v>
      </c>
      <c r="X35" s="139"/>
      <c r="Y35" s="134"/>
      <c r="Z35" s="134"/>
      <c r="AA35" s="139"/>
      <c r="AB35" s="138"/>
      <c r="AE35" s="384"/>
      <c r="AF35" s="384"/>
      <c r="AG35" s="384"/>
      <c r="AH35" s="384"/>
      <c r="AI35" s="384"/>
      <c r="AJ35" s="384"/>
      <c r="AK35" s="384"/>
      <c r="AL35" s="384"/>
      <c r="AM35" s="384"/>
      <c r="AN35" s="384"/>
      <c r="AO35" s="384"/>
      <c r="AP35" s="384"/>
      <c r="AQ35" s="384"/>
      <c r="AR35" s="384"/>
      <c r="AS35" s="384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84"/>
      <c r="BV35" s="384"/>
      <c r="BW35" s="384"/>
      <c r="BX35" s="384"/>
      <c r="BY35" s="384"/>
      <c r="BZ35" s="384"/>
      <c r="CA35" s="384"/>
      <c r="CB35" s="384"/>
      <c r="CC35" s="384"/>
    </row>
    <row r="36" spans="1:81" s="68" customFormat="1">
      <c r="A36" s="157"/>
      <c r="B36" s="152"/>
      <c r="C36" s="124">
        <f>D36*E36</f>
        <v>0</v>
      </c>
      <c r="D36" s="131"/>
      <c r="E36" s="1531"/>
      <c r="F36" s="124">
        <f>D36*E36</f>
        <v>0</v>
      </c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>
        <f t="shared" si="2"/>
        <v>0</v>
      </c>
      <c r="X36" s="139"/>
      <c r="Y36" s="134"/>
      <c r="Z36" s="134"/>
      <c r="AA36" s="139"/>
      <c r="AB36" s="138"/>
      <c r="AE36" s="384"/>
      <c r="AF36" s="384"/>
      <c r="AG36" s="384"/>
      <c r="AH36" s="384"/>
      <c r="AI36" s="384"/>
      <c r="AJ36" s="384"/>
      <c r="AK36" s="384"/>
      <c r="AL36" s="384"/>
      <c r="AM36" s="384"/>
      <c r="AN36" s="384"/>
      <c r="AO36" s="384"/>
      <c r="AP36" s="384"/>
      <c r="AQ36" s="384"/>
      <c r="AR36" s="384"/>
      <c r="AS36" s="384"/>
      <c r="AT36" s="384"/>
      <c r="AU36" s="384"/>
      <c r="AV36" s="384"/>
      <c r="AW36" s="384"/>
      <c r="AX36" s="384"/>
      <c r="AY36" s="384"/>
      <c r="AZ36" s="384"/>
      <c r="BA36" s="384"/>
      <c r="BB36" s="384"/>
      <c r="BC36" s="384"/>
      <c r="BD36" s="384"/>
      <c r="BE36" s="384"/>
      <c r="BF36" s="384"/>
      <c r="BG36" s="384"/>
      <c r="BH36" s="384"/>
      <c r="BI36" s="384"/>
      <c r="BJ36" s="384"/>
      <c r="BK36" s="384"/>
      <c r="BL36" s="384"/>
      <c r="BM36" s="384"/>
      <c r="BN36" s="384"/>
      <c r="BO36" s="384"/>
      <c r="BP36" s="384"/>
      <c r="BQ36" s="384"/>
      <c r="BR36" s="384"/>
      <c r="BS36" s="384"/>
      <c r="BT36" s="384"/>
      <c r="BU36" s="384"/>
      <c r="BV36" s="384"/>
      <c r="BW36" s="384"/>
      <c r="BX36" s="384"/>
      <c r="BY36" s="384"/>
      <c r="BZ36" s="384"/>
      <c r="CA36" s="384"/>
      <c r="CB36" s="384"/>
      <c r="CC36" s="384"/>
    </row>
    <row r="37" spans="1:81" s="68" customFormat="1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  <c r="AE37" s="384"/>
      <c r="AF37" s="384"/>
      <c r="AG37" s="384"/>
      <c r="AH37" s="384"/>
      <c r="AI37" s="384"/>
      <c r="AJ37" s="384"/>
      <c r="AK37" s="384"/>
      <c r="AL37" s="384"/>
      <c r="AM37" s="384"/>
      <c r="AN37" s="384"/>
      <c r="AO37" s="384"/>
      <c r="AP37" s="384"/>
      <c r="AQ37" s="384"/>
      <c r="AR37" s="384"/>
      <c r="AS37" s="384"/>
      <c r="AT37" s="384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84"/>
      <c r="BV37" s="384"/>
      <c r="BW37" s="384"/>
      <c r="BX37" s="384"/>
      <c r="BY37" s="384"/>
      <c r="BZ37" s="384"/>
      <c r="CA37" s="384"/>
      <c r="CB37" s="384"/>
      <c r="CC37" s="384"/>
    </row>
    <row r="38" spans="1:81" s="68" customFormat="1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4"/>
      <c r="AP38" s="384"/>
      <c r="AQ38" s="384"/>
      <c r="AR38" s="384"/>
      <c r="AS38" s="384"/>
      <c r="AT38" s="384"/>
      <c r="AU38" s="384"/>
      <c r="AV38" s="384"/>
      <c r="AW38" s="384"/>
      <c r="AX38" s="384"/>
      <c r="AY38" s="384"/>
      <c r="AZ38" s="384"/>
      <c r="BA38" s="384"/>
      <c r="BB38" s="384"/>
      <c r="BC38" s="384"/>
      <c r="BD38" s="384"/>
      <c r="BE38" s="384"/>
      <c r="BF38" s="384"/>
      <c r="BG38" s="384"/>
      <c r="BH38" s="384"/>
      <c r="BI38" s="384"/>
      <c r="BJ38" s="384"/>
      <c r="BK38" s="384"/>
      <c r="BL38" s="384"/>
      <c r="BM38" s="384"/>
      <c r="BN38" s="384"/>
      <c r="BO38" s="384"/>
      <c r="BP38" s="384"/>
      <c r="BQ38" s="384"/>
      <c r="BR38" s="384"/>
      <c r="BS38" s="384"/>
      <c r="BT38" s="384"/>
      <c r="BU38" s="384"/>
      <c r="BV38" s="384"/>
      <c r="BW38" s="384"/>
      <c r="BX38" s="384"/>
      <c r="BY38" s="384"/>
      <c r="BZ38" s="384"/>
      <c r="CA38" s="384"/>
      <c r="CB38" s="384"/>
      <c r="CC38" s="384"/>
    </row>
    <row r="39" spans="1:81" s="68" customFormat="1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4"/>
      <c r="AP39" s="384"/>
      <c r="AQ39" s="384"/>
      <c r="AR39" s="384"/>
      <c r="AS39" s="384"/>
      <c r="AT39" s="384"/>
      <c r="AU39" s="384"/>
      <c r="AV39" s="384"/>
      <c r="AW39" s="384"/>
      <c r="AX39" s="384"/>
      <c r="AY39" s="384"/>
      <c r="AZ39" s="384"/>
      <c r="BA39" s="384"/>
      <c r="BB39" s="384"/>
      <c r="BC39" s="384"/>
      <c r="BD39" s="384"/>
      <c r="BE39" s="384"/>
      <c r="BF39" s="384"/>
      <c r="BG39" s="384"/>
      <c r="BH39" s="384"/>
      <c r="BI39" s="384"/>
      <c r="BJ39" s="384"/>
      <c r="BK39" s="384"/>
      <c r="BL39" s="384"/>
      <c r="BM39" s="384"/>
      <c r="BN39" s="384"/>
      <c r="BO39" s="384"/>
      <c r="BP39" s="384"/>
      <c r="BQ39" s="384"/>
      <c r="BR39" s="384"/>
      <c r="BS39" s="384"/>
      <c r="BT39" s="384"/>
      <c r="BU39" s="384"/>
      <c r="BV39" s="384"/>
      <c r="BW39" s="384"/>
      <c r="BX39" s="384"/>
      <c r="BY39" s="384"/>
      <c r="BZ39" s="384"/>
      <c r="CA39" s="384"/>
      <c r="CB39" s="384"/>
      <c r="CC39" s="384"/>
    </row>
    <row r="40" spans="1:81" s="68" customFormat="1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4"/>
      <c r="AP40" s="384"/>
      <c r="AQ40" s="384"/>
      <c r="AR40" s="384"/>
      <c r="AS40" s="384"/>
      <c r="AT40" s="384"/>
      <c r="AU40" s="384"/>
      <c r="AV40" s="384"/>
      <c r="AW40" s="384"/>
      <c r="AX40" s="384"/>
      <c r="AY40" s="384"/>
      <c r="AZ40" s="384"/>
      <c r="BA40" s="384"/>
      <c r="BB40" s="384"/>
      <c r="BC40" s="384"/>
      <c r="BD40" s="384"/>
      <c r="BE40" s="384"/>
      <c r="BF40" s="384"/>
      <c r="BG40" s="384"/>
      <c r="BH40" s="384"/>
      <c r="BI40" s="384"/>
      <c r="BJ40" s="384"/>
      <c r="BK40" s="384"/>
      <c r="BL40" s="384"/>
      <c r="BM40" s="384"/>
      <c r="BN40" s="384"/>
      <c r="BO40" s="384"/>
      <c r="BP40" s="384"/>
      <c r="BQ40" s="384"/>
      <c r="BR40" s="384"/>
      <c r="BS40" s="384"/>
      <c r="BT40" s="384"/>
      <c r="BU40" s="384"/>
      <c r="BV40" s="384"/>
      <c r="BW40" s="384"/>
      <c r="BX40" s="384"/>
      <c r="BY40" s="384"/>
      <c r="BZ40" s="384"/>
      <c r="CA40" s="384"/>
      <c r="CB40" s="384"/>
      <c r="CC40" s="384"/>
    </row>
    <row r="41" spans="1:81" s="68" customFormat="1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  <c r="AE41" s="384"/>
      <c r="AF41" s="384"/>
      <c r="AG41" s="384"/>
      <c r="AH41" s="384"/>
      <c r="AI41" s="384"/>
      <c r="AJ41" s="384"/>
      <c r="AK41" s="384"/>
      <c r="AL41" s="384"/>
      <c r="AM41" s="384"/>
      <c r="AN41" s="384"/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4"/>
      <c r="BV41" s="384"/>
      <c r="BW41" s="384"/>
      <c r="BX41" s="384"/>
      <c r="BY41" s="384"/>
      <c r="BZ41" s="384"/>
      <c r="CA41" s="384"/>
      <c r="CB41" s="384"/>
      <c r="CC41" s="384"/>
    </row>
    <row r="42" spans="1:81" s="68" customFormat="1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  <c r="AE42" s="384"/>
      <c r="AF42" s="384"/>
      <c r="AG42" s="384"/>
      <c r="AH42" s="384"/>
      <c r="AI42" s="384"/>
      <c r="AJ42" s="384"/>
      <c r="AK42" s="384"/>
      <c r="AL42" s="384"/>
      <c r="AM42" s="384"/>
      <c r="AN42" s="384"/>
      <c r="AO42" s="384"/>
      <c r="AP42" s="384"/>
      <c r="AQ42" s="384"/>
      <c r="AR42" s="384"/>
      <c r="AS42" s="384"/>
      <c r="AT42" s="384"/>
      <c r="AU42" s="384"/>
      <c r="AV42" s="384"/>
      <c r="AW42" s="384"/>
      <c r="AX42" s="384"/>
      <c r="AY42" s="384"/>
      <c r="AZ42" s="384"/>
      <c r="BA42" s="384"/>
      <c r="BB42" s="384"/>
      <c r="BC42" s="384"/>
      <c r="BD42" s="384"/>
      <c r="BE42" s="384"/>
      <c r="BF42" s="384"/>
      <c r="BG42" s="384"/>
      <c r="BH42" s="384"/>
      <c r="BI42" s="384"/>
      <c r="BJ42" s="384"/>
      <c r="BK42" s="384"/>
      <c r="BL42" s="384"/>
      <c r="BM42" s="384"/>
      <c r="BN42" s="384"/>
      <c r="BO42" s="384"/>
      <c r="BP42" s="384"/>
      <c r="BQ42" s="384"/>
      <c r="BR42" s="384"/>
      <c r="BS42" s="384"/>
      <c r="BT42" s="384"/>
      <c r="BU42" s="384"/>
      <c r="BV42" s="384"/>
      <c r="BW42" s="384"/>
      <c r="BX42" s="384"/>
      <c r="BY42" s="384"/>
      <c r="BZ42" s="384"/>
      <c r="CA42" s="384"/>
      <c r="CB42" s="384"/>
      <c r="CC42" s="384"/>
    </row>
    <row r="43" spans="1:81" s="68" customFormat="1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  <c r="AE43" s="384"/>
      <c r="AF43" s="384"/>
      <c r="AG43" s="384"/>
      <c r="AH43" s="384"/>
      <c r="AI43" s="384"/>
      <c r="AJ43" s="384"/>
      <c r="AK43" s="384"/>
      <c r="AL43" s="384"/>
      <c r="AM43" s="384"/>
      <c r="AN43" s="384"/>
      <c r="AO43" s="384"/>
      <c r="AP43" s="384"/>
      <c r="AQ43" s="384"/>
      <c r="AR43" s="384"/>
      <c r="AS43" s="384"/>
      <c r="AT43" s="384"/>
      <c r="AU43" s="384"/>
      <c r="AV43" s="384"/>
      <c r="AW43" s="384"/>
      <c r="AX43" s="384"/>
      <c r="AY43" s="384"/>
      <c r="AZ43" s="384"/>
      <c r="BA43" s="384"/>
      <c r="BB43" s="384"/>
      <c r="BC43" s="384"/>
      <c r="BD43" s="384"/>
      <c r="BE43" s="384"/>
      <c r="BF43" s="384"/>
      <c r="BG43" s="384"/>
      <c r="BH43" s="384"/>
      <c r="BI43" s="384"/>
      <c r="BJ43" s="384"/>
      <c r="BK43" s="384"/>
      <c r="BL43" s="384"/>
      <c r="BM43" s="384"/>
      <c r="BN43" s="384"/>
      <c r="BO43" s="384"/>
      <c r="BP43" s="384"/>
      <c r="BQ43" s="384"/>
      <c r="BR43" s="384"/>
      <c r="BS43" s="384"/>
      <c r="BT43" s="384"/>
      <c r="BU43" s="384"/>
      <c r="BV43" s="384"/>
      <c r="BW43" s="384"/>
      <c r="BX43" s="384"/>
      <c r="BY43" s="384"/>
      <c r="BZ43" s="384"/>
      <c r="CA43" s="384"/>
      <c r="CB43" s="384"/>
      <c r="CC43" s="384"/>
    </row>
    <row r="44" spans="1:81" s="68" customFormat="1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  <c r="AE44" s="384"/>
      <c r="AF44" s="384"/>
      <c r="AG44" s="384"/>
      <c r="AH44" s="384"/>
      <c r="AI44" s="384"/>
      <c r="AJ44" s="384"/>
      <c r="AK44" s="384"/>
      <c r="AL44" s="384"/>
      <c r="AM44" s="384"/>
      <c r="AN44" s="384"/>
      <c r="AO44" s="384"/>
      <c r="AP44" s="384"/>
      <c r="AQ44" s="384"/>
      <c r="AR44" s="384"/>
      <c r="AS44" s="384"/>
      <c r="AT44" s="384"/>
      <c r="AU44" s="384"/>
      <c r="AV44" s="384"/>
      <c r="AW44" s="384"/>
      <c r="AX44" s="384"/>
      <c r="AY44" s="384"/>
      <c r="AZ44" s="384"/>
      <c r="BA44" s="384"/>
      <c r="BB44" s="384"/>
      <c r="BC44" s="384"/>
      <c r="BD44" s="384"/>
      <c r="BE44" s="384"/>
      <c r="BF44" s="384"/>
      <c r="BG44" s="384"/>
      <c r="BH44" s="384"/>
      <c r="BI44" s="384"/>
      <c r="BJ44" s="384"/>
      <c r="BK44" s="384"/>
      <c r="BL44" s="384"/>
      <c r="BM44" s="384"/>
      <c r="BN44" s="384"/>
      <c r="BO44" s="384"/>
      <c r="BP44" s="384"/>
      <c r="BQ44" s="384"/>
      <c r="BR44" s="384"/>
      <c r="BS44" s="384"/>
      <c r="BT44" s="384"/>
      <c r="BU44" s="384"/>
      <c r="BV44" s="384"/>
      <c r="BW44" s="384"/>
      <c r="BX44" s="384"/>
      <c r="BY44" s="384"/>
      <c r="BZ44" s="384"/>
      <c r="CA44" s="384"/>
      <c r="CB44" s="384"/>
      <c r="CC44" s="384"/>
    </row>
    <row r="45" spans="1:81" s="68" customFormat="1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  <c r="AE45" s="384"/>
      <c r="AF45" s="384"/>
      <c r="AG45" s="384"/>
      <c r="AH45" s="384"/>
      <c r="AI45" s="384"/>
      <c r="AJ45" s="384"/>
      <c r="AK45" s="384"/>
      <c r="AL45" s="384"/>
      <c r="AM45" s="384"/>
      <c r="AN45" s="384"/>
      <c r="AO45" s="384"/>
      <c r="AP45" s="384"/>
      <c r="AQ45" s="384"/>
      <c r="AR45" s="384"/>
      <c r="AS45" s="384"/>
      <c r="AT45" s="384"/>
      <c r="AU45" s="384"/>
      <c r="AV45" s="384"/>
      <c r="AW45" s="384"/>
      <c r="AX45" s="384"/>
      <c r="AY45" s="384"/>
      <c r="AZ45" s="384"/>
      <c r="BA45" s="384"/>
      <c r="BB45" s="384"/>
      <c r="BC45" s="384"/>
      <c r="BD45" s="384"/>
      <c r="BE45" s="384"/>
      <c r="BF45" s="384"/>
      <c r="BG45" s="384"/>
      <c r="BH45" s="384"/>
      <c r="BI45" s="384"/>
      <c r="BJ45" s="384"/>
      <c r="BK45" s="384"/>
      <c r="BL45" s="384"/>
      <c r="BM45" s="384"/>
      <c r="BN45" s="384"/>
      <c r="BO45" s="384"/>
      <c r="BP45" s="384"/>
      <c r="BQ45" s="384"/>
      <c r="BR45" s="384"/>
      <c r="BS45" s="384"/>
      <c r="BT45" s="384"/>
      <c r="BU45" s="384"/>
      <c r="BV45" s="384"/>
      <c r="BW45" s="384"/>
      <c r="BX45" s="384"/>
      <c r="BY45" s="384"/>
      <c r="BZ45" s="384"/>
      <c r="CA45" s="384"/>
      <c r="CB45" s="384"/>
      <c r="CC45" s="384"/>
    </row>
    <row r="46" spans="1:81" s="68" customFormat="1">
      <c r="A46" s="157"/>
      <c r="B46" s="152"/>
      <c r="C46" s="124"/>
      <c r="D46" s="131"/>
      <c r="E46" s="1531"/>
      <c r="F46" s="124"/>
      <c r="G46" s="134"/>
      <c r="H46" s="134"/>
      <c r="I46" s="135"/>
      <c r="J46" s="134"/>
      <c r="K46" s="134"/>
      <c r="L46" s="139"/>
      <c r="M46" s="134"/>
      <c r="N46" s="134"/>
      <c r="O46" s="134"/>
      <c r="P46" s="134"/>
      <c r="Q46" s="156"/>
      <c r="R46" s="139"/>
      <c r="S46" s="139"/>
      <c r="T46" s="138"/>
      <c r="U46" s="144"/>
      <c r="V46" s="1531"/>
      <c r="W46" s="124"/>
      <c r="X46" s="139"/>
      <c r="Y46" s="134"/>
      <c r="Z46" s="134"/>
      <c r="AA46" s="139"/>
      <c r="AB46" s="138"/>
      <c r="AE46" s="384"/>
      <c r="AF46" s="384"/>
      <c r="AG46" s="384"/>
      <c r="AH46" s="384"/>
      <c r="AI46" s="384"/>
      <c r="AJ46" s="384"/>
      <c r="AK46" s="384"/>
      <c r="AL46" s="384"/>
      <c r="AM46" s="384"/>
      <c r="AN46" s="384"/>
      <c r="AO46" s="384"/>
      <c r="AP46" s="384"/>
      <c r="AQ46" s="384"/>
      <c r="AR46" s="384"/>
      <c r="AS46" s="384"/>
      <c r="AT46" s="384"/>
      <c r="AU46" s="384"/>
      <c r="AV46" s="384"/>
      <c r="AW46" s="384"/>
      <c r="AX46" s="384"/>
      <c r="AY46" s="384"/>
      <c r="AZ46" s="384"/>
      <c r="BA46" s="384"/>
      <c r="BB46" s="384"/>
      <c r="BC46" s="384"/>
      <c r="BD46" s="384"/>
      <c r="BE46" s="384"/>
      <c r="BF46" s="384"/>
      <c r="BG46" s="384"/>
      <c r="BH46" s="384"/>
      <c r="BI46" s="384"/>
      <c r="BJ46" s="384"/>
      <c r="BK46" s="384"/>
      <c r="BL46" s="384"/>
      <c r="BM46" s="384"/>
      <c r="BN46" s="384"/>
      <c r="BO46" s="384"/>
      <c r="BP46" s="384"/>
      <c r="BQ46" s="384"/>
      <c r="BR46" s="384"/>
      <c r="BS46" s="384"/>
      <c r="BT46" s="384"/>
      <c r="BU46" s="384"/>
      <c r="BV46" s="384"/>
      <c r="BW46" s="384"/>
      <c r="BX46" s="384"/>
      <c r="BY46" s="384"/>
      <c r="BZ46" s="384"/>
      <c r="CA46" s="384"/>
      <c r="CB46" s="384"/>
      <c r="CC46" s="384"/>
    </row>
    <row r="47" spans="1:81" s="68" customFormat="1">
      <c r="A47" s="157"/>
      <c r="B47" s="152"/>
      <c r="C47" s="124"/>
      <c r="D47" s="131"/>
      <c r="E47" s="1531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4"/>
      <c r="Q47" s="156"/>
      <c r="R47" s="139"/>
      <c r="S47" s="139"/>
      <c r="T47" s="138"/>
      <c r="U47" s="144"/>
      <c r="V47" s="1531"/>
      <c r="W47" s="124"/>
      <c r="X47" s="139"/>
      <c r="Y47" s="134"/>
      <c r="Z47" s="134"/>
      <c r="AA47" s="139"/>
      <c r="AB47" s="138"/>
      <c r="AE47" s="384"/>
      <c r="AF47" s="384"/>
      <c r="AG47" s="384"/>
      <c r="AH47" s="384"/>
      <c r="AI47" s="384"/>
      <c r="AJ47" s="384"/>
      <c r="AK47" s="384"/>
      <c r="AL47" s="384"/>
      <c r="AM47" s="384"/>
      <c r="AN47" s="384"/>
      <c r="AO47" s="384"/>
      <c r="AP47" s="384"/>
      <c r="AQ47" s="384"/>
      <c r="AR47" s="384"/>
      <c r="AS47" s="384"/>
      <c r="AT47" s="384"/>
      <c r="AU47" s="384"/>
      <c r="AV47" s="384"/>
      <c r="AW47" s="384"/>
      <c r="AX47" s="384"/>
      <c r="AY47" s="384"/>
      <c r="AZ47" s="384"/>
      <c r="BA47" s="384"/>
      <c r="BB47" s="384"/>
      <c r="BC47" s="384"/>
      <c r="BD47" s="384"/>
      <c r="BE47" s="384"/>
      <c r="BF47" s="384"/>
      <c r="BG47" s="384"/>
      <c r="BH47" s="384"/>
      <c r="BI47" s="384"/>
      <c r="BJ47" s="384"/>
      <c r="BK47" s="384"/>
      <c r="BL47" s="384"/>
      <c r="BM47" s="384"/>
      <c r="BN47" s="384"/>
      <c r="BO47" s="384"/>
      <c r="BP47" s="384"/>
      <c r="BQ47" s="384"/>
      <c r="BR47" s="384"/>
      <c r="BS47" s="384"/>
      <c r="BT47" s="384"/>
      <c r="BU47" s="384"/>
      <c r="BV47" s="384"/>
      <c r="BW47" s="384"/>
      <c r="BX47" s="384"/>
      <c r="BY47" s="384"/>
      <c r="BZ47" s="384"/>
      <c r="CA47" s="384"/>
      <c r="CB47" s="384"/>
      <c r="CC47" s="384"/>
    </row>
    <row r="48" spans="1:81" s="68" customFormat="1">
      <c r="A48" s="157"/>
      <c r="B48" s="152"/>
      <c r="C48" s="124"/>
      <c r="D48" s="131"/>
      <c r="E48" s="1531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4"/>
      <c r="Q48" s="156"/>
      <c r="R48" s="139"/>
      <c r="S48" s="139"/>
      <c r="T48" s="138"/>
      <c r="U48" s="144"/>
      <c r="V48" s="1531"/>
      <c r="W48" s="124"/>
      <c r="X48" s="139"/>
      <c r="Y48" s="134"/>
      <c r="Z48" s="134"/>
      <c r="AA48" s="139"/>
      <c r="AB48" s="138"/>
      <c r="AE48" s="384"/>
      <c r="AF48" s="384"/>
      <c r="AG48" s="384"/>
      <c r="AH48" s="384"/>
      <c r="AI48" s="384"/>
      <c r="AJ48" s="384"/>
      <c r="AK48" s="384"/>
      <c r="AL48" s="384"/>
      <c r="AM48" s="384"/>
      <c r="AN48" s="384"/>
      <c r="AO48" s="384"/>
      <c r="AP48" s="384"/>
      <c r="AQ48" s="384"/>
      <c r="AR48" s="384"/>
      <c r="AS48" s="384"/>
      <c r="AT48" s="384"/>
      <c r="AU48" s="384"/>
      <c r="AV48" s="384"/>
      <c r="AW48" s="384"/>
      <c r="AX48" s="384"/>
      <c r="AY48" s="384"/>
      <c r="AZ48" s="384"/>
      <c r="BA48" s="384"/>
      <c r="BB48" s="384"/>
      <c r="BC48" s="384"/>
      <c r="BD48" s="384"/>
      <c r="BE48" s="384"/>
      <c r="BF48" s="384"/>
      <c r="BG48" s="384"/>
      <c r="BH48" s="384"/>
      <c r="BI48" s="384"/>
      <c r="BJ48" s="384"/>
      <c r="BK48" s="384"/>
      <c r="BL48" s="384"/>
      <c r="BM48" s="384"/>
      <c r="BN48" s="384"/>
      <c r="BO48" s="384"/>
      <c r="BP48" s="384"/>
      <c r="BQ48" s="384"/>
      <c r="BR48" s="384"/>
      <c r="BS48" s="384"/>
      <c r="BT48" s="384"/>
      <c r="BU48" s="384"/>
      <c r="BV48" s="384"/>
      <c r="BW48" s="384"/>
      <c r="BX48" s="384"/>
      <c r="BY48" s="384"/>
      <c r="BZ48" s="384"/>
      <c r="CA48" s="384"/>
      <c r="CB48" s="384"/>
      <c r="CC48" s="384"/>
    </row>
    <row r="49" spans="1:81" s="68" customFormat="1">
      <c r="A49" s="157"/>
      <c r="B49" s="152"/>
      <c r="C49" s="124"/>
      <c r="D49" s="131"/>
      <c r="E49" s="1531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4"/>
      <c r="Q49" s="156"/>
      <c r="R49" s="139"/>
      <c r="S49" s="139"/>
      <c r="T49" s="138"/>
      <c r="U49" s="144"/>
      <c r="V49" s="1531"/>
      <c r="W49" s="124"/>
      <c r="X49" s="139"/>
      <c r="Y49" s="134"/>
      <c r="Z49" s="134"/>
      <c r="AA49" s="139"/>
      <c r="AB49" s="138"/>
      <c r="AE49" s="384"/>
      <c r="AF49" s="384"/>
      <c r="AG49" s="384"/>
      <c r="AH49" s="384"/>
      <c r="AI49" s="384"/>
      <c r="AJ49" s="384"/>
      <c r="AK49" s="384"/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  <c r="BC49" s="384"/>
      <c r="BD49" s="384"/>
      <c r="BE49" s="384"/>
      <c r="BF49" s="384"/>
      <c r="BG49" s="384"/>
      <c r="BH49" s="384"/>
      <c r="BI49" s="384"/>
      <c r="BJ49" s="384"/>
      <c r="BK49" s="384"/>
      <c r="BL49" s="384"/>
      <c r="BM49" s="384"/>
      <c r="BN49" s="384"/>
      <c r="BO49" s="384"/>
      <c r="BP49" s="384"/>
      <c r="BQ49" s="384"/>
      <c r="BR49" s="384"/>
      <c r="BS49" s="384"/>
      <c r="BT49" s="384"/>
      <c r="BU49" s="384"/>
      <c r="BV49" s="384"/>
      <c r="BW49" s="384"/>
      <c r="BX49" s="384"/>
      <c r="BY49" s="384"/>
      <c r="BZ49" s="384"/>
      <c r="CA49" s="384"/>
      <c r="CB49" s="384"/>
      <c r="CC49" s="384"/>
    </row>
    <row r="50" spans="1:81" s="68" customFormat="1">
      <c r="A50" s="157"/>
      <c r="B50" s="152"/>
      <c r="C50" s="124">
        <f>D50*E50</f>
        <v>0</v>
      </c>
      <c r="D50" s="131"/>
      <c r="E50" s="1531"/>
      <c r="F50" s="124">
        <f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31"/>
      <c r="W50" s="124">
        <f t="shared" ref="W50:W59" si="3">U50*V50</f>
        <v>0</v>
      </c>
      <c r="X50" s="139"/>
      <c r="Y50" s="134"/>
      <c r="Z50" s="139"/>
      <c r="AA50" s="139"/>
      <c r="AB50" s="138"/>
      <c r="AE50" s="384"/>
      <c r="AF50" s="384"/>
      <c r="AG50" s="384"/>
      <c r="AH50" s="384"/>
      <c r="AI50" s="384"/>
      <c r="AJ50" s="384"/>
      <c r="AK50" s="384"/>
      <c r="AL50" s="384"/>
      <c r="AM50" s="384"/>
      <c r="AN50" s="384"/>
      <c r="AO50" s="384"/>
      <c r="AP50" s="384"/>
      <c r="AQ50" s="384"/>
      <c r="AR50" s="384"/>
      <c r="AS50" s="384"/>
      <c r="AT50" s="384"/>
      <c r="AU50" s="384"/>
      <c r="AV50" s="384"/>
      <c r="AW50" s="384"/>
      <c r="AX50" s="384"/>
      <c r="AY50" s="384"/>
      <c r="AZ50" s="384"/>
      <c r="BA50" s="384"/>
      <c r="BB50" s="384"/>
      <c r="BC50" s="384"/>
      <c r="BD50" s="384"/>
      <c r="BE50" s="384"/>
      <c r="BF50" s="384"/>
      <c r="BG50" s="384"/>
      <c r="BH50" s="384"/>
      <c r="BI50" s="384"/>
      <c r="BJ50" s="384"/>
      <c r="BK50" s="384"/>
      <c r="BL50" s="384"/>
      <c r="BM50" s="384"/>
      <c r="BN50" s="384"/>
      <c r="BO50" s="384"/>
      <c r="BP50" s="384"/>
      <c r="BQ50" s="384"/>
      <c r="BR50" s="384"/>
      <c r="BS50" s="384"/>
      <c r="BT50" s="384"/>
      <c r="BU50" s="384"/>
      <c r="BV50" s="384"/>
      <c r="BW50" s="384"/>
      <c r="BX50" s="384"/>
      <c r="BY50" s="384"/>
      <c r="BZ50" s="384"/>
      <c r="CA50" s="384"/>
      <c r="CB50" s="384"/>
      <c r="CC50" s="384"/>
    </row>
    <row r="51" spans="1:81" s="68" customFormat="1">
      <c r="A51" s="157"/>
      <c r="B51" s="152"/>
      <c r="C51" s="124">
        <f>D51*E51</f>
        <v>0</v>
      </c>
      <c r="D51" s="131"/>
      <c r="E51" s="1531"/>
      <c r="F51" s="124">
        <f>D51*E51</f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31"/>
      <c r="W51" s="124">
        <f t="shared" si="3"/>
        <v>0</v>
      </c>
      <c r="X51" s="139"/>
      <c r="Y51" s="134"/>
      <c r="Z51" s="139"/>
      <c r="AA51" s="139"/>
      <c r="AB51" s="138"/>
      <c r="AE51" s="384"/>
      <c r="AF51" s="384"/>
      <c r="AG51" s="384"/>
      <c r="AH51" s="384"/>
      <c r="AI51" s="384"/>
      <c r="AJ51" s="384"/>
      <c r="AK51" s="384"/>
      <c r="AL51" s="384"/>
      <c r="AM51" s="384"/>
      <c r="AN51" s="384"/>
      <c r="AO51" s="384"/>
      <c r="AP51" s="384"/>
      <c r="AQ51" s="384"/>
      <c r="AR51" s="384"/>
      <c r="AS51" s="384"/>
      <c r="AT51" s="384"/>
      <c r="AU51" s="384"/>
      <c r="AV51" s="384"/>
      <c r="AW51" s="384"/>
      <c r="AX51" s="384"/>
      <c r="AY51" s="384"/>
      <c r="AZ51" s="384"/>
      <c r="BA51" s="384"/>
      <c r="BB51" s="384"/>
      <c r="BC51" s="384"/>
      <c r="BD51" s="384"/>
      <c r="BE51" s="384"/>
      <c r="BF51" s="384"/>
      <c r="BG51" s="384"/>
      <c r="BH51" s="384"/>
      <c r="BI51" s="384"/>
      <c r="BJ51" s="384"/>
      <c r="BK51" s="384"/>
      <c r="BL51" s="384"/>
      <c r="BM51" s="384"/>
      <c r="BN51" s="384"/>
      <c r="BO51" s="384"/>
      <c r="BP51" s="384"/>
      <c r="BQ51" s="384"/>
      <c r="BR51" s="384"/>
      <c r="BS51" s="384"/>
      <c r="BT51" s="384"/>
      <c r="BU51" s="384"/>
      <c r="BV51" s="384"/>
      <c r="BW51" s="384"/>
      <c r="BX51" s="384"/>
      <c r="BY51" s="384"/>
      <c r="BZ51" s="384"/>
      <c r="CA51" s="384"/>
      <c r="CB51" s="384"/>
      <c r="CC51" s="384"/>
    </row>
    <row r="52" spans="1:81" s="68" customFormat="1">
      <c r="A52" s="157"/>
      <c r="B52" s="152"/>
      <c r="C52" s="124">
        <f>D52*E52</f>
        <v>0</v>
      </c>
      <c r="D52" s="131"/>
      <c r="E52" s="1531"/>
      <c r="F52" s="124">
        <f>D52*E52</f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31"/>
      <c r="W52" s="124">
        <f t="shared" si="3"/>
        <v>0</v>
      </c>
      <c r="X52" s="139"/>
      <c r="Y52" s="134"/>
      <c r="Z52" s="139"/>
      <c r="AA52" s="139"/>
      <c r="AB52" s="138"/>
      <c r="AE52" s="384"/>
      <c r="AF52" s="384"/>
      <c r="AG52" s="384"/>
      <c r="AH52" s="384"/>
      <c r="AI52" s="384"/>
      <c r="AJ52" s="384"/>
      <c r="AK52" s="384"/>
      <c r="AL52" s="384"/>
      <c r="AM52" s="384"/>
      <c r="AN52" s="384"/>
      <c r="AO52" s="384"/>
      <c r="AP52" s="384"/>
      <c r="AQ52" s="384"/>
      <c r="AR52" s="384"/>
      <c r="AS52" s="384"/>
      <c r="AT52" s="384"/>
      <c r="AU52" s="384"/>
      <c r="AV52" s="384"/>
      <c r="AW52" s="384"/>
      <c r="AX52" s="384"/>
      <c r="AY52" s="384"/>
      <c r="AZ52" s="384"/>
      <c r="BA52" s="384"/>
      <c r="BB52" s="384"/>
      <c r="BC52" s="384"/>
      <c r="BD52" s="384"/>
      <c r="BE52" s="384"/>
      <c r="BF52" s="384"/>
      <c r="BG52" s="384"/>
      <c r="BH52" s="384"/>
      <c r="BI52" s="384"/>
      <c r="BJ52" s="384"/>
      <c r="BK52" s="384"/>
      <c r="BL52" s="384"/>
      <c r="BM52" s="384"/>
      <c r="BN52" s="384"/>
      <c r="BO52" s="384"/>
      <c r="BP52" s="384"/>
      <c r="BQ52" s="384"/>
      <c r="BR52" s="384"/>
      <c r="BS52" s="384"/>
      <c r="BT52" s="384"/>
      <c r="BU52" s="384"/>
      <c r="BV52" s="384"/>
      <c r="BW52" s="384"/>
      <c r="BX52" s="384"/>
      <c r="BY52" s="384"/>
      <c r="BZ52" s="384"/>
      <c r="CA52" s="384"/>
      <c r="CB52" s="384"/>
      <c r="CC52" s="384"/>
    </row>
    <row r="53" spans="1:81" s="68" customFormat="1">
      <c r="A53" s="157"/>
      <c r="B53" s="152"/>
      <c r="C53" s="124"/>
      <c r="D53" s="131"/>
      <c r="E53" s="157"/>
      <c r="F53" s="124"/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3"/>
        <v>0</v>
      </c>
      <c r="X53" s="139"/>
      <c r="Y53" s="134"/>
      <c r="Z53" s="139"/>
      <c r="AA53" s="139"/>
      <c r="AB53" s="138"/>
      <c r="AE53" s="384"/>
      <c r="AF53" s="384"/>
      <c r="AG53" s="384"/>
      <c r="AH53" s="384"/>
      <c r="AI53" s="384"/>
      <c r="AJ53" s="384"/>
      <c r="AK53" s="384"/>
      <c r="AL53" s="384"/>
      <c r="AM53" s="384"/>
      <c r="AN53" s="384"/>
      <c r="AO53" s="384"/>
      <c r="AP53" s="384"/>
      <c r="AQ53" s="384"/>
      <c r="AR53" s="384"/>
      <c r="AS53" s="384"/>
      <c r="AT53" s="384"/>
      <c r="AU53" s="384"/>
      <c r="AV53" s="384"/>
      <c r="AW53" s="384"/>
      <c r="AX53" s="384"/>
      <c r="AY53" s="384"/>
      <c r="AZ53" s="384"/>
      <c r="BA53" s="384"/>
      <c r="BB53" s="384"/>
      <c r="BC53" s="384"/>
      <c r="BD53" s="384"/>
      <c r="BE53" s="384"/>
      <c r="BF53" s="384"/>
      <c r="BG53" s="384"/>
      <c r="BH53" s="384"/>
      <c r="BI53" s="384"/>
      <c r="BJ53" s="384"/>
      <c r="BK53" s="384"/>
      <c r="BL53" s="384"/>
      <c r="BM53" s="384"/>
      <c r="BN53" s="384"/>
      <c r="BO53" s="384"/>
      <c r="BP53" s="384"/>
      <c r="BQ53" s="384"/>
      <c r="BR53" s="384"/>
      <c r="BS53" s="384"/>
      <c r="BT53" s="384"/>
      <c r="BU53" s="384"/>
      <c r="BV53" s="384"/>
      <c r="BW53" s="384"/>
      <c r="BX53" s="384"/>
      <c r="BY53" s="384"/>
      <c r="BZ53" s="384"/>
      <c r="CA53" s="384"/>
      <c r="CB53" s="384"/>
      <c r="CC53" s="384"/>
    </row>
    <row r="54" spans="1:81" s="68" customFormat="1">
      <c r="A54" s="1530"/>
      <c r="B54" s="152"/>
      <c r="C54" s="124">
        <f t="shared" ref="C54:C59" si="4">D54*E54</f>
        <v>0</v>
      </c>
      <c r="D54" s="131"/>
      <c r="E54" s="157"/>
      <c r="F54" s="124">
        <f t="shared" ref="F54:F59" si="5">D54*E54</f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3"/>
        <v>0</v>
      </c>
      <c r="X54" s="139"/>
      <c r="Y54" s="134"/>
      <c r="Z54" s="139"/>
      <c r="AA54" s="139"/>
      <c r="AB54" s="138"/>
      <c r="AE54" s="384"/>
      <c r="AF54" s="384"/>
      <c r="AG54" s="384"/>
      <c r="AH54" s="384"/>
      <c r="AI54" s="384"/>
      <c r="AJ54" s="384"/>
      <c r="AK54" s="384"/>
      <c r="AL54" s="384"/>
      <c r="AM54" s="384"/>
      <c r="AN54" s="384"/>
      <c r="AO54" s="384"/>
      <c r="AP54" s="384"/>
      <c r="AQ54" s="384"/>
      <c r="AR54" s="384"/>
      <c r="AS54" s="384"/>
      <c r="AT54" s="384"/>
      <c r="AU54" s="384"/>
      <c r="AV54" s="384"/>
      <c r="AW54" s="384"/>
      <c r="AX54" s="384"/>
      <c r="AY54" s="384"/>
      <c r="AZ54" s="384"/>
      <c r="BA54" s="384"/>
      <c r="BB54" s="384"/>
      <c r="BC54" s="384"/>
      <c r="BD54" s="384"/>
      <c r="BE54" s="384"/>
      <c r="BF54" s="384"/>
      <c r="BG54" s="384"/>
      <c r="BH54" s="384"/>
      <c r="BI54" s="384"/>
      <c r="BJ54" s="384"/>
      <c r="BK54" s="384"/>
      <c r="BL54" s="384"/>
      <c r="BM54" s="384"/>
      <c r="BN54" s="384"/>
      <c r="BO54" s="384"/>
      <c r="BP54" s="384"/>
      <c r="BQ54" s="384"/>
      <c r="BR54" s="384"/>
      <c r="BS54" s="384"/>
      <c r="BT54" s="384"/>
      <c r="BU54" s="384"/>
      <c r="BV54" s="384"/>
      <c r="BW54" s="384"/>
      <c r="BX54" s="384"/>
      <c r="BY54" s="384"/>
      <c r="BZ54" s="384"/>
      <c r="CA54" s="384"/>
      <c r="CB54" s="384"/>
      <c r="CC54" s="384"/>
    </row>
    <row r="55" spans="1:81" s="68" customFormat="1">
      <c r="A55" s="157"/>
      <c r="B55" s="152"/>
      <c r="C55" s="124">
        <f t="shared" si="4"/>
        <v>0</v>
      </c>
      <c r="D55" s="131"/>
      <c r="E55" s="146"/>
      <c r="F55" s="124">
        <f t="shared" si="5"/>
        <v>0</v>
      </c>
      <c r="G55" s="134"/>
      <c r="H55" s="134"/>
      <c r="I55" s="135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46"/>
      <c r="W55" s="124">
        <f t="shared" si="3"/>
        <v>0</v>
      </c>
      <c r="X55" s="139"/>
      <c r="Y55" s="134"/>
      <c r="Z55" s="139"/>
      <c r="AA55" s="139"/>
      <c r="AB55" s="138"/>
      <c r="AE55" s="384"/>
      <c r="AF55" s="384"/>
      <c r="AG55" s="384"/>
      <c r="AH55" s="384"/>
      <c r="AI55" s="384"/>
      <c r="AJ55" s="384"/>
      <c r="AK55" s="384"/>
      <c r="AL55" s="384"/>
      <c r="AM55" s="384"/>
      <c r="AN55" s="384"/>
      <c r="AO55" s="384"/>
      <c r="AP55" s="384"/>
      <c r="AQ55" s="384"/>
      <c r="AR55" s="384"/>
      <c r="AS55" s="384"/>
      <c r="AT55" s="384"/>
      <c r="AU55" s="384"/>
      <c r="AV55" s="384"/>
      <c r="AW55" s="384"/>
      <c r="AX55" s="384"/>
      <c r="AY55" s="384"/>
      <c r="AZ55" s="384"/>
      <c r="BA55" s="384"/>
      <c r="BB55" s="384"/>
      <c r="BC55" s="384"/>
      <c r="BD55" s="384"/>
      <c r="BE55" s="384"/>
      <c r="BF55" s="384"/>
      <c r="BG55" s="384"/>
      <c r="BH55" s="384"/>
      <c r="BI55" s="384"/>
      <c r="BJ55" s="384"/>
      <c r="BK55" s="384"/>
      <c r="BL55" s="384"/>
      <c r="BM55" s="384"/>
      <c r="BN55" s="384"/>
      <c r="BO55" s="384"/>
      <c r="BP55" s="384"/>
      <c r="BQ55" s="384"/>
      <c r="BR55" s="384"/>
      <c r="BS55" s="384"/>
      <c r="BT55" s="384"/>
      <c r="BU55" s="384"/>
      <c r="BV55" s="384"/>
      <c r="BW55" s="384"/>
      <c r="BX55" s="384"/>
      <c r="BY55" s="384"/>
      <c r="BZ55" s="384"/>
      <c r="CA55" s="384"/>
      <c r="CB55" s="384"/>
      <c r="CC55" s="384"/>
    </row>
    <row r="56" spans="1:81" s="68" customFormat="1">
      <c r="A56" s="157"/>
      <c r="B56" s="152"/>
      <c r="C56" s="124">
        <f t="shared" si="4"/>
        <v>0</v>
      </c>
      <c r="D56" s="131"/>
      <c r="E56" s="157"/>
      <c r="F56" s="124">
        <f t="shared" si="5"/>
        <v>0</v>
      </c>
      <c r="G56" s="134"/>
      <c r="H56" s="134"/>
      <c r="I56" s="135"/>
      <c r="J56" s="134"/>
      <c r="K56" s="134"/>
      <c r="L56" s="139"/>
      <c r="M56" s="134"/>
      <c r="N56" s="134"/>
      <c r="O56" s="134"/>
      <c r="P56" s="139"/>
      <c r="Q56" s="134"/>
      <c r="R56" s="139"/>
      <c r="S56" s="139"/>
      <c r="T56" s="138"/>
      <c r="U56" s="144"/>
      <c r="V56" s="157"/>
      <c r="W56" s="124">
        <f t="shared" si="3"/>
        <v>0</v>
      </c>
      <c r="X56" s="139"/>
      <c r="Y56" s="134"/>
      <c r="Z56" s="139"/>
      <c r="AA56" s="139"/>
      <c r="AB56" s="138"/>
      <c r="AE56" s="384"/>
      <c r="AF56" s="384"/>
      <c r="AG56" s="384"/>
      <c r="AH56" s="384"/>
      <c r="AI56" s="384"/>
      <c r="AJ56" s="384"/>
      <c r="AK56" s="384"/>
      <c r="AL56" s="384"/>
      <c r="AM56" s="384"/>
      <c r="AN56" s="384"/>
      <c r="AO56" s="384"/>
      <c r="AP56" s="384"/>
      <c r="AQ56" s="384"/>
      <c r="AR56" s="384"/>
      <c r="AS56" s="384"/>
      <c r="AT56" s="384"/>
      <c r="AU56" s="384"/>
      <c r="AV56" s="384"/>
      <c r="AW56" s="384"/>
      <c r="AX56" s="384"/>
      <c r="AY56" s="384"/>
      <c r="AZ56" s="384"/>
      <c r="BA56" s="384"/>
      <c r="BB56" s="384"/>
      <c r="BC56" s="384"/>
      <c r="BD56" s="384"/>
      <c r="BE56" s="384"/>
      <c r="BF56" s="384"/>
      <c r="BG56" s="384"/>
      <c r="BH56" s="384"/>
      <c r="BI56" s="384"/>
      <c r="BJ56" s="384"/>
      <c r="BK56" s="384"/>
      <c r="BL56" s="384"/>
      <c r="BM56" s="384"/>
      <c r="BN56" s="384"/>
      <c r="BO56" s="384"/>
      <c r="BP56" s="384"/>
      <c r="BQ56" s="384"/>
      <c r="BR56" s="384"/>
      <c r="BS56" s="384"/>
      <c r="BT56" s="384"/>
      <c r="BU56" s="384"/>
      <c r="BV56" s="384"/>
      <c r="BW56" s="384"/>
      <c r="BX56" s="384"/>
      <c r="BY56" s="384"/>
      <c r="BZ56" s="384"/>
      <c r="CA56" s="384"/>
      <c r="CB56" s="384"/>
      <c r="CC56" s="384"/>
    </row>
    <row r="57" spans="1:81" s="68" customFormat="1">
      <c r="A57" s="157"/>
      <c r="B57" s="152"/>
      <c r="C57" s="124">
        <f t="shared" si="4"/>
        <v>0</v>
      </c>
      <c r="D57" s="131"/>
      <c r="E57" s="146"/>
      <c r="F57" s="124">
        <f t="shared" si="5"/>
        <v>0</v>
      </c>
      <c r="G57" s="134"/>
      <c r="H57" s="134"/>
      <c r="I57" s="135"/>
      <c r="J57" s="134"/>
      <c r="K57" s="134"/>
      <c r="L57" s="139"/>
      <c r="M57" s="134"/>
      <c r="N57" s="134"/>
      <c r="O57" s="134"/>
      <c r="P57" s="139"/>
      <c r="Q57" s="134"/>
      <c r="R57" s="139"/>
      <c r="S57" s="139"/>
      <c r="T57" s="138"/>
      <c r="U57" s="144"/>
      <c r="V57" s="146"/>
      <c r="W57" s="124">
        <f t="shared" si="3"/>
        <v>0</v>
      </c>
      <c r="X57" s="139"/>
      <c r="Y57" s="134"/>
      <c r="Z57" s="139"/>
      <c r="AA57" s="139"/>
      <c r="AB57" s="138"/>
      <c r="AE57" s="384"/>
      <c r="AF57" s="384"/>
      <c r="AG57" s="384"/>
      <c r="AH57" s="384"/>
      <c r="AI57" s="384"/>
      <c r="AJ57" s="384"/>
      <c r="AK57" s="384"/>
      <c r="AL57" s="384"/>
      <c r="AM57" s="384"/>
      <c r="AN57" s="384"/>
      <c r="AO57" s="384"/>
      <c r="AP57" s="384"/>
      <c r="AQ57" s="384"/>
      <c r="AR57" s="384"/>
      <c r="AS57" s="384"/>
      <c r="AT57" s="384"/>
      <c r="AU57" s="384"/>
      <c r="AV57" s="384"/>
      <c r="AW57" s="384"/>
      <c r="AX57" s="384"/>
      <c r="AY57" s="384"/>
      <c r="AZ57" s="384"/>
      <c r="BA57" s="384"/>
      <c r="BB57" s="384"/>
      <c r="BC57" s="384"/>
      <c r="BD57" s="384"/>
      <c r="BE57" s="384"/>
      <c r="BF57" s="384"/>
      <c r="BG57" s="384"/>
      <c r="BH57" s="384"/>
      <c r="BI57" s="384"/>
      <c r="BJ57" s="384"/>
      <c r="BK57" s="384"/>
      <c r="BL57" s="384"/>
      <c r="BM57" s="384"/>
      <c r="BN57" s="384"/>
      <c r="BO57" s="384"/>
      <c r="BP57" s="384"/>
      <c r="BQ57" s="384"/>
      <c r="BR57" s="384"/>
      <c r="BS57" s="384"/>
      <c r="BT57" s="384"/>
      <c r="BU57" s="384"/>
      <c r="BV57" s="384"/>
      <c r="BW57" s="384"/>
      <c r="BX57" s="384"/>
      <c r="BY57" s="384"/>
      <c r="BZ57" s="384"/>
      <c r="CA57" s="384"/>
      <c r="CB57" s="384"/>
      <c r="CC57" s="384"/>
    </row>
    <row r="58" spans="1:81" s="68" customFormat="1">
      <c r="A58" s="157"/>
      <c r="B58" s="152"/>
      <c r="C58" s="124">
        <f t="shared" si="4"/>
        <v>0</v>
      </c>
      <c r="D58" s="131"/>
      <c r="E58" s="157"/>
      <c r="F58" s="124">
        <f t="shared" si="5"/>
        <v>0</v>
      </c>
      <c r="G58" s="134"/>
      <c r="H58" s="134"/>
      <c r="I58" s="135"/>
      <c r="J58" s="134"/>
      <c r="K58" s="134"/>
      <c r="L58" s="139"/>
      <c r="M58" s="134"/>
      <c r="N58" s="134"/>
      <c r="O58" s="134"/>
      <c r="P58" s="139"/>
      <c r="Q58" s="134"/>
      <c r="R58" s="139"/>
      <c r="S58" s="139"/>
      <c r="T58" s="138"/>
      <c r="U58" s="144"/>
      <c r="V58" s="157"/>
      <c r="W58" s="124">
        <f t="shared" si="3"/>
        <v>0</v>
      </c>
      <c r="X58" s="139"/>
      <c r="Y58" s="134"/>
      <c r="Z58" s="139"/>
      <c r="AA58" s="139"/>
      <c r="AB58" s="138"/>
      <c r="AE58" s="384"/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4"/>
      <c r="AQ58" s="384"/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384"/>
      <c r="BC58" s="384"/>
      <c r="BD58" s="384"/>
      <c r="BE58" s="384"/>
      <c r="BF58" s="384"/>
      <c r="BG58" s="384"/>
      <c r="BH58" s="384"/>
      <c r="BI58" s="384"/>
      <c r="BJ58" s="384"/>
      <c r="BK58" s="384"/>
      <c r="BL58" s="384"/>
      <c r="BM58" s="384"/>
      <c r="BN58" s="384"/>
      <c r="BO58" s="384"/>
      <c r="BP58" s="384"/>
      <c r="BQ58" s="384"/>
      <c r="BR58" s="384"/>
      <c r="BS58" s="384"/>
      <c r="BT58" s="384"/>
      <c r="BU58" s="384"/>
      <c r="BV58" s="384"/>
      <c r="BW58" s="384"/>
      <c r="BX58" s="384"/>
      <c r="BY58" s="384"/>
      <c r="BZ58" s="384"/>
      <c r="CA58" s="384"/>
      <c r="CB58" s="384"/>
      <c r="CC58" s="384"/>
    </row>
    <row r="59" spans="1:81" s="68" customFormat="1">
      <c r="A59" s="157"/>
      <c r="B59" s="158"/>
      <c r="C59" s="124">
        <f t="shared" si="4"/>
        <v>0</v>
      </c>
      <c r="D59" s="131"/>
      <c r="E59" s="132"/>
      <c r="F59" s="124">
        <f t="shared" si="5"/>
        <v>0</v>
      </c>
      <c r="G59" s="134"/>
      <c r="H59" s="134"/>
      <c r="I59" s="134"/>
      <c r="J59" s="134"/>
      <c r="K59" s="134"/>
      <c r="L59" s="139"/>
      <c r="M59" s="134"/>
      <c r="N59" s="134"/>
      <c r="O59" s="134"/>
      <c r="P59" s="139"/>
      <c r="Q59" s="134"/>
      <c r="R59" s="139"/>
      <c r="S59" s="139"/>
      <c r="T59" s="138"/>
      <c r="U59" s="144"/>
      <c r="V59" s="132"/>
      <c r="W59" s="124">
        <f t="shared" si="3"/>
        <v>0</v>
      </c>
      <c r="X59" s="139"/>
      <c r="Y59" s="134"/>
      <c r="Z59" s="139"/>
      <c r="AA59" s="139"/>
      <c r="AB59" s="138"/>
      <c r="AE59" s="384"/>
      <c r="AF59" s="384"/>
      <c r="AG59" s="384"/>
      <c r="AH59" s="384"/>
      <c r="AI59" s="384"/>
      <c r="AJ59" s="384"/>
      <c r="AK59" s="384"/>
      <c r="AL59" s="384"/>
      <c r="AM59" s="384"/>
      <c r="AN59" s="384"/>
      <c r="AO59" s="384"/>
      <c r="AP59" s="384"/>
      <c r="AQ59" s="384"/>
      <c r="AR59" s="384"/>
      <c r="AS59" s="384"/>
      <c r="AT59" s="384"/>
      <c r="AU59" s="384"/>
      <c r="AV59" s="384"/>
      <c r="AW59" s="384"/>
      <c r="AX59" s="384"/>
      <c r="AY59" s="384"/>
      <c r="AZ59" s="384"/>
      <c r="BA59" s="384"/>
      <c r="BB59" s="384"/>
      <c r="BC59" s="384"/>
      <c r="BD59" s="384"/>
      <c r="BE59" s="384"/>
      <c r="BF59" s="384"/>
      <c r="BG59" s="384"/>
      <c r="BH59" s="384"/>
      <c r="BI59" s="384"/>
      <c r="BJ59" s="384"/>
      <c r="BK59" s="384"/>
      <c r="BL59" s="384"/>
      <c r="BM59" s="384"/>
      <c r="BN59" s="384"/>
      <c r="BO59" s="384"/>
      <c r="BP59" s="384"/>
      <c r="BQ59" s="384"/>
      <c r="BR59" s="384"/>
      <c r="BS59" s="384"/>
      <c r="BT59" s="384"/>
      <c r="BU59" s="384"/>
      <c r="BV59" s="384"/>
      <c r="BW59" s="384"/>
      <c r="BX59" s="384"/>
      <c r="BY59" s="384"/>
      <c r="BZ59" s="384"/>
      <c r="CA59" s="384"/>
      <c r="CB59" s="384"/>
      <c r="CC59" s="384"/>
    </row>
    <row r="60" spans="1:81" s="68" customFormat="1">
      <c r="A60" s="159"/>
      <c r="B60" s="160" t="s">
        <v>17</v>
      </c>
      <c r="C60" s="1535">
        <f>SUM(C15:C59)</f>
        <v>1080000</v>
      </c>
      <c r="D60" s="1536"/>
      <c r="E60" s="1536"/>
      <c r="F60" s="1536">
        <f>SUM(F15:F59)</f>
        <v>290400.00000000012</v>
      </c>
      <c r="G60" s="1536">
        <f t="shared" ref="G60:N60" si="6">SUM(G16:G59)</f>
        <v>0</v>
      </c>
      <c r="H60" s="1536">
        <f t="shared" si="6"/>
        <v>0</v>
      </c>
      <c r="I60" s="1536">
        <f>SUM(I15:I59)</f>
        <v>58080.000000000029</v>
      </c>
      <c r="J60" s="1536">
        <f t="shared" si="6"/>
        <v>0</v>
      </c>
      <c r="K60" s="1536">
        <f t="shared" si="6"/>
        <v>0</v>
      </c>
      <c r="L60" s="1536">
        <f>SUM(L15:L59)</f>
        <v>58080.000000000029</v>
      </c>
      <c r="M60" s="1536">
        <f t="shared" si="6"/>
        <v>0</v>
      </c>
      <c r="N60" s="1536">
        <f t="shared" si="6"/>
        <v>0</v>
      </c>
      <c r="O60" s="1536">
        <f>SUM(O14:O59)</f>
        <v>0</v>
      </c>
      <c r="P60" s="1536">
        <f>SUM(P14:P59)</f>
        <v>58080.000000000029</v>
      </c>
      <c r="Q60" s="1536">
        <f>SUM(Q14:Q59)</f>
        <v>0</v>
      </c>
      <c r="R60" s="1536">
        <f>SUM(R14:R59)</f>
        <v>0</v>
      </c>
      <c r="S60" s="1536">
        <f>SUM(S16:S59)</f>
        <v>0</v>
      </c>
      <c r="T60" s="1537">
        <f>W60-L60</f>
        <v>232320.00000000009</v>
      </c>
      <c r="U60" s="1536"/>
      <c r="V60" s="1536"/>
      <c r="W60" s="1536">
        <f>SUM(W14:W59)</f>
        <v>290400.00000000012</v>
      </c>
      <c r="X60" s="1536">
        <f>SUM(X16:X59)</f>
        <v>0</v>
      </c>
      <c r="Y60" s="1536">
        <f>SUM(Y16:Y59)</f>
        <v>0</v>
      </c>
      <c r="Z60" s="1536">
        <f>SUM(Z16:Z59)</f>
        <v>0</v>
      </c>
      <c r="AA60" s="1536">
        <v>0</v>
      </c>
      <c r="AB60" s="1536">
        <f>SUM(AB16:AB59)</f>
        <v>0</v>
      </c>
      <c r="AE60" s="384"/>
      <c r="AF60" s="384"/>
      <c r="AG60" s="384"/>
      <c r="AH60" s="384"/>
      <c r="AI60" s="384"/>
      <c r="AJ60" s="384"/>
      <c r="AK60" s="384"/>
      <c r="AL60" s="384"/>
      <c r="AM60" s="384"/>
      <c r="AN60" s="384"/>
      <c r="AO60" s="384"/>
      <c r="AP60" s="384"/>
      <c r="AQ60" s="384"/>
      <c r="AR60" s="384"/>
      <c r="AS60" s="384"/>
      <c r="AT60" s="384"/>
      <c r="AU60" s="384"/>
      <c r="AV60" s="384"/>
      <c r="AW60" s="384"/>
      <c r="AX60" s="384"/>
      <c r="AY60" s="384"/>
      <c r="AZ60" s="384"/>
      <c r="BA60" s="384"/>
      <c r="BB60" s="384"/>
      <c r="BC60" s="384"/>
      <c r="BD60" s="384"/>
      <c r="BE60" s="384"/>
      <c r="BF60" s="384"/>
      <c r="BG60" s="384"/>
      <c r="BH60" s="384"/>
      <c r="BI60" s="384"/>
      <c r="BJ60" s="384"/>
      <c r="BK60" s="384"/>
      <c r="BL60" s="384"/>
      <c r="BM60" s="384"/>
      <c r="BN60" s="384"/>
      <c r="BO60" s="384"/>
      <c r="BP60" s="384"/>
      <c r="BQ60" s="384"/>
      <c r="BR60" s="384"/>
      <c r="BS60" s="384"/>
      <c r="BT60" s="384"/>
      <c r="BU60" s="384"/>
      <c r="BV60" s="384"/>
      <c r="BW60" s="384"/>
      <c r="BX60" s="384"/>
      <c r="BY60" s="384"/>
      <c r="BZ60" s="384"/>
      <c r="CA60" s="384"/>
      <c r="CB60" s="384"/>
      <c r="CC60" s="384"/>
    </row>
    <row r="61" spans="1:81" s="68" customFormat="1">
      <c r="A61" s="161"/>
      <c r="B61" s="162"/>
      <c r="C61" s="67"/>
      <c r="D61" s="67"/>
      <c r="E61" s="67"/>
      <c r="F61" s="163"/>
      <c r="G61" s="163"/>
      <c r="H61" s="163"/>
      <c r="I61" s="163"/>
      <c r="J61" s="163"/>
      <c r="K61" s="163"/>
      <c r="L61" s="163"/>
      <c r="M61" s="163"/>
      <c r="N61" s="163"/>
      <c r="O61" s="67"/>
      <c r="P61" s="163"/>
      <c r="Q61" s="67"/>
      <c r="R61" s="67"/>
      <c r="U61" s="67"/>
      <c r="V61" s="67"/>
      <c r="W61" s="163"/>
      <c r="AE61" s="384"/>
      <c r="AF61" s="384"/>
      <c r="AG61" s="384"/>
      <c r="AH61" s="384"/>
      <c r="AI61" s="384"/>
      <c r="AJ61" s="384"/>
      <c r="AK61" s="384"/>
      <c r="AL61" s="384"/>
      <c r="AM61" s="384"/>
      <c r="AN61" s="384"/>
      <c r="AO61" s="384"/>
      <c r="AP61" s="384"/>
      <c r="AQ61" s="384"/>
      <c r="AR61" s="384"/>
      <c r="AS61" s="384"/>
      <c r="AT61" s="384"/>
      <c r="AU61" s="384"/>
      <c r="AV61" s="384"/>
      <c r="AW61" s="384"/>
      <c r="AX61" s="384"/>
      <c r="AY61" s="384"/>
      <c r="AZ61" s="384"/>
      <c r="BA61" s="384"/>
      <c r="BB61" s="384"/>
      <c r="BC61" s="384"/>
      <c r="BD61" s="384"/>
      <c r="BE61" s="384"/>
      <c r="BF61" s="384"/>
      <c r="BG61" s="384"/>
      <c r="BH61" s="384"/>
      <c r="BI61" s="384"/>
      <c r="BJ61" s="384"/>
      <c r="BK61" s="384"/>
      <c r="BL61" s="384"/>
      <c r="BM61" s="384"/>
      <c r="BN61" s="384"/>
      <c r="BO61" s="384"/>
      <c r="BP61" s="384"/>
      <c r="BQ61" s="384"/>
      <c r="BR61" s="384"/>
      <c r="BS61" s="384"/>
      <c r="BT61" s="384"/>
      <c r="BU61" s="384"/>
      <c r="BV61" s="384"/>
      <c r="BW61" s="384"/>
      <c r="BX61" s="384"/>
      <c r="BY61" s="384"/>
      <c r="BZ61" s="384"/>
      <c r="CA61" s="384"/>
      <c r="CB61" s="384"/>
      <c r="CC61" s="384"/>
    </row>
    <row r="62" spans="1:81" s="68" customFormat="1">
      <c r="A62" s="164"/>
      <c r="B62" s="162"/>
      <c r="C62" s="67"/>
      <c r="D62" s="67"/>
      <c r="E62" s="67"/>
      <c r="F62" s="163"/>
      <c r="G62" s="163"/>
      <c r="H62" s="163"/>
      <c r="I62" s="163"/>
      <c r="J62" s="163"/>
      <c r="K62" s="163"/>
      <c r="L62" s="163"/>
      <c r="M62" s="163"/>
      <c r="N62" s="163"/>
      <c r="O62" s="67"/>
      <c r="P62" s="163"/>
      <c r="Q62" s="67"/>
      <c r="R62" s="67"/>
      <c r="U62" s="67"/>
      <c r="V62" s="67"/>
      <c r="W62" s="163"/>
      <c r="AE62" s="384"/>
      <c r="AF62" s="384"/>
      <c r="AG62" s="384"/>
      <c r="AH62" s="384"/>
      <c r="AI62" s="384"/>
      <c r="AJ62" s="384"/>
      <c r="AK62" s="384"/>
      <c r="AL62" s="384"/>
      <c r="AM62" s="384"/>
      <c r="AN62" s="384"/>
      <c r="AO62" s="384"/>
      <c r="AP62" s="384"/>
      <c r="AQ62" s="384"/>
      <c r="AR62" s="384"/>
      <c r="AS62" s="384"/>
      <c r="AT62" s="384"/>
      <c r="AU62" s="384"/>
      <c r="AV62" s="384"/>
      <c r="AW62" s="384"/>
      <c r="AX62" s="384"/>
      <c r="AY62" s="384"/>
      <c r="AZ62" s="384"/>
      <c r="BA62" s="384"/>
      <c r="BB62" s="384"/>
      <c r="BC62" s="384"/>
      <c r="BD62" s="384"/>
      <c r="BE62" s="384"/>
      <c r="BF62" s="384"/>
      <c r="BG62" s="384"/>
      <c r="BH62" s="384"/>
      <c r="BI62" s="384"/>
      <c r="BJ62" s="384"/>
      <c r="BK62" s="384"/>
      <c r="BL62" s="384"/>
      <c r="BM62" s="384"/>
      <c r="BN62" s="384"/>
      <c r="BO62" s="384"/>
      <c r="BP62" s="384"/>
      <c r="BQ62" s="384"/>
      <c r="BR62" s="384"/>
      <c r="BS62" s="384"/>
      <c r="BT62" s="384"/>
      <c r="BU62" s="384"/>
      <c r="BV62" s="384"/>
      <c r="BW62" s="384"/>
      <c r="BX62" s="384"/>
      <c r="BY62" s="384"/>
      <c r="BZ62" s="384"/>
      <c r="CA62" s="384"/>
      <c r="CB62" s="384"/>
      <c r="CC62" s="384"/>
    </row>
    <row r="63" spans="1:81" s="68" customFormat="1">
      <c r="A63" s="67"/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R63" s="67"/>
      <c r="U63" s="67"/>
      <c r="V63" s="67"/>
      <c r="W63" s="163"/>
      <c r="AE63" s="384"/>
      <c r="AF63" s="384"/>
      <c r="AG63" s="384"/>
      <c r="AH63" s="384"/>
      <c r="AI63" s="384"/>
      <c r="AJ63" s="384"/>
      <c r="AK63" s="384"/>
      <c r="AL63" s="384"/>
      <c r="AM63" s="384"/>
      <c r="AN63" s="384"/>
      <c r="AO63" s="384"/>
      <c r="AP63" s="384"/>
      <c r="AQ63" s="384"/>
      <c r="AR63" s="384"/>
      <c r="AS63" s="384"/>
      <c r="AT63" s="384"/>
      <c r="AU63" s="384"/>
      <c r="AV63" s="384"/>
      <c r="AW63" s="384"/>
      <c r="AX63" s="384"/>
      <c r="AY63" s="384"/>
      <c r="AZ63" s="384"/>
      <c r="BA63" s="384"/>
      <c r="BB63" s="384"/>
      <c r="BC63" s="384"/>
      <c r="BD63" s="384"/>
      <c r="BE63" s="384"/>
      <c r="BF63" s="384"/>
      <c r="BG63" s="384"/>
      <c r="BH63" s="384"/>
      <c r="BI63" s="384"/>
      <c r="BJ63" s="384"/>
      <c r="BK63" s="384"/>
      <c r="BL63" s="384"/>
      <c r="BM63" s="384"/>
      <c r="BN63" s="384"/>
      <c r="BO63" s="384"/>
      <c r="BP63" s="384"/>
      <c r="BQ63" s="384"/>
      <c r="BR63" s="384"/>
      <c r="BS63" s="384"/>
      <c r="BT63" s="384"/>
      <c r="BU63" s="384"/>
      <c r="BV63" s="384"/>
      <c r="BW63" s="384"/>
      <c r="BX63" s="384"/>
      <c r="BY63" s="384"/>
      <c r="BZ63" s="384"/>
      <c r="CA63" s="384"/>
      <c r="CB63" s="384"/>
      <c r="CC63" s="384"/>
    </row>
    <row r="64" spans="1:81" s="68" customFormat="1">
      <c r="A64" s="67"/>
      <c r="B64" s="67"/>
      <c r="C64" s="67"/>
      <c r="D64" s="67"/>
      <c r="E64" s="67"/>
      <c r="F64" s="163"/>
      <c r="G64" s="67"/>
      <c r="H64" s="67"/>
      <c r="I64" s="67"/>
      <c r="J64" s="67"/>
      <c r="K64" s="67"/>
      <c r="L64" s="67"/>
      <c r="M64" s="67"/>
      <c r="N64" s="67"/>
      <c r="O64" s="67"/>
      <c r="P64" s="67"/>
      <c r="R64" s="67"/>
      <c r="U64" s="67"/>
      <c r="V64" s="67"/>
      <c r="W64" s="163"/>
      <c r="AE64" s="384"/>
      <c r="AF64" s="384"/>
      <c r="AG64" s="384"/>
      <c r="AH64" s="384"/>
      <c r="AI64" s="384"/>
      <c r="AJ64" s="384"/>
      <c r="AK64" s="384"/>
      <c r="AL64" s="384"/>
      <c r="AM64" s="384"/>
      <c r="AN64" s="384"/>
      <c r="AO64" s="384"/>
      <c r="AP64" s="384"/>
      <c r="AQ64" s="384"/>
      <c r="AR64" s="384"/>
      <c r="AS64" s="384"/>
      <c r="AT64" s="384"/>
      <c r="AU64" s="384"/>
      <c r="AV64" s="384"/>
      <c r="AW64" s="384"/>
      <c r="AX64" s="384"/>
      <c r="AY64" s="384"/>
      <c r="AZ64" s="384"/>
      <c r="BA64" s="384"/>
      <c r="BB64" s="384"/>
      <c r="BC64" s="384"/>
      <c r="BD64" s="384"/>
      <c r="BE64" s="384"/>
      <c r="BF64" s="384"/>
      <c r="BG64" s="384"/>
      <c r="BH64" s="384"/>
      <c r="BI64" s="384"/>
      <c r="BJ64" s="384"/>
      <c r="BK64" s="384"/>
      <c r="BL64" s="384"/>
      <c r="BM64" s="384"/>
      <c r="BN64" s="384"/>
      <c r="BO64" s="384"/>
      <c r="BP64" s="384"/>
      <c r="BQ64" s="384"/>
      <c r="BR64" s="384"/>
      <c r="BS64" s="384"/>
      <c r="BT64" s="384"/>
      <c r="BU64" s="384"/>
      <c r="BV64" s="384"/>
      <c r="BW64" s="384"/>
      <c r="BX64" s="384"/>
      <c r="BY64" s="384"/>
      <c r="BZ64" s="384"/>
      <c r="CA64" s="384"/>
      <c r="CB64" s="384"/>
      <c r="CC64" s="384"/>
    </row>
    <row r="65" spans="1:81" s="68" customFormat="1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R65" s="67"/>
      <c r="U65" s="67"/>
      <c r="V65" s="67"/>
      <c r="W65" s="67"/>
      <c r="AE65" s="384"/>
      <c r="AF65" s="384"/>
      <c r="AG65" s="384"/>
      <c r="AH65" s="384"/>
      <c r="AI65" s="384"/>
      <c r="AJ65" s="384"/>
      <c r="AK65" s="384"/>
      <c r="AL65" s="384"/>
      <c r="AM65" s="384"/>
      <c r="AN65" s="384"/>
      <c r="AO65" s="384"/>
      <c r="AP65" s="384"/>
      <c r="AQ65" s="384"/>
      <c r="AR65" s="384"/>
      <c r="AS65" s="384"/>
      <c r="AT65" s="384"/>
      <c r="AU65" s="384"/>
      <c r="AV65" s="384"/>
      <c r="AW65" s="384"/>
      <c r="AX65" s="384"/>
      <c r="AY65" s="384"/>
      <c r="AZ65" s="384"/>
      <c r="BA65" s="384"/>
      <c r="BB65" s="384"/>
      <c r="BC65" s="384"/>
      <c r="BD65" s="384"/>
      <c r="BE65" s="384"/>
      <c r="BF65" s="384"/>
      <c r="BG65" s="384"/>
      <c r="BH65" s="384"/>
      <c r="BI65" s="384"/>
      <c r="BJ65" s="384"/>
      <c r="BK65" s="384"/>
      <c r="BL65" s="384"/>
      <c r="BM65" s="384"/>
      <c r="BN65" s="384"/>
      <c r="BO65" s="384"/>
      <c r="BP65" s="384"/>
      <c r="BQ65" s="384"/>
      <c r="BR65" s="384"/>
      <c r="BS65" s="384"/>
      <c r="BT65" s="384"/>
      <c r="BU65" s="384"/>
      <c r="BV65" s="384"/>
      <c r="BW65" s="384"/>
      <c r="BX65" s="384"/>
      <c r="BY65" s="384"/>
      <c r="BZ65" s="384"/>
      <c r="CA65" s="384"/>
      <c r="CB65" s="384"/>
      <c r="CC65" s="384"/>
    </row>
    <row r="66" spans="1:81" s="68" customFormat="1">
      <c r="A66" s="67" t="s">
        <v>59</v>
      </c>
      <c r="B66" s="67"/>
      <c r="C66" s="67"/>
      <c r="D66" s="67"/>
      <c r="E66" s="67"/>
      <c r="F66" s="163"/>
      <c r="G66" s="67"/>
      <c r="H66" s="67"/>
      <c r="I66" s="67"/>
      <c r="J66" s="67"/>
      <c r="K66" s="67"/>
      <c r="L66" s="67"/>
      <c r="M66" s="67"/>
      <c r="N66" s="67"/>
      <c r="O66" s="67"/>
      <c r="P66" s="67"/>
      <c r="U66" s="67"/>
      <c r="V66" s="67"/>
      <c r="W66" s="163"/>
      <c r="AE66" s="384"/>
      <c r="AF66" s="384"/>
      <c r="AG66" s="384"/>
      <c r="AH66" s="384"/>
      <c r="AI66" s="384"/>
      <c r="AJ66" s="384"/>
      <c r="AK66" s="384"/>
      <c r="AL66" s="384"/>
      <c r="AM66" s="384"/>
      <c r="AN66" s="384"/>
      <c r="AO66" s="384"/>
      <c r="AP66" s="384"/>
      <c r="AQ66" s="384"/>
      <c r="AR66" s="384"/>
      <c r="AS66" s="384"/>
      <c r="AT66" s="384"/>
      <c r="AU66" s="384"/>
      <c r="AV66" s="384"/>
      <c r="AW66" s="384"/>
      <c r="AX66" s="384"/>
      <c r="AY66" s="384"/>
      <c r="AZ66" s="384"/>
      <c r="BA66" s="384"/>
      <c r="BB66" s="384"/>
      <c r="BC66" s="384"/>
      <c r="BD66" s="384"/>
      <c r="BE66" s="384"/>
      <c r="BF66" s="384"/>
      <c r="BG66" s="384"/>
      <c r="BH66" s="384"/>
      <c r="BI66" s="384"/>
      <c r="BJ66" s="384"/>
      <c r="BK66" s="384"/>
      <c r="BL66" s="384"/>
      <c r="BM66" s="384"/>
      <c r="BN66" s="384"/>
      <c r="BO66" s="384"/>
      <c r="BP66" s="384"/>
      <c r="BQ66" s="384"/>
      <c r="BR66" s="384"/>
      <c r="BS66" s="384"/>
      <c r="BT66" s="384"/>
      <c r="BU66" s="384"/>
      <c r="BV66" s="384"/>
      <c r="BW66" s="384"/>
      <c r="BX66" s="384"/>
      <c r="BY66" s="384"/>
      <c r="BZ66" s="384"/>
      <c r="CA66" s="384"/>
      <c r="CB66" s="384"/>
      <c r="CC66" s="384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69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8">
    <pageSetUpPr fitToPage="1"/>
  </sheetPr>
  <dimension ref="A1:CC60"/>
  <sheetViews>
    <sheetView showGridLines="0" showZeros="0" zoomScaleNormal="100" zoomScaleSheetLayoutView="100" workbookViewId="0">
      <selection activeCell="L21" sqref="L21"/>
    </sheetView>
  </sheetViews>
  <sheetFormatPr baseColWidth="10" defaultRowHeight="12.75"/>
  <cols>
    <col min="1" max="1" width="10.25" style="67" customWidth="1"/>
    <col min="2" max="2" width="33.5" style="67" customWidth="1"/>
    <col min="3" max="3" width="10.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256" width="11" style="384"/>
    <col min="257" max="257" width="10.25" style="384" customWidth="1"/>
    <col min="258" max="258" width="33.5" style="384" customWidth="1"/>
    <col min="259" max="259" width="10.5" style="384" customWidth="1"/>
    <col min="260" max="260" width="10.375" style="384" customWidth="1"/>
    <col min="261" max="261" width="2.5" style="384" bestFit="1" customWidth="1"/>
    <col min="262" max="265" width="10.25" style="384" customWidth="1"/>
    <col min="266" max="266" width="12" style="384" customWidth="1"/>
    <col min="267" max="267" width="10.25" style="384" customWidth="1"/>
    <col min="268" max="268" width="9" style="384" customWidth="1"/>
    <col min="269" max="269" width="9.75" style="384" customWidth="1"/>
    <col min="270" max="270" width="8.75" style="384" customWidth="1"/>
    <col min="271" max="271" width="6.5" style="384" customWidth="1"/>
    <col min="272" max="272" width="11" style="384"/>
    <col min="273" max="273" width="5.875" style="384" customWidth="1"/>
    <col min="274" max="275" width="11" style="384"/>
    <col min="276" max="276" width="10.875" style="384" customWidth="1"/>
    <col min="277" max="277" width="9" style="384" customWidth="1"/>
    <col min="278" max="278" width="4.875" style="384" customWidth="1"/>
    <col min="279" max="279" width="10.25" style="384" customWidth="1"/>
    <col min="280" max="284" width="10.875" style="384" customWidth="1"/>
    <col min="285" max="512" width="11" style="384"/>
    <col min="513" max="513" width="10.25" style="384" customWidth="1"/>
    <col min="514" max="514" width="33.5" style="384" customWidth="1"/>
    <col min="515" max="515" width="10.5" style="384" customWidth="1"/>
    <col min="516" max="516" width="10.375" style="384" customWidth="1"/>
    <col min="517" max="517" width="2.5" style="384" bestFit="1" customWidth="1"/>
    <col min="518" max="521" width="10.25" style="384" customWidth="1"/>
    <col min="522" max="522" width="12" style="384" customWidth="1"/>
    <col min="523" max="523" width="10.25" style="384" customWidth="1"/>
    <col min="524" max="524" width="9" style="384" customWidth="1"/>
    <col min="525" max="525" width="9.75" style="384" customWidth="1"/>
    <col min="526" max="526" width="8.75" style="384" customWidth="1"/>
    <col min="527" max="527" width="6.5" style="384" customWidth="1"/>
    <col min="528" max="528" width="11" style="384"/>
    <col min="529" max="529" width="5.875" style="384" customWidth="1"/>
    <col min="530" max="531" width="11" style="384"/>
    <col min="532" max="532" width="10.875" style="384" customWidth="1"/>
    <col min="533" max="533" width="9" style="384" customWidth="1"/>
    <col min="534" max="534" width="4.875" style="384" customWidth="1"/>
    <col min="535" max="535" width="10.25" style="384" customWidth="1"/>
    <col min="536" max="540" width="10.875" style="384" customWidth="1"/>
    <col min="541" max="768" width="11" style="384"/>
    <col min="769" max="769" width="10.25" style="384" customWidth="1"/>
    <col min="770" max="770" width="33.5" style="384" customWidth="1"/>
    <col min="771" max="771" width="10.5" style="384" customWidth="1"/>
    <col min="772" max="772" width="10.375" style="384" customWidth="1"/>
    <col min="773" max="773" width="2.5" style="384" bestFit="1" customWidth="1"/>
    <col min="774" max="777" width="10.25" style="384" customWidth="1"/>
    <col min="778" max="778" width="12" style="384" customWidth="1"/>
    <col min="779" max="779" width="10.25" style="384" customWidth="1"/>
    <col min="780" max="780" width="9" style="384" customWidth="1"/>
    <col min="781" max="781" width="9.75" style="384" customWidth="1"/>
    <col min="782" max="782" width="8.75" style="384" customWidth="1"/>
    <col min="783" max="783" width="6.5" style="384" customWidth="1"/>
    <col min="784" max="784" width="11" style="384"/>
    <col min="785" max="785" width="5.875" style="384" customWidth="1"/>
    <col min="786" max="787" width="11" style="384"/>
    <col min="788" max="788" width="10.875" style="384" customWidth="1"/>
    <col min="789" max="789" width="9" style="384" customWidth="1"/>
    <col min="790" max="790" width="4.875" style="384" customWidth="1"/>
    <col min="791" max="791" width="10.25" style="384" customWidth="1"/>
    <col min="792" max="796" width="10.875" style="384" customWidth="1"/>
    <col min="797" max="1024" width="11" style="384"/>
    <col min="1025" max="1025" width="10.25" style="384" customWidth="1"/>
    <col min="1026" max="1026" width="33.5" style="384" customWidth="1"/>
    <col min="1027" max="1027" width="10.5" style="384" customWidth="1"/>
    <col min="1028" max="1028" width="10.375" style="384" customWidth="1"/>
    <col min="1029" max="1029" width="2.5" style="384" bestFit="1" customWidth="1"/>
    <col min="1030" max="1033" width="10.25" style="384" customWidth="1"/>
    <col min="1034" max="1034" width="12" style="384" customWidth="1"/>
    <col min="1035" max="1035" width="10.25" style="384" customWidth="1"/>
    <col min="1036" max="1036" width="9" style="384" customWidth="1"/>
    <col min="1037" max="1037" width="9.75" style="384" customWidth="1"/>
    <col min="1038" max="1038" width="8.75" style="384" customWidth="1"/>
    <col min="1039" max="1039" width="6.5" style="384" customWidth="1"/>
    <col min="1040" max="1040" width="11" style="384"/>
    <col min="1041" max="1041" width="5.875" style="384" customWidth="1"/>
    <col min="1042" max="1043" width="11" style="384"/>
    <col min="1044" max="1044" width="10.875" style="384" customWidth="1"/>
    <col min="1045" max="1045" width="9" style="384" customWidth="1"/>
    <col min="1046" max="1046" width="4.875" style="384" customWidth="1"/>
    <col min="1047" max="1047" width="10.25" style="384" customWidth="1"/>
    <col min="1048" max="1052" width="10.875" style="384" customWidth="1"/>
    <col min="1053" max="1280" width="11" style="384"/>
    <col min="1281" max="1281" width="10.25" style="384" customWidth="1"/>
    <col min="1282" max="1282" width="33.5" style="384" customWidth="1"/>
    <col min="1283" max="1283" width="10.5" style="384" customWidth="1"/>
    <col min="1284" max="1284" width="10.375" style="384" customWidth="1"/>
    <col min="1285" max="1285" width="2.5" style="384" bestFit="1" customWidth="1"/>
    <col min="1286" max="1289" width="10.25" style="384" customWidth="1"/>
    <col min="1290" max="1290" width="12" style="384" customWidth="1"/>
    <col min="1291" max="1291" width="10.25" style="384" customWidth="1"/>
    <col min="1292" max="1292" width="9" style="384" customWidth="1"/>
    <col min="1293" max="1293" width="9.75" style="384" customWidth="1"/>
    <col min="1294" max="1294" width="8.75" style="384" customWidth="1"/>
    <col min="1295" max="1295" width="6.5" style="384" customWidth="1"/>
    <col min="1296" max="1296" width="11" style="384"/>
    <col min="1297" max="1297" width="5.875" style="384" customWidth="1"/>
    <col min="1298" max="1299" width="11" style="384"/>
    <col min="1300" max="1300" width="10.875" style="384" customWidth="1"/>
    <col min="1301" max="1301" width="9" style="384" customWidth="1"/>
    <col min="1302" max="1302" width="4.875" style="384" customWidth="1"/>
    <col min="1303" max="1303" width="10.25" style="384" customWidth="1"/>
    <col min="1304" max="1308" width="10.875" style="384" customWidth="1"/>
    <col min="1309" max="1536" width="11" style="384"/>
    <col min="1537" max="1537" width="10.25" style="384" customWidth="1"/>
    <col min="1538" max="1538" width="33.5" style="384" customWidth="1"/>
    <col min="1539" max="1539" width="10.5" style="384" customWidth="1"/>
    <col min="1540" max="1540" width="10.375" style="384" customWidth="1"/>
    <col min="1541" max="1541" width="2.5" style="384" bestFit="1" customWidth="1"/>
    <col min="1542" max="1545" width="10.25" style="384" customWidth="1"/>
    <col min="1546" max="1546" width="12" style="384" customWidth="1"/>
    <col min="1547" max="1547" width="10.25" style="384" customWidth="1"/>
    <col min="1548" max="1548" width="9" style="384" customWidth="1"/>
    <col min="1549" max="1549" width="9.75" style="384" customWidth="1"/>
    <col min="1550" max="1550" width="8.75" style="384" customWidth="1"/>
    <col min="1551" max="1551" width="6.5" style="384" customWidth="1"/>
    <col min="1552" max="1552" width="11" style="384"/>
    <col min="1553" max="1553" width="5.875" style="384" customWidth="1"/>
    <col min="1554" max="1555" width="11" style="384"/>
    <col min="1556" max="1556" width="10.875" style="384" customWidth="1"/>
    <col min="1557" max="1557" width="9" style="384" customWidth="1"/>
    <col min="1558" max="1558" width="4.875" style="384" customWidth="1"/>
    <col min="1559" max="1559" width="10.25" style="384" customWidth="1"/>
    <col min="1560" max="1564" width="10.875" style="384" customWidth="1"/>
    <col min="1565" max="1792" width="11" style="384"/>
    <col min="1793" max="1793" width="10.25" style="384" customWidth="1"/>
    <col min="1794" max="1794" width="33.5" style="384" customWidth="1"/>
    <col min="1795" max="1795" width="10.5" style="384" customWidth="1"/>
    <col min="1796" max="1796" width="10.375" style="384" customWidth="1"/>
    <col min="1797" max="1797" width="2.5" style="384" bestFit="1" customWidth="1"/>
    <col min="1798" max="1801" width="10.25" style="384" customWidth="1"/>
    <col min="1802" max="1802" width="12" style="384" customWidth="1"/>
    <col min="1803" max="1803" width="10.25" style="384" customWidth="1"/>
    <col min="1804" max="1804" width="9" style="384" customWidth="1"/>
    <col min="1805" max="1805" width="9.75" style="384" customWidth="1"/>
    <col min="1806" max="1806" width="8.75" style="384" customWidth="1"/>
    <col min="1807" max="1807" width="6.5" style="384" customWidth="1"/>
    <col min="1808" max="1808" width="11" style="384"/>
    <col min="1809" max="1809" width="5.875" style="384" customWidth="1"/>
    <col min="1810" max="1811" width="11" style="384"/>
    <col min="1812" max="1812" width="10.875" style="384" customWidth="1"/>
    <col min="1813" max="1813" width="9" style="384" customWidth="1"/>
    <col min="1814" max="1814" width="4.875" style="384" customWidth="1"/>
    <col min="1815" max="1815" width="10.25" style="384" customWidth="1"/>
    <col min="1816" max="1820" width="10.875" style="384" customWidth="1"/>
    <col min="1821" max="2048" width="11" style="384"/>
    <col min="2049" max="2049" width="10.25" style="384" customWidth="1"/>
    <col min="2050" max="2050" width="33.5" style="384" customWidth="1"/>
    <col min="2051" max="2051" width="10.5" style="384" customWidth="1"/>
    <col min="2052" max="2052" width="10.375" style="384" customWidth="1"/>
    <col min="2053" max="2053" width="2.5" style="384" bestFit="1" customWidth="1"/>
    <col min="2054" max="2057" width="10.25" style="384" customWidth="1"/>
    <col min="2058" max="2058" width="12" style="384" customWidth="1"/>
    <col min="2059" max="2059" width="10.25" style="384" customWidth="1"/>
    <col min="2060" max="2060" width="9" style="384" customWidth="1"/>
    <col min="2061" max="2061" width="9.75" style="384" customWidth="1"/>
    <col min="2062" max="2062" width="8.75" style="384" customWidth="1"/>
    <col min="2063" max="2063" width="6.5" style="384" customWidth="1"/>
    <col min="2064" max="2064" width="11" style="384"/>
    <col min="2065" max="2065" width="5.875" style="384" customWidth="1"/>
    <col min="2066" max="2067" width="11" style="384"/>
    <col min="2068" max="2068" width="10.875" style="384" customWidth="1"/>
    <col min="2069" max="2069" width="9" style="384" customWidth="1"/>
    <col min="2070" max="2070" width="4.875" style="384" customWidth="1"/>
    <col min="2071" max="2071" width="10.25" style="384" customWidth="1"/>
    <col min="2072" max="2076" width="10.875" style="384" customWidth="1"/>
    <col min="2077" max="2304" width="11" style="384"/>
    <col min="2305" max="2305" width="10.25" style="384" customWidth="1"/>
    <col min="2306" max="2306" width="33.5" style="384" customWidth="1"/>
    <col min="2307" max="2307" width="10.5" style="384" customWidth="1"/>
    <col min="2308" max="2308" width="10.375" style="384" customWidth="1"/>
    <col min="2309" max="2309" width="2.5" style="384" bestFit="1" customWidth="1"/>
    <col min="2310" max="2313" width="10.25" style="384" customWidth="1"/>
    <col min="2314" max="2314" width="12" style="384" customWidth="1"/>
    <col min="2315" max="2315" width="10.25" style="384" customWidth="1"/>
    <col min="2316" max="2316" width="9" style="384" customWidth="1"/>
    <col min="2317" max="2317" width="9.75" style="384" customWidth="1"/>
    <col min="2318" max="2318" width="8.75" style="384" customWidth="1"/>
    <col min="2319" max="2319" width="6.5" style="384" customWidth="1"/>
    <col min="2320" max="2320" width="11" style="384"/>
    <col min="2321" max="2321" width="5.875" style="384" customWidth="1"/>
    <col min="2322" max="2323" width="11" style="384"/>
    <col min="2324" max="2324" width="10.875" style="384" customWidth="1"/>
    <col min="2325" max="2325" width="9" style="384" customWidth="1"/>
    <col min="2326" max="2326" width="4.875" style="384" customWidth="1"/>
    <col min="2327" max="2327" width="10.25" style="384" customWidth="1"/>
    <col min="2328" max="2332" width="10.875" style="384" customWidth="1"/>
    <col min="2333" max="2560" width="11" style="384"/>
    <col min="2561" max="2561" width="10.25" style="384" customWidth="1"/>
    <col min="2562" max="2562" width="33.5" style="384" customWidth="1"/>
    <col min="2563" max="2563" width="10.5" style="384" customWidth="1"/>
    <col min="2564" max="2564" width="10.375" style="384" customWidth="1"/>
    <col min="2565" max="2565" width="2.5" style="384" bestFit="1" customWidth="1"/>
    <col min="2566" max="2569" width="10.25" style="384" customWidth="1"/>
    <col min="2570" max="2570" width="12" style="384" customWidth="1"/>
    <col min="2571" max="2571" width="10.25" style="384" customWidth="1"/>
    <col min="2572" max="2572" width="9" style="384" customWidth="1"/>
    <col min="2573" max="2573" width="9.75" style="384" customWidth="1"/>
    <col min="2574" max="2574" width="8.75" style="384" customWidth="1"/>
    <col min="2575" max="2575" width="6.5" style="384" customWidth="1"/>
    <col min="2576" max="2576" width="11" style="384"/>
    <col min="2577" max="2577" width="5.875" style="384" customWidth="1"/>
    <col min="2578" max="2579" width="11" style="384"/>
    <col min="2580" max="2580" width="10.875" style="384" customWidth="1"/>
    <col min="2581" max="2581" width="9" style="384" customWidth="1"/>
    <col min="2582" max="2582" width="4.875" style="384" customWidth="1"/>
    <col min="2583" max="2583" width="10.25" style="384" customWidth="1"/>
    <col min="2584" max="2588" width="10.875" style="384" customWidth="1"/>
    <col min="2589" max="2816" width="11" style="384"/>
    <col min="2817" max="2817" width="10.25" style="384" customWidth="1"/>
    <col min="2818" max="2818" width="33.5" style="384" customWidth="1"/>
    <col min="2819" max="2819" width="10.5" style="384" customWidth="1"/>
    <col min="2820" max="2820" width="10.375" style="384" customWidth="1"/>
    <col min="2821" max="2821" width="2.5" style="384" bestFit="1" customWidth="1"/>
    <col min="2822" max="2825" width="10.25" style="384" customWidth="1"/>
    <col min="2826" max="2826" width="12" style="384" customWidth="1"/>
    <col min="2827" max="2827" width="10.25" style="384" customWidth="1"/>
    <col min="2828" max="2828" width="9" style="384" customWidth="1"/>
    <col min="2829" max="2829" width="9.75" style="384" customWidth="1"/>
    <col min="2830" max="2830" width="8.75" style="384" customWidth="1"/>
    <col min="2831" max="2831" width="6.5" style="384" customWidth="1"/>
    <col min="2832" max="2832" width="11" style="384"/>
    <col min="2833" max="2833" width="5.875" style="384" customWidth="1"/>
    <col min="2834" max="2835" width="11" style="384"/>
    <col min="2836" max="2836" width="10.875" style="384" customWidth="1"/>
    <col min="2837" max="2837" width="9" style="384" customWidth="1"/>
    <col min="2838" max="2838" width="4.875" style="384" customWidth="1"/>
    <col min="2839" max="2839" width="10.25" style="384" customWidth="1"/>
    <col min="2840" max="2844" width="10.875" style="384" customWidth="1"/>
    <col min="2845" max="3072" width="11" style="384"/>
    <col min="3073" max="3073" width="10.25" style="384" customWidth="1"/>
    <col min="3074" max="3074" width="33.5" style="384" customWidth="1"/>
    <col min="3075" max="3075" width="10.5" style="384" customWidth="1"/>
    <col min="3076" max="3076" width="10.375" style="384" customWidth="1"/>
    <col min="3077" max="3077" width="2.5" style="384" bestFit="1" customWidth="1"/>
    <col min="3078" max="3081" width="10.25" style="384" customWidth="1"/>
    <col min="3082" max="3082" width="12" style="384" customWidth="1"/>
    <col min="3083" max="3083" width="10.25" style="384" customWidth="1"/>
    <col min="3084" max="3084" width="9" style="384" customWidth="1"/>
    <col min="3085" max="3085" width="9.75" style="384" customWidth="1"/>
    <col min="3086" max="3086" width="8.75" style="384" customWidth="1"/>
    <col min="3087" max="3087" width="6.5" style="384" customWidth="1"/>
    <col min="3088" max="3088" width="11" style="384"/>
    <col min="3089" max="3089" width="5.875" style="384" customWidth="1"/>
    <col min="3090" max="3091" width="11" style="384"/>
    <col min="3092" max="3092" width="10.875" style="384" customWidth="1"/>
    <col min="3093" max="3093" width="9" style="384" customWidth="1"/>
    <col min="3094" max="3094" width="4.875" style="384" customWidth="1"/>
    <col min="3095" max="3095" width="10.25" style="384" customWidth="1"/>
    <col min="3096" max="3100" width="10.875" style="384" customWidth="1"/>
    <col min="3101" max="3328" width="11" style="384"/>
    <col min="3329" max="3329" width="10.25" style="384" customWidth="1"/>
    <col min="3330" max="3330" width="33.5" style="384" customWidth="1"/>
    <col min="3331" max="3331" width="10.5" style="384" customWidth="1"/>
    <col min="3332" max="3332" width="10.375" style="384" customWidth="1"/>
    <col min="3333" max="3333" width="2.5" style="384" bestFit="1" customWidth="1"/>
    <col min="3334" max="3337" width="10.25" style="384" customWidth="1"/>
    <col min="3338" max="3338" width="12" style="384" customWidth="1"/>
    <col min="3339" max="3339" width="10.25" style="384" customWidth="1"/>
    <col min="3340" max="3340" width="9" style="384" customWidth="1"/>
    <col min="3341" max="3341" width="9.75" style="384" customWidth="1"/>
    <col min="3342" max="3342" width="8.75" style="384" customWidth="1"/>
    <col min="3343" max="3343" width="6.5" style="384" customWidth="1"/>
    <col min="3344" max="3344" width="11" style="384"/>
    <col min="3345" max="3345" width="5.875" style="384" customWidth="1"/>
    <col min="3346" max="3347" width="11" style="384"/>
    <col min="3348" max="3348" width="10.875" style="384" customWidth="1"/>
    <col min="3349" max="3349" width="9" style="384" customWidth="1"/>
    <col min="3350" max="3350" width="4.875" style="384" customWidth="1"/>
    <col min="3351" max="3351" width="10.25" style="384" customWidth="1"/>
    <col min="3352" max="3356" width="10.875" style="384" customWidth="1"/>
    <col min="3357" max="3584" width="11" style="384"/>
    <col min="3585" max="3585" width="10.25" style="384" customWidth="1"/>
    <col min="3586" max="3586" width="33.5" style="384" customWidth="1"/>
    <col min="3587" max="3587" width="10.5" style="384" customWidth="1"/>
    <col min="3588" max="3588" width="10.375" style="384" customWidth="1"/>
    <col min="3589" max="3589" width="2.5" style="384" bestFit="1" customWidth="1"/>
    <col min="3590" max="3593" width="10.25" style="384" customWidth="1"/>
    <col min="3594" max="3594" width="12" style="384" customWidth="1"/>
    <col min="3595" max="3595" width="10.25" style="384" customWidth="1"/>
    <col min="3596" max="3596" width="9" style="384" customWidth="1"/>
    <col min="3597" max="3597" width="9.75" style="384" customWidth="1"/>
    <col min="3598" max="3598" width="8.75" style="384" customWidth="1"/>
    <col min="3599" max="3599" width="6.5" style="384" customWidth="1"/>
    <col min="3600" max="3600" width="11" style="384"/>
    <col min="3601" max="3601" width="5.875" style="384" customWidth="1"/>
    <col min="3602" max="3603" width="11" style="384"/>
    <col min="3604" max="3604" width="10.875" style="384" customWidth="1"/>
    <col min="3605" max="3605" width="9" style="384" customWidth="1"/>
    <col min="3606" max="3606" width="4.875" style="384" customWidth="1"/>
    <col min="3607" max="3607" width="10.25" style="384" customWidth="1"/>
    <col min="3608" max="3612" width="10.875" style="384" customWidth="1"/>
    <col min="3613" max="3840" width="11" style="384"/>
    <col min="3841" max="3841" width="10.25" style="384" customWidth="1"/>
    <col min="3842" max="3842" width="33.5" style="384" customWidth="1"/>
    <col min="3843" max="3843" width="10.5" style="384" customWidth="1"/>
    <col min="3844" max="3844" width="10.375" style="384" customWidth="1"/>
    <col min="3845" max="3845" width="2.5" style="384" bestFit="1" customWidth="1"/>
    <col min="3846" max="3849" width="10.25" style="384" customWidth="1"/>
    <col min="3850" max="3850" width="12" style="384" customWidth="1"/>
    <col min="3851" max="3851" width="10.25" style="384" customWidth="1"/>
    <col min="3852" max="3852" width="9" style="384" customWidth="1"/>
    <col min="3853" max="3853" width="9.75" style="384" customWidth="1"/>
    <col min="3854" max="3854" width="8.75" style="384" customWidth="1"/>
    <col min="3855" max="3855" width="6.5" style="384" customWidth="1"/>
    <col min="3856" max="3856" width="11" style="384"/>
    <col min="3857" max="3857" width="5.875" style="384" customWidth="1"/>
    <col min="3858" max="3859" width="11" style="384"/>
    <col min="3860" max="3860" width="10.875" style="384" customWidth="1"/>
    <col min="3861" max="3861" width="9" style="384" customWidth="1"/>
    <col min="3862" max="3862" width="4.875" style="384" customWidth="1"/>
    <col min="3863" max="3863" width="10.25" style="384" customWidth="1"/>
    <col min="3864" max="3868" width="10.875" style="384" customWidth="1"/>
    <col min="3869" max="4096" width="11" style="384"/>
    <col min="4097" max="4097" width="10.25" style="384" customWidth="1"/>
    <col min="4098" max="4098" width="33.5" style="384" customWidth="1"/>
    <col min="4099" max="4099" width="10.5" style="384" customWidth="1"/>
    <col min="4100" max="4100" width="10.375" style="384" customWidth="1"/>
    <col min="4101" max="4101" width="2.5" style="384" bestFit="1" customWidth="1"/>
    <col min="4102" max="4105" width="10.25" style="384" customWidth="1"/>
    <col min="4106" max="4106" width="12" style="384" customWidth="1"/>
    <col min="4107" max="4107" width="10.25" style="384" customWidth="1"/>
    <col min="4108" max="4108" width="9" style="384" customWidth="1"/>
    <col min="4109" max="4109" width="9.75" style="384" customWidth="1"/>
    <col min="4110" max="4110" width="8.75" style="384" customWidth="1"/>
    <col min="4111" max="4111" width="6.5" style="384" customWidth="1"/>
    <col min="4112" max="4112" width="11" style="384"/>
    <col min="4113" max="4113" width="5.875" style="384" customWidth="1"/>
    <col min="4114" max="4115" width="11" style="384"/>
    <col min="4116" max="4116" width="10.875" style="384" customWidth="1"/>
    <col min="4117" max="4117" width="9" style="384" customWidth="1"/>
    <col min="4118" max="4118" width="4.875" style="384" customWidth="1"/>
    <col min="4119" max="4119" width="10.25" style="384" customWidth="1"/>
    <col min="4120" max="4124" width="10.875" style="384" customWidth="1"/>
    <col min="4125" max="4352" width="11" style="384"/>
    <col min="4353" max="4353" width="10.25" style="384" customWidth="1"/>
    <col min="4354" max="4354" width="33.5" style="384" customWidth="1"/>
    <col min="4355" max="4355" width="10.5" style="384" customWidth="1"/>
    <col min="4356" max="4356" width="10.375" style="384" customWidth="1"/>
    <col min="4357" max="4357" width="2.5" style="384" bestFit="1" customWidth="1"/>
    <col min="4358" max="4361" width="10.25" style="384" customWidth="1"/>
    <col min="4362" max="4362" width="12" style="384" customWidth="1"/>
    <col min="4363" max="4363" width="10.25" style="384" customWidth="1"/>
    <col min="4364" max="4364" width="9" style="384" customWidth="1"/>
    <col min="4365" max="4365" width="9.75" style="384" customWidth="1"/>
    <col min="4366" max="4366" width="8.75" style="384" customWidth="1"/>
    <col min="4367" max="4367" width="6.5" style="384" customWidth="1"/>
    <col min="4368" max="4368" width="11" style="384"/>
    <col min="4369" max="4369" width="5.875" style="384" customWidth="1"/>
    <col min="4370" max="4371" width="11" style="384"/>
    <col min="4372" max="4372" width="10.875" style="384" customWidth="1"/>
    <col min="4373" max="4373" width="9" style="384" customWidth="1"/>
    <col min="4374" max="4374" width="4.875" style="384" customWidth="1"/>
    <col min="4375" max="4375" width="10.25" style="384" customWidth="1"/>
    <col min="4376" max="4380" width="10.875" style="384" customWidth="1"/>
    <col min="4381" max="4608" width="11" style="384"/>
    <col min="4609" max="4609" width="10.25" style="384" customWidth="1"/>
    <col min="4610" max="4610" width="33.5" style="384" customWidth="1"/>
    <col min="4611" max="4611" width="10.5" style="384" customWidth="1"/>
    <col min="4612" max="4612" width="10.375" style="384" customWidth="1"/>
    <col min="4613" max="4613" width="2.5" style="384" bestFit="1" customWidth="1"/>
    <col min="4614" max="4617" width="10.25" style="384" customWidth="1"/>
    <col min="4618" max="4618" width="12" style="384" customWidth="1"/>
    <col min="4619" max="4619" width="10.25" style="384" customWidth="1"/>
    <col min="4620" max="4620" width="9" style="384" customWidth="1"/>
    <col min="4621" max="4621" width="9.75" style="384" customWidth="1"/>
    <col min="4622" max="4622" width="8.75" style="384" customWidth="1"/>
    <col min="4623" max="4623" width="6.5" style="384" customWidth="1"/>
    <col min="4624" max="4624" width="11" style="384"/>
    <col min="4625" max="4625" width="5.875" style="384" customWidth="1"/>
    <col min="4626" max="4627" width="11" style="384"/>
    <col min="4628" max="4628" width="10.875" style="384" customWidth="1"/>
    <col min="4629" max="4629" width="9" style="384" customWidth="1"/>
    <col min="4630" max="4630" width="4.875" style="384" customWidth="1"/>
    <col min="4631" max="4631" width="10.25" style="384" customWidth="1"/>
    <col min="4632" max="4636" width="10.875" style="384" customWidth="1"/>
    <col min="4637" max="4864" width="11" style="384"/>
    <col min="4865" max="4865" width="10.25" style="384" customWidth="1"/>
    <col min="4866" max="4866" width="33.5" style="384" customWidth="1"/>
    <col min="4867" max="4867" width="10.5" style="384" customWidth="1"/>
    <col min="4868" max="4868" width="10.375" style="384" customWidth="1"/>
    <col min="4869" max="4869" width="2.5" style="384" bestFit="1" customWidth="1"/>
    <col min="4870" max="4873" width="10.25" style="384" customWidth="1"/>
    <col min="4874" max="4874" width="12" style="384" customWidth="1"/>
    <col min="4875" max="4875" width="10.25" style="384" customWidth="1"/>
    <col min="4876" max="4876" width="9" style="384" customWidth="1"/>
    <col min="4877" max="4877" width="9.75" style="384" customWidth="1"/>
    <col min="4878" max="4878" width="8.75" style="384" customWidth="1"/>
    <col min="4879" max="4879" width="6.5" style="384" customWidth="1"/>
    <col min="4880" max="4880" width="11" style="384"/>
    <col min="4881" max="4881" width="5.875" style="384" customWidth="1"/>
    <col min="4882" max="4883" width="11" style="384"/>
    <col min="4884" max="4884" width="10.875" style="384" customWidth="1"/>
    <col min="4885" max="4885" width="9" style="384" customWidth="1"/>
    <col min="4886" max="4886" width="4.875" style="384" customWidth="1"/>
    <col min="4887" max="4887" width="10.25" style="384" customWidth="1"/>
    <col min="4888" max="4892" width="10.875" style="384" customWidth="1"/>
    <col min="4893" max="5120" width="11" style="384"/>
    <col min="5121" max="5121" width="10.25" style="384" customWidth="1"/>
    <col min="5122" max="5122" width="33.5" style="384" customWidth="1"/>
    <col min="5123" max="5123" width="10.5" style="384" customWidth="1"/>
    <col min="5124" max="5124" width="10.375" style="384" customWidth="1"/>
    <col min="5125" max="5125" width="2.5" style="384" bestFit="1" customWidth="1"/>
    <col min="5126" max="5129" width="10.25" style="384" customWidth="1"/>
    <col min="5130" max="5130" width="12" style="384" customWidth="1"/>
    <col min="5131" max="5131" width="10.25" style="384" customWidth="1"/>
    <col min="5132" max="5132" width="9" style="384" customWidth="1"/>
    <col min="5133" max="5133" width="9.75" style="384" customWidth="1"/>
    <col min="5134" max="5134" width="8.75" style="384" customWidth="1"/>
    <col min="5135" max="5135" width="6.5" style="384" customWidth="1"/>
    <col min="5136" max="5136" width="11" style="384"/>
    <col min="5137" max="5137" width="5.875" style="384" customWidth="1"/>
    <col min="5138" max="5139" width="11" style="384"/>
    <col min="5140" max="5140" width="10.875" style="384" customWidth="1"/>
    <col min="5141" max="5141" width="9" style="384" customWidth="1"/>
    <col min="5142" max="5142" width="4.875" style="384" customWidth="1"/>
    <col min="5143" max="5143" width="10.25" style="384" customWidth="1"/>
    <col min="5144" max="5148" width="10.875" style="384" customWidth="1"/>
    <col min="5149" max="5376" width="11" style="384"/>
    <col min="5377" max="5377" width="10.25" style="384" customWidth="1"/>
    <col min="5378" max="5378" width="33.5" style="384" customWidth="1"/>
    <col min="5379" max="5379" width="10.5" style="384" customWidth="1"/>
    <col min="5380" max="5380" width="10.375" style="384" customWidth="1"/>
    <col min="5381" max="5381" width="2.5" style="384" bestFit="1" customWidth="1"/>
    <col min="5382" max="5385" width="10.25" style="384" customWidth="1"/>
    <col min="5386" max="5386" width="12" style="384" customWidth="1"/>
    <col min="5387" max="5387" width="10.25" style="384" customWidth="1"/>
    <col min="5388" max="5388" width="9" style="384" customWidth="1"/>
    <col min="5389" max="5389" width="9.75" style="384" customWidth="1"/>
    <col min="5390" max="5390" width="8.75" style="384" customWidth="1"/>
    <col min="5391" max="5391" width="6.5" style="384" customWidth="1"/>
    <col min="5392" max="5392" width="11" style="384"/>
    <col min="5393" max="5393" width="5.875" style="384" customWidth="1"/>
    <col min="5394" max="5395" width="11" style="384"/>
    <col min="5396" max="5396" width="10.875" style="384" customWidth="1"/>
    <col min="5397" max="5397" width="9" style="384" customWidth="1"/>
    <col min="5398" max="5398" width="4.875" style="384" customWidth="1"/>
    <col min="5399" max="5399" width="10.25" style="384" customWidth="1"/>
    <col min="5400" max="5404" width="10.875" style="384" customWidth="1"/>
    <col min="5405" max="5632" width="11" style="384"/>
    <col min="5633" max="5633" width="10.25" style="384" customWidth="1"/>
    <col min="5634" max="5634" width="33.5" style="384" customWidth="1"/>
    <col min="5635" max="5635" width="10.5" style="384" customWidth="1"/>
    <col min="5636" max="5636" width="10.375" style="384" customWidth="1"/>
    <col min="5637" max="5637" width="2.5" style="384" bestFit="1" customWidth="1"/>
    <col min="5638" max="5641" width="10.25" style="384" customWidth="1"/>
    <col min="5642" max="5642" width="12" style="384" customWidth="1"/>
    <col min="5643" max="5643" width="10.25" style="384" customWidth="1"/>
    <col min="5644" max="5644" width="9" style="384" customWidth="1"/>
    <col min="5645" max="5645" width="9.75" style="384" customWidth="1"/>
    <col min="5646" max="5646" width="8.75" style="384" customWidth="1"/>
    <col min="5647" max="5647" width="6.5" style="384" customWidth="1"/>
    <col min="5648" max="5648" width="11" style="384"/>
    <col min="5649" max="5649" width="5.875" style="384" customWidth="1"/>
    <col min="5650" max="5651" width="11" style="384"/>
    <col min="5652" max="5652" width="10.875" style="384" customWidth="1"/>
    <col min="5653" max="5653" width="9" style="384" customWidth="1"/>
    <col min="5654" max="5654" width="4.875" style="384" customWidth="1"/>
    <col min="5655" max="5655" width="10.25" style="384" customWidth="1"/>
    <col min="5656" max="5660" width="10.875" style="384" customWidth="1"/>
    <col min="5661" max="5888" width="11" style="384"/>
    <col min="5889" max="5889" width="10.25" style="384" customWidth="1"/>
    <col min="5890" max="5890" width="33.5" style="384" customWidth="1"/>
    <col min="5891" max="5891" width="10.5" style="384" customWidth="1"/>
    <col min="5892" max="5892" width="10.375" style="384" customWidth="1"/>
    <col min="5893" max="5893" width="2.5" style="384" bestFit="1" customWidth="1"/>
    <col min="5894" max="5897" width="10.25" style="384" customWidth="1"/>
    <col min="5898" max="5898" width="12" style="384" customWidth="1"/>
    <col min="5899" max="5899" width="10.25" style="384" customWidth="1"/>
    <col min="5900" max="5900" width="9" style="384" customWidth="1"/>
    <col min="5901" max="5901" width="9.75" style="384" customWidth="1"/>
    <col min="5902" max="5902" width="8.75" style="384" customWidth="1"/>
    <col min="5903" max="5903" width="6.5" style="384" customWidth="1"/>
    <col min="5904" max="5904" width="11" style="384"/>
    <col min="5905" max="5905" width="5.875" style="384" customWidth="1"/>
    <col min="5906" max="5907" width="11" style="384"/>
    <col min="5908" max="5908" width="10.875" style="384" customWidth="1"/>
    <col min="5909" max="5909" width="9" style="384" customWidth="1"/>
    <col min="5910" max="5910" width="4.875" style="384" customWidth="1"/>
    <col min="5911" max="5911" width="10.25" style="384" customWidth="1"/>
    <col min="5912" max="5916" width="10.875" style="384" customWidth="1"/>
    <col min="5917" max="6144" width="11" style="384"/>
    <col min="6145" max="6145" width="10.25" style="384" customWidth="1"/>
    <col min="6146" max="6146" width="33.5" style="384" customWidth="1"/>
    <col min="6147" max="6147" width="10.5" style="384" customWidth="1"/>
    <col min="6148" max="6148" width="10.375" style="384" customWidth="1"/>
    <col min="6149" max="6149" width="2.5" style="384" bestFit="1" customWidth="1"/>
    <col min="6150" max="6153" width="10.25" style="384" customWidth="1"/>
    <col min="6154" max="6154" width="12" style="384" customWidth="1"/>
    <col min="6155" max="6155" width="10.25" style="384" customWidth="1"/>
    <col min="6156" max="6156" width="9" style="384" customWidth="1"/>
    <col min="6157" max="6157" width="9.75" style="384" customWidth="1"/>
    <col min="6158" max="6158" width="8.75" style="384" customWidth="1"/>
    <col min="6159" max="6159" width="6.5" style="384" customWidth="1"/>
    <col min="6160" max="6160" width="11" style="384"/>
    <col min="6161" max="6161" width="5.875" style="384" customWidth="1"/>
    <col min="6162" max="6163" width="11" style="384"/>
    <col min="6164" max="6164" width="10.875" style="384" customWidth="1"/>
    <col min="6165" max="6165" width="9" style="384" customWidth="1"/>
    <col min="6166" max="6166" width="4.875" style="384" customWidth="1"/>
    <col min="6167" max="6167" width="10.25" style="384" customWidth="1"/>
    <col min="6168" max="6172" width="10.875" style="384" customWidth="1"/>
    <col min="6173" max="6400" width="11" style="384"/>
    <col min="6401" max="6401" width="10.25" style="384" customWidth="1"/>
    <col min="6402" max="6402" width="33.5" style="384" customWidth="1"/>
    <col min="6403" max="6403" width="10.5" style="384" customWidth="1"/>
    <col min="6404" max="6404" width="10.375" style="384" customWidth="1"/>
    <col min="6405" max="6405" width="2.5" style="384" bestFit="1" customWidth="1"/>
    <col min="6406" max="6409" width="10.25" style="384" customWidth="1"/>
    <col min="6410" max="6410" width="12" style="384" customWidth="1"/>
    <col min="6411" max="6411" width="10.25" style="384" customWidth="1"/>
    <col min="6412" max="6412" width="9" style="384" customWidth="1"/>
    <col min="6413" max="6413" width="9.75" style="384" customWidth="1"/>
    <col min="6414" max="6414" width="8.75" style="384" customWidth="1"/>
    <col min="6415" max="6415" width="6.5" style="384" customWidth="1"/>
    <col min="6416" max="6416" width="11" style="384"/>
    <col min="6417" max="6417" width="5.875" style="384" customWidth="1"/>
    <col min="6418" max="6419" width="11" style="384"/>
    <col min="6420" max="6420" width="10.875" style="384" customWidth="1"/>
    <col min="6421" max="6421" width="9" style="384" customWidth="1"/>
    <col min="6422" max="6422" width="4.875" style="384" customWidth="1"/>
    <col min="6423" max="6423" width="10.25" style="384" customWidth="1"/>
    <col min="6424" max="6428" width="10.875" style="384" customWidth="1"/>
    <col min="6429" max="6656" width="11" style="384"/>
    <col min="6657" max="6657" width="10.25" style="384" customWidth="1"/>
    <col min="6658" max="6658" width="33.5" style="384" customWidth="1"/>
    <col min="6659" max="6659" width="10.5" style="384" customWidth="1"/>
    <col min="6660" max="6660" width="10.375" style="384" customWidth="1"/>
    <col min="6661" max="6661" width="2.5" style="384" bestFit="1" customWidth="1"/>
    <col min="6662" max="6665" width="10.25" style="384" customWidth="1"/>
    <col min="6666" max="6666" width="12" style="384" customWidth="1"/>
    <col min="6667" max="6667" width="10.25" style="384" customWidth="1"/>
    <col min="6668" max="6668" width="9" style="384" customWidth="1"/>
    <col min="6669" max="6669" width="9.75" style="384" customWidth="1"/>
    <col min="6670" max="6670" width="8.75" style="384" customWidth="1"/>
    <col min="6671" max="6671" width="6.5" style="384" customWidth="1"/>
    <col min="6672" max="6672" width="11" style="384"/>
    <col min="6673" max="6673" width="5.875" style="384" customWidth="1"/>
    <col min="6674" max="6675" width="11" style="384"/>
    <col min="6676" max="6676" width="10.875" style="384" customWidth="1"/>
    <col min="6677" max="6677" width="9" style="384" customWidth="1"/>
    <col min="6678" max="6678" width="4.875" style="384" customWidth="1"/>
    <col min="6679" max="6679" width="10.25" style="384" customWidth="1"/>
    <col min="6680" max="6684" width="10.875" style="384" customWidth="1"/>
    <col min="6685" max="6912" width="11" style="384"/>
    <col min="6913" max="6913" width="10.25" style="384" customWidth="1"/>
    <col min="6914" max="6914" width="33.5" style="384" customWidth="1"/>
    <col min="6915" max="6915" width="10.5" style="384" customWidth="1"/>
    <col min="6916" max="6916" width="10.375" style="384" customWidth="1"/>
    <col min="6917" max="6917" width="2.5" style="384" bestFit="1" customWidth="1"/>
    <col min="6918" max="6921" width="10.25" style="384" customWidth="1"/>
    <col min="6922" max="6922" width="12" style="384" customWidth="1"/>
    <col min="6923" max="6923" width="10.25" style="384" customWidth="1"/>
    <col min="6924" max="6924" width="9" style="384" customWidth="1"/>
    <col min="6925" max="6925" width="9.75" style="384" customWidth="1"/>
    <col min="6926" max="6926" width="8.75" style="384" customWidth="1"/>
    <col min="6927" max="6927" width="6.5" style="384" customWidth="1"/>
    <col min="6928" max="6928" width="11" style="384"/>
    <col min="6929" max="6929" width="5.875" style="384" customWidth="1"/>
    <col min="6930" max="6931" width="11" style="384"/>
    <col min="6932" max="6932" width="10.875" style="384" customWidth="1"/>
    <col min="6933" max="6933" width="9" style="384" customWidth="1"/>
    <col min="6934" max="6934" width="4.875" style="384" customWidth="1"/>
    <col min="6935" max="6935" width="10.25" style="384" customWidth="1"/>
    <col min="6936" max="6940" width="10.875" style="384" customWidth="1"/>
    <col min="6941" max="7168" width="11" style="384"/>
    <col min="7169" max="7169" width="10.25" style="384" customWidth="1"/>
    <col min="7170" max="7170" width="33.5" style="384" customWidth="1"/>
    <col min="7171" max="7171" width="10.5" style="384" customWidth="1"/>
    <col min="7172" max="7172" width="10.375" style="384" customWidth="1"/>
    <col min="7173" max="7173" width="2.5" style="384" bestFit="1" customWidth="1"/>
    <col min="7174" max="7177" width="10.25" style="384" customWidth="1"/>
    <col min="7178" max="7178" width="12" style="384" customWidth="1"/>
    <col min="7179" max="7179" width="10.25" style="384" customWidth="1"/>
    <col min="7180" max="7180" width="9" style="384" customWidth="1"/>
    <col min="7181" max="7181" width="9.75" style="384" customWidth="1"/>
    <col min="7182" max="7182" width="8.75" style="384" customWidth="1"/>
    <col min="7183" max="7183" width="6.5" style="384" customWidth="1"/>
    <col min="7184" max="7184" width="11" style="384"/>
    <col min="7185" max="7185" width="5.875" style="384" customWidth="1"/>
    <col min="7186" max="7187" width="11" style="384"/>
    <col min="7188" max="7188" width="10.875" style="384" customWidth="1"/>
    <col min="7189" max="7189" width="9" style="384" customWidth="1"/>
    <col min="7190" max="7190" width="4.875" style="384" customWidth="1"/>
    <col min="7191" max="7191" width="10.25" style="384" customWidth="1"/>
    <col min="7192" max="7196" width="10.875" style="384" customWidth="1"/>
    <col min="7197" max="7424" width="11" style="384"/>
    <col min="7425" max="7425" width="10.25" style="384" customWidth="1"/>
    <col min="7426" max="7426" width="33.5" style="384" customWidth="1"/>
    <col min="7427" max="7427" width="10.5" style="384" customWidth="1"/>
    <col min="7428" max="7428" width="10.375" style="384" customWidth="1"/>
    <col min="7429" max="7429" width="2.5" style="384" bestFit="1" customWidth="1"/>
    <col min="7430" max="7433" width="10.25" style="384" customWidth="1"/>
    <col min="7434" max="7434" width="12" style="384" customWidth="1"/>
    <col min="7435" max="7435" width="10.25" style="384" customWidth="1"/>
    <col min="7436" max="7436" width="9" style="384" customWidth="1"/>
    <col min="7437" max="7437" width="9.75" style="384" customWidth="1"/>
    <col min="7438" max="7438" width="8.75" style="384" customWidth="1"/>
    <col min="7439" max="7439" width="6.5" style="384" customWidth="1"/>
    <col min="7440" max="7440" width="11" style="384"/>
    <col min="7441" max="7441" width="5.875" style="384" customWidth="1"/>
    <col min="7442" max="7443" width="11" style="384"/>
    <col min="7444" max="7444" width="10.875" style="384" customWidth="1"/>
    <col min="7445" max="7445" width="9" style="384" customWidth="1"/>
    <col min="7446" max="7446" width="4.875" style="384" customWidth="1"/>
    <col min="7447" max="7447" width="10.25" style="384" customWidth="1"/>
    <col min="7448" max="7452" width="10.875" style="384" customWidth="1"/>
    <col min="7453" max="7680" width="11" style="384"/>
    <col min="7681" max="7681" width="10.25" style="384" customWidth="1"/>
    <col min="7682" max="7682" width="33.5" style="384" customWidth="1"/>
    <col min="7683" max="7683" width="10.5" style="384" customWidth="1"/>
    <col min="7684" max="7684" width="10.375" style="384" customWidth="1"/>
    <col min="7685" max="7685" width="2.5" style="384" bestFit="1" customWidth="1"/>
    <col min="7686" max="7689" width="10.25" style="384" customWidth="1"/>
    <col min="7690" max="7690" width="12" style="384" customWidth="1"/>
    <col min="7691" max="7691" width="10.25" style="384" customWidth="1"/>
    <col min="7692" max="7692" width="9" style="384" customWidth="1"/>
    <col min="7693" max="7693" width="9.75" style="384" customWidth="1"/>
    <col min="7694" max="7694" width="8.75" style="384" customWidth="1"/>
    <col min="7695" max="7695" width="6.5" style="384" customWidth="1"/>
    <col min="7696" max="7696" width="11" style="384"/>
    <col min="7697" max="7697" width="5.875" style="384" customWidth="1"/>
    <col min="7698" max="7699" width="11" style="384"/>
    <col min="7700" max="7700" width="10.875" style="384" customWidth="1"/>
    <col min="7701" max="7701" width="9" style="384" customWidth="1"/>
    <col min="7702" max="7702" width="4.875" style="384" customWidth="1"/>
    <col min="7703" max="7703" width="10.25" style="384" customWidth="1"/>
    <col min="7704" max="7708" width="10.875" style="384" customWidth="1"/>
    <col min="7709" max="7936" width="11" style="384"/>
    <col min="7937" max="7937" width="10.25" style="384" customWidth="1"/>
    <col min="7938" max="7938" width="33.5" style="384" customWidth="1"/>
    <col min="7939" max="7939" width="10.5" style="384" customWidth="1"/>
    <col min="7940" max="7940" width="10.375" style="384" customWidth="1"/>
    <col min="7941" max="7941" width="2.5" style="384" bestFit="1" customWidth="1"/>
    <col min="7942" max="7945" width="10.25" style="384" customWidth="1"/>
    <col min="7946" max="7946" width="12" style="384" customWidth="1"/>
    <col min="7947" max="7947" width="10.25" style="384" customWidth="1"/>
    <col min="7948" max="7948" width="9" style="384" customWidth="1"/>
    <col min="7949" max="7949" width="9.75" style="384" customWidth="1"/>
    <col min="7950" max="7950" width="8.75" style="384" customWidth="1"/>
    <col min="7951" max="7951" width="6.5" style="384" customWidth="1"/>
    <col min="7952" max="7952" width="11" style="384"/>
    <col min="7953" max="7953" width="5.875" style="384" customWidth="1"/>
    <col min="7954" max="7955" width="11" style="384"/>
    <col min="7956" max="7956" width="10.875" style="384" customWidth="1"/>
    <col min="7957" max="7957" width="9" style="384" customWidth="1"/>
    <col min="7958" max="7958" width="4.875" style="384" customWidth="1"/>
    <col min="7959" max="7959" width="10.25" style="384" customWidth="1"/>
    <col min="7960" max="7964" width="10.875" style="384" customWidth="1"/>
    <col min="7965" max="8192" width="11" style="384"/>
    <col min="8193" max="8193" width="10.25" style="384" customWidth="1"/>
    <col min="8194" max="8194" width="33.5" style="384" customWidth="1"/>
    <col min="8195" max="8195" width="10.5" style="384" customWidth="1"/>
    <col min="8196" max="8196" width="10.375" style="384" customWidth="1"/>
    <col min="8197" max="8197" width="2.5" style="384" bestFit="1" customWidth="1"/>
    <col min="8198" max="8201" width="10.25" style="384" customWidth="1"/>
    <col min="8202" max="8202" width="12" style="384" customWidth="1"/>
    <col min="8203" max="8203" width="10.25" style="384" customWidth="1"/>
    <col min="8204" max="8204" width="9" style="384" customWidth="1"/>
    <col min="8205" max="8205" width="9.75" style="384" customWidth="1"/>
    <col min="8206" max="8206" width="8.75" style="384" customWidth="1"/>
    <col min="8207" max="8207" width="6.5" style="384" customWidth="1"/>
    <col min="8208" max="8208" width="11" style="384"/>
    <col min="8209" max="8209" width="5.875" style="384" customWidth="1"/>
    <col min="8210" max="8211" width="11" style="384"/>
    <col min="8212" max="8212" width="10.875" style="384" customWidth="1"/>
    <col min="8213" max="8213" width="9" style="384" customWidth="1"/>
    <col min="8214" max="8214" width="4.875" style="384" customWidth="1"/>
    <col min="8215" max="8215" width="10.25" style="384" customWidth="1"/>
    <col min="8216" max="8220" width="10.875" style="384" customWidth="1"/>
    <col min="8221" max="8448" width="11" style="384"/>
    <col min="8449" max="8449" width="10.25" style="384" customWidth="1"/>
    <col min="8450" max="8450" width="33.5" style="384" customWidth="1"/>
    <col min="8451" max="8451" width="10.5" style="384" customWidth="1"/>
    <col min="8452" max="8452" width="10.375" style="384" customWidth="1"/>
    <col min="8453" max="8453" width="2.5" style="384" bestFit="1" customWidth="1"/>
    <col min="8454" max="8457" width="10.25" style="384" customWidth="1"/>
    <col min="8458" max="8458" width="12" style="384" customWidth="1"/>
    <col min="8459" max="8459" width="10.25" style="384" customWidth="1"/>
    <col min="8460" max="8460" width="9" style="384" customWidth="1"/>
    <col min="8461" max="8461" width="9.75" style="384" customWidth="1"/>
    <col min="8462" max="8462" width="8.75" style="384" customWidth="1"/>
    <col min="8463" max="8463" width="6.5" style="384" customWidth="1"/>
    <col min="8464" max="8464" width="11" style="384"/>
    <col min="8465" max="8465" width="5.875" style="384" customWidth="1"/>
    <col min="8466" max="8467" width="11" style="384"/>
    <col min="8468" max="8468" width="10.875" style="384" customWidth="1"/>
    <col min="8469" max="8469" width="9" style="384" customWidth="1"/>
    <col min="8470" max="8470" width="4.875" style="384" customWidth="1"/>
    <col min="8471" max="8471" width="10.25" style="384" customWidth="1"/>
    <col min="8472" max="8476" width="10.875" style="384" customWidth="1"/>
    <col min="8477" max="8704" width="11" style="384"/>
    <col min="8705" max="8705" width="10.25" style="384" customWidth="1"/>
    <col min="8706" max="8706" width="33.5" style="384" customWidth="1"/>
    <col min="8707" max="8707" width="10.5" style="384" customWidth="1"/>
    <col min="8708" max="8708" width="10.375" style="384" customWidth="1"/>
    <col min="8709" max="8709" width="2.5" style="384" bestFit="1" customWidth="1"/>
    <col min="8710" max="8713" width="10.25" style="384" customWidth="1"/>
    <col min="8714" max="8714" width="12" style="384" customWidth="1"/>
    <col min="8715" max="8715" width="10.25" style="384" customWidth="1"/>
    <col min="8716" max="8716" width="9" style="384" customWidth="1"/>
    <col min="8717" max="8717" width="9.75" style="384" customWidth="1"/>
    <col min="8718" max="8718" width="8.75" style="384" customWidth="1"/>
    <col min="8719" max="8719" width="6.5" style="384" customWidth="1"/>
    <col min="8720" max="8720" width="11" style="384"/>
    <col min="8721" max="8721" width="5.875" style="384" customWidth="1"/>
    <col min="8722" max="8723" width="11" style="384"/>
    <col min="8724" max="8724" width="10.875" style="384" customWidth="1"/>
    <col min="8725" max="8725" width="9" style="384" customWidth="1"/>
    <col min="8726" max="8726" width="4.875" style="384" customWidth="1"/>
    <col min="8727" max="8727" width="10.25" style="384" customWidth="1"/>
    <col min="8728" max="8732" width="10.875" style="384" customWidth="1"/>
    <col min="8733" max="8960" width="11" style="384"/>
    <col min="8961" max="8961" width="10.25" style="384" customWidth="1"/>
    <col min="8962" max="8962" width="33.5" style="384" customWidth="1"/>
    <col min="8963" max="8963" width="10.5" style="384" customWidth="1"/>
    <col min="8964" max="8964" width="10.375" style="384" customWidth="1"/>
    <col min="8965" max="8965" width="2.5" style="384" bestFit="1" customWidth="1"/>
    <col min="8966" max="8969" width="10.25" style="384" customWidth="1"/>
    <col min="8970" max="8970" width="12" style="384" customWidth="1"/>
    <col min="8971" max="8971" width="10.25" style="384" customWidth="1"/>
    <col min="8972" max="8972" width="9" style="384" customWidth="1"/>
    <col min="8973" max="8973" width="9.75" style="384" customWidth="1"/>
    <col min="8974" max="8974" width="8.75" style="384" customWidth="1"/>
    <col min="8975" max="8975" width="6.5" style="384" customWidth="1"/>
    <col min="8976" max="8976" width="11" style="384"/>
    <col min="8977" max="8977" width="5.875" style="384" customWidth="1"/>
    <col min="8978" max="8979" width="11" style="384"/>
    <col min="8980" max="8980" width="10.875" style="384" customWidth="1"/>
    <col min="8981" max="8981" width="9" style="384" customWidth="1"/>
    <col min="8982" max="8982" width="4.875" style="384" customWidth="1"/>
    <col min="8983" max="8983" width="10.25" style="384" customWidth="1"/>
    <col min="8984" max="8988" width="10.875" style="384" customWidth="1"/>
    <col min="8989" max="9216" width="11" style="384"/>
    <col min="9217" max="9217" width="10.25" style="384" customWidth="1"/>
    <col min="9218" max="9218" width="33.5" style="384" customWidth="1"/>
    <col min="9219" max="9219" width="10.5" style="384" customWidth="1"/>
    <col min="9220" max="9220" width="10.375" style="384" customWidth="1"/>
    <col min="9221" max="9221" width="2.5" style="384" bestFit="1" customWidth="1"/>
    <col min="9222" max="9225" width="10.25" style="384" customWidth="1"/>
    <col min="9226" max="9226" width="12" style="384" customWidth="1"/>
    <col min="9227" max="9227" width="10.25" style="384" customWidth="1"/>
    <col min="9228" max="9228" width="9" style="384" customWidth="1"/>
    <col min="9229" max="9229" width="9.75" style="384" customWidth="1"/>
    <col min="9230" max="9230" width="8.75" style="384" customWidth="1"/>
    <col min="9231" max="9231" width="6.5" style="384" customWidth="1"/>
    <col min="9232" max="9232" width="11" style="384"/>
    <col min="9233" max="9233" width="5.875" style="384" customWidth="1"/>
    <col min="9234" max="9235" width="11" style="384"/>
    <col min="9236" max="9236" width="10.875" style="384" customWidth="1"/>
    <col min="9237" max="9237" width="9" style="384" customWidth="1"/>
    <col min="9238" max="9238" width="4.875" style="384" customWidth="1"/>
    <col min="9239" max="9239" width="10.25" style="384" customWidth="1"/>
    <col min="9240" max="9244" width="10.875" style="384" customWidth="1"/>
    <col min="9245" max="9472" width="11" style="384"/>
    <col min="9473" max="9473" width="10.25" style="384" customWidth="1"/>
    <col min="9474" max="9474" width="33.5" style="384" customWidth="1"/>
    <col min="9475" max="9475" width="10.5" style="384" customWidth="1"/>
    <col min="9476" max="9476" width="10.375" style="384" customWidth="1"/>
    <col min="9477" max="9477" width="2.5" style="384" bestFit="1" customWidth="1"/>
    <col min="9478" max="9481" width="10.25" style="384" customWidth="1"/>
    <col min="9482" max="9482" width="12" style="384" customWidth="1"/>
    <col min="9483" max="9483" width="10.25" style="384" customWidth="1"/>
    <col min="9484" max="9484" width="9" style="384" customWidth="1"/>
    <col min="9485" max="9485" width="9.75" style="384" customWidth="1"/>
    <col min="9486" max="9486" width="8.75" style="384" customWidth="1"/>
    <col min="9487" max="9487" width="6.5" style="384" customWidth="1"/>
    <col min="9488" max="9488" width="11" style="384"/>
    <col min="9489" max="9489" width="5.875" style="384" customWidth="1"/>
    <col min="9490" max="9491" width="11" style="384"/>
    <col min="9492" max="9492" width="10.875" style="384" customWidth="1"/>
    <col min="9493" max="9493" width="9" style="384" customWidth="1"/>
    <col min="9494" max="9494" width="4.875" style="384" customWidth="1"/>
    <col min="9495" max="9495" width="10.25" style="384" customWidth="1"/>
    <col min="9496" max="9500" width="10.875" style="384" customWidth="1"/>
    <col min="9501" max="9728" width="11" style="384"/>
    <col min="9729" max="9729" width="10.25" style="384" customWidth="1"/>
    <col min="9730" max="9730" width="33.5" style="384" customWidth="1"/>
    <col min="9731" max="9731" width="10.5" style="384" customWidth="1"/>
    <col min="9732" max="9732" width="10.375" style="384" customWidth="1"/>
    <col min="9733" max="9733" width="2.5" style="384" bestFit="1" customWidth="1"/>
    <col min="9734" max="9737" width="10.25" style="384" customWidth="1"/>
    <col min="9738" max="9738" width="12" style="384" customWidth="1"/>
    <col min="9739" max="9739" width="10.25" style="384" customWidth="1"/>
    <col min="9740" max="9740" width="9" style="384" customWidth="1"/>
    <col min="9741" max="9741" width="9.75" style="384" customWidth="1"/>
    <col min="9742" max="9742" width="8.75" style="384" customWidth="1"/>
    <col min="9743" max="9743" width="6.5" style="384" customWidth="1"/>
    <col min="9744" max="9744" width="11" style="384"/>
    <col min="9745" max="9745" width="5.875" style="384" customWidth="1"/>
    <col min="9746" max="9747" width="11" style="384"/>
    <col min="9748" max="9748" width="10.875" style="384" customWidth="1"/>
    <col min="9749" max="9749" width="9" style="384" customWidth="1"/>
    <col min="9750" max="9750" width="4.875" style="384" customWidth="1"/>
    <col min="9751" max="9751" width="10.25" style="384" customWidth="1"/>
    <col min="9752" max="9756" width="10.875" style="384" customWidth="1"/>
    <col min="9757" max="9984" width="11" style="384"/>
    <col min="9985" max="9985" width="10.25" style="384" customWidth="1"/>
    <col min="9986" max="9986" width="33.5" style="384" customWidth="1"/>
    <col min="9987" max="9987" width="10.5" style="384" customWidth="1"/>
    <col min="9988" max="9988" width="10.375" style="384" customWidth="1"/>
    <col min="9989" max="9989" width="2.5" style="384" bestFit="1" customWidth="1"/>
    <col min="9990" max="9993" width="10.25" style="384" customWidth="1"/>
    <col min="9994" max="9994" width="12" style="384" customWidth="1"/>
    <col min="9995" max="9995" width="10.25" style="384" customWidth="1"/>
    <col min="9996" max="9996" width="9" style="384" customWidth="1"/>
    <col min="9997" max="9997" width="9.75" style="384" customWidth="1"/>
    <col min="9998" max="9998" width="8.75" style="384" customWidth="1"/>
    <col min="9999" max="9999" width="6.5" style="384" customWidth="1"/>
    <col min="10000" max="10000" width="11" style="384"/>
    <col min="10001" max="10001" width="5.875" style="384" customWidth="1"/>
    <col min="10002" max="10003" width="11" style="384"/>
    <col min="10004" max="10004" width="10.875" style="384" customWidth="1"/>
    <col min="10005" max="10005" width="9" style="384" customWidth="1"/>
    <col min="10006" max="10006" width="4.875" style="384" customWidth="1"/>
    <col min="10007" max="10007" width="10.25" style="384" customWidth="1"/>
    <col min="10008" max="10012" width="10.875" style="384" customWidth="1"/>
    <col min="10013" max="10240" width="11" style="384"/>
    <col min="10241" max="10241" width="10.25" style="384" customWidth="1"/>
    <col min="10242" max="10242" width="33.5" style="384" customWidth="1"/>
    <col min="10243" max="10243" width="10.5" style="384" customWidth="1"/>
    <col min="10244" max="10244" width="10.375" style="384" customWidth="1"/>
    <col min="10245" max="10245" width="2.5" style="384" bestFit="1" customWidth="1"/>
    <col min="10246" max="10249" width="10.25" style="384" customWidth="1"/>
    <col min="10250" max="10250" width="12" style="384" customWidth="1"/>
    <col min="10251" max="10251" width="10.25" style="384" customWidth="1"/>
    <col min="10252" max="10252" width="9" style="384" customWidth="1"/>
    <col min="10253" max="10253" width="9.75" style="384" customWidth="1"/>
    <col min="10254" max="10254" width="8.75" style="384" customWidth="1"/>
    <col min="10255" max="10255" width="6.5" style="384" customWidth="1"/>
    <col min="10256" max="10256" width="11" style="384"/>
    <col min="10257" max="10257" width="5.875" style="384" customWidth="1"/>
    <col min="10258" max="10259" width="11" style="384"/>
    <col min="10260" max="10260" width="10.875" style="384" customWidth="1"/>
    <col min="10261" max="10261" width="9" style="384" customWidth="1"/>
    <col min="10262" max="10262" width="4.875" style="384" customWidth="1"/>
    <col min="10263" max="10263" width="10.25" style="384" customWidth="1"/>
    <col min="10264" max="10268" width="10.875" style="384" customWidth="1"/>
    <col min="10269" max="10496" width="11" style="384"/>
    <col min="10497" max="10497" width="10.25" style="384" customWidth="1"/>
    <col min="10498" max="10498" width="33.5" style="384" customWidth="1"/>
    <col min="10499" max="10499" width="10.5" style="384" customWidth="1"/>
    <col min="10500" max="10500" width="10.375" style="384" customWidth="1"/>
    <col min="10501" max="10501" width="2.5" style="384" bestFit="1" customWidth="1"/>
    <col min="10502" max="10505" width="10.25" style="384" customWidth="1"/>
    <col min="10506" max="10506" width="12" style="384" customWidth="1"/>
    <col min="10507" max="10507" width="10.25" style="384" customWidth="1"/>
    <col min="10508" max="10508" width="9" style="384" customWidth="1"/>
    <col min="10509" max="10509" width="9.75" style="384" customWidth="1"/>
    <col min="10510" max="10510" width="8.75" style="384" customWidth="1"/>
    <col min="10511" max="10511" width="6.5" style="384" customWidth="1"/>
    <col min="10512" max="10512" width="11" style="384"/>
    <col min="10513" max="10513" width="5.875" style="384" customWidth="1"/>
    <col min="10514" max="10515" width="11" style="384"/>
    <col min="10516" max="10516" width="10.875" style="384" customWidth="1"/>
    <col min="10517" max="10517" width="9" style="384" customWidth="1"/>
    <col min="10518" max="10518" width="4.875" style="384" customWidth="1"/>
    <col min="10519" max="10519" width="10.25" style="384" customWidth="1"/>
    <col min="10520" max="10524" width="10.875" style="384" customWidth="1"/>
    <col min="10525" max="10752" width="11" style="384"/>
    <col min="10753" max="10753" width="10.25" style="384" customWidth="1"/>
    <col min="10754" max="10754" width="33.5" style="384" customWidth="1"/>
    <col min="10755" max="10755" width="10.5" style="384" customWidth="1"/>
    <col min="10756" max="10756" width="10.375" style="384" customWidth="1"/>
    <col min="10757" max="10757" width="2.5" style="384" bestFit="1" customWidth="1"/>
    <col min="10758" max="10761" width="10.25" style="384" customWidth="1"/>
    <col min="10762" max="10762" width="12" style="384" customWidth="1"/>
    <col min="10763" max="10763" width="10.25" style="384" customWidth="1"/>
    <col min="10764" max="10764" width="9" style="384" customWidth="1"/>
    <col min="10765" max="10765" width="9.75" style="384" customWidth="1"/>
    <col min="10766" max="10766" width="8.75" style="384" customWidth="1"/>
    <col min="10767" max="10767" width="6.5" style="384" customWidth="1"/>
    <col min="10768" max="10768" width="11" style="384"/>
    <col min="10769" max="10769" width="5.875" style="384" customWidth="1"/>
    <col min="10770" max="10771" width="11" style="384"/>
    <col min="10772" max="10772" width="10.875" style="384" customWidth="1"/>
    <col min="10773" max="10773" width="9" style="384" customWidth="1"/>
    <col min="10774" max="10774" width="4.875" style="384" customWidth="1"/>
    <col min="10775" max="10775" width="10.25" style="384" customWidth="1"/>
    <col min="10776" max="10780" width="10.875" style="384" customWidth="1"/>
    <col min="10781" max="11008" width="11" style="384"/>
    <col min="11009" max="11009" width="10.25" style="384" customWidth="1"/>
    <col min="11010" max="11010" width="33.5" style="384" customWidth="1"/>
    <col min="11011" max="11011" width="10.5" style="384" customWidth="1"/>
    <col min="11012" max="11012" width="10.375" style="384" customWidth="1"/>
    <col min="11013" max="11013" width="2.5" style="384" bestFit="1" customWidth="1"/>
    <col min="11014" max="11017" width="10.25" style="384" customWidth="1"/>
    <col min="11018" max="11018" width="12" style="384" customWidth="1"/>
    <col min="11019" max="11019" width="10.25" style="384" customWidth="1"/>
    <col min="11020" max="11020" width="9" style="384" customWidth="1"/>
    <col min="11021" max="11021" width="9.75" style="384" customWidth="1"/>
    <col min="11022" max="11022" width="8.75" style="384" customWidth="1"/>
    <col min="11023" max="11023" width="6.5" style="384" customWidth="1"/>
    <col min="11024" max="11024" width="11" style="384"/>
    <col min="11025" max="11025" width="5.875" style="384" customWidth="1"/>
    <col min="11026" max="11027" width="11" style="384"/>
    <col min="11028" max="11028" width="10.875" style="384" customWidth="1"/>
    <col min="11029" max="11029" width="9" style="384" customWidth="1"/>
    <col min="11030" max="11030" width="4.875" style="384" customWidth="1"/>
    <col min="11031" max="11031" width="10.25" style="384" customWidth="1"/>
    <col min="11032" max="11036" width="10.875" style="384" customWidth="1"/>
    <col min="11037" max="11264" width="11" style="384"/>
    <col min="11265" max="11265" width="10.25" style="384" customWidth="1"/>
    <col min="11266" max="11266" width="33.5" style="384" customWidth="1"/>
    <col min="11267" max="11267" width="10.5" style="384" customWidth="1"/>
    <col min="11268" max="11268" width="10.375" style="384" customWidth="1"/>
    <col min="11269" max="11269" width="2.5" style="384" bestFit="1" customWidth="1"/>
    <col min="11270" max="11273" width="10.25" style="384" customWidth="1"/>
    <col min="11274" max="11274" width="12" style="384" customWidth="1"/>
    <col min="11275" max="11275" width="10.25" style="384" customWidth="1"/>
    <col min="11276" max="11276" width="9" style="384" customWidth="1"/>
    <col min="11277" max="11277" width="9.75" style="384" customWidth="1"/>
    <col min="11278" max="11278" width="8.75" style="384" customWidth="1"/>
    <col min="11279" max="11279" width="6.5" style="384" customWidth="1"/>
    <col min="11280" max="11280" width="11" style="384"/>
    <col min="11281" max="11281" width="5.875" style="384" customWidth="1"/>
    <col min="11282" max="11283" width="11" style="384"/>
    <col min="11284" max="11284" width="10.875" style="384" customWidth="1"/>
    <col min="11285" max="11285" width="9" style="384" customWidth="1"/>
    <col min="11286" max="11286" width="4.875" style="384" customWidth="1"/>
    <col min="11287" max="11287" width="10.25" style="384" customWidth="1"/>
    <col min="11288" max="11292" width="10.875" style="384" customWidth="1"/>
    <col min="11293" max="11520" width="11" style="384"/>
    <col min="11521" max="11521" width="10.25" style="384" customWidth="1"/>
    <col min="11522" max="11522" width="33.5" style="384" customWidth="1"/>
    <col min="11523" max="11523" width="10.5" style="384" customWidth="1"/>
    <col min="11524" max="11524" width="10.375" style="384" customWidth="1"/>
    <col min="11525" max="11525" width="2.5" style="384" bestFit="1" customWidth="1"/>
    <col min="11526" max="11529" width="10.25" style="384" customWidth="1"/>
    <col min="11530" max="11530" width="12" style="384" customWidth="1"/>
    <col min="11531" max="11531" width="10.25" style="384" customWidth="1"/>
    <col min="11532" max="11532" width="9" style="384" customWidth="1"/>
    <col min="11533" max="11533" width="9.75" style="384" customWidth="1"/>
    <col min="11534" max="11534" width="8.75" style="384" customWidth="1"/>
    <col min="11535" max="11535" width="6.5" style="384" customWidth="1"/>
    <col min="11536" max="11536" width="11" style="384"/>
    <col min="11537" max="11537" width="5.875" style="384" customWidth="1"/>
    <col min="11538" max="11539" width="11" style="384"/>
    <col min="11540" max="11540" width="10.875" style="384" customWidth="1"/>
    <col min="11541" max="11541" width="9" style="384" customWidth="1"/>
    <col min="11542" max="11542" width="4.875" style="384" customWidth="1"/>
    <col min="11543" max="11543" width="10.25" style="384" customWidth="1"/>
    <col min="11544" max="11548" width="10.875" style="384" customWidth="1"/>
    <col min="11549" max="11776" width="11" style="384"/>
    <col min="11777" max="11777" width="10.25" style="384" customWidth="1"/>
    <col min="11778" max="11778" width="33.5" style="384" customWidth="1"/>
    <col min="11779" max="11779" width="10.5" style="384" customWidth="1"/>
    <col min="11780" max="11780" width="10.375" style="384" customWidth="1"/>
    <col min="11781" max="11781" width="2.5" style="384" bestFit="1" customWidth="1"/>
    <col min="11782" max="11785" width="10.25" style="384" customWidth="1"/>
    <col min="11786" max="11786" width="12" style="384" customWidth="1"/>
    <col min="11787" max="11787" width="10.25" style="384" customWidth="1"/>
    <col min="11788" max="11788" width="9" style="384" customWidth="1"/>
    <col min="11789" max="11789" width="9.75" style="384" customWidth="1"/>
    <col min="11790" max="11790" width="8.75" style="384" customWidth="1"/>
    <col min="11791" max="11791" width="6.5" style="384" customWidth="1"/>
    <col min="11792" max="11792" width="11" style="384"/>
    <col min="11793" max="11793" width="5.875" style="384" customWidth="1"/>
    <col min="11794" max="11795" width="11" style="384"/>
    <col min="11796" max="11796" width="10.875" style="384" customWidth="1"/>
    <col min="11797" max="11797" width="9" style="384" customWidth="1"/>
    <col min="11798" max="11798" width="4.875" style="384" customWidth="1"/>
    <col min="11799" max="11799" width="10.25" style="384" customWidth="1"/>
    <col min="11800" max="11804" width="10.875" style="384" customWidth="1"/>
    <col min="11805" max="12032" width="11" style="384"/>
    <col min="12033" max="12033" width="10.25" style="384" customWidth="1"/>
    <col min="12034" max="12034" width="33.5" style="384" customWidth="1"/>
    <col min="12035" max="12035" width="10.5" style="384" customWidth="1"/>
    <col min="12036" max="12036" width="10.375" style="384" customWidth="1"/>
    <col min="12037" max="12037" width="2.5" style="384" bestFit="1" customWidth="1"/>
    <col min="12038" max="12041" width="10.25" style="384" customWidth="1"/>
    <col min="12042" max="12042" width="12" style="384" customWidth="1"/>
    <col min="12043" max="12043" width="10.25" style="384" customWidth="1"/>
    <col min="12044" max="12044" width="9" style="384" customWidth="1"/>
    <col min="12045" max="12045" width="9.75" style="384" customWidth="1"/>
    <col min="12046" max="12046" width="8.75" style="384" customWidth="1"/>
    <col min="12047" max="12047" width="6.5" style="384" customWidth="1"/>
    <col min="12048" max="12048" width="11" style="384"/>
    <col min="12049" max="12049" width="5.875" style="384" customWidth="1"/>
    <col min="12050" max="12051" width="11" style="384"/>
    <col min="12052" max="12052" width="10.875" style="384" customWidth="1"/>
    <col min="12053" max="12053" width="9" style="384" customWidth="1"/>
    <col min="12054" max="12054" width="4.875" style="384" customWidth="1"/>
    <col min="12055" max="12055" width="10.25" style="384" customWidth="1"/>
    <col min="12056" max="12060" width="10.875" style="384" customWidth="1"/>
    <col min="12061" max="12288" width="11" style="384"/>
    <col min="12289" max="12289" width="10.25" style="384" customWidth="1"/>
    <col min="12290" max="12290" width="33.5" style="384" customWidth="1"/>
    <col min="12291" max="12291" width="10.5" style="384" customWidth="1"/>
    <col min="12292" max="12292" width="10.375" style="384" customWidth="1"/>
    <col min="12293" max="12293" width="2.5" style="384" bestFit="1" customWidth="1"/>
    <col min="12294" max="12297" width="10.25" style="384" customWidth="1"/>
    <col min="12298" max="12298" width="12" style="384" customWidth="1"/>
    <col min="12299" max="12299" width="10.25" style="384" customWidth="1"/>
    <col min="12300" max="12300" width="9" style="384" customWidth="1"/>
    <col min="12301" max="12301" width="9.75" style="384" customWidth="1"/>
    <col min="12302" max="12302" width="8.75" style="384" customWidth="1"/>
    <col min="12303" max="12303" width="6.5" style="384" customWidth="1"/>
    <col min="12304" max="12304" width="11" style="384"/>
    <col min="12305" max="12305" width="5.875" style="384" customWidth="1"/>
    <col min="12306" max="12307" width="11" style="384"/>
    <col min="12308" max="12308" width="10.875" style="384" customWidth="1"/>
    <col min="12309" max="12309" width="9" style="384" customWidth="1"/>
    <col min="12310" max="12310" width="4.875" style="384" customWidth="1"/>
    <col min="12311" max="12311" width="10.25" style="384" customWidth="1"/>
    <col min="12312" max="12316" width="10.875" style="384" customWidth="1"/>
    <col min="12317" max="12544" width="11" style="384"/>
    <col min="12545" max="12545" width="10.25" style="384" customWidth="1"/>
    <col min="12546" max="12546" width="33.5" style="384" customWidth="1"/>
    <col min="12547" max="12547" width="10.5" style="384" customWidth="1"/>
    <col min="12548" max="12548" width="10.375" style="384" customWidth="1"/>
    <col min="12549" max="12549" width="2.5" style="384" bestFit="1" customWidth="1"/>
    <col min="12550" max="12553" width="10.25" style="384" customWidth="1"/>
    <col min="12554" max="12554" width="12" style="384" customWidth="1"/>
    <col min="12555" max="12555" width="10.25" style="384" customWidth="1"/>
    <col min="12556" max="12556" width="9" style="384" customWidth="1"/>
    <col min="12557" max="12557" width="9.75" style="384" customWidth="1"/>
    <col min="12558" max="12558" width="8.75" style="384" customWidth="1"/>
    <col min="12559" max="12559" width="6.5" style="384" customWidth="1"/>
    <col min="12560" max="12560" width="11" style="384"/>
    <col min="12561" max="12561" width="5.875" style="384" customWidth="1"/>
    <col min="12562" max="12563" width="11" style="384"/>
    <col min="12564" max="12564" width="10.875" style="384" customWidth="1"/>
    <col min="12565" max="12565" width="9" style="384" customWidth="1"/>
    <col min="12566" max="12566" width="4.875" style="384" customWidth="1"/>
    <col min="12567" max="12567" width="10.25" style="384" customWidth="1"/>
    <col min="12568" max="12572" width="10.875" style="384" customWidth="1"/>
    <col min="12573" max="12800" width="11" style="384"/>
    <col min="12801" max="12801" width="10.25" style="384" customWidth="1"/>
    <col min="12802" max="12802" width="33.5" style="384" customWidth="1"/>
    <col min="12803" max="12803" width="10.5" style="384" customWidth="1"/>
    <col min="12804" max="12804" width="10.375" style="384" customWidth="1"/>
    <col min="12805" max="12805" width="2.5" style="384" bestFit="1" customWidth="1"/>
    <col min="12806" max="12809" width="10.25" style="384" customWidth="1"/>
    <col min="12810" max="12810" width="12" style="384" customWidth="1"/>
    <col min="12811" max="12811" width="10.25" style="384" customWidth="1"/>
    <col min="12812" max="12812" width="9" style="384" customWidth="1"/>
    <col min="12813" max="12813" width="9.75" style="384" customWidth="1"/>
    <col min="12814" max="12814" width="8.75" style="384" customWidth="1"/>
    <col min="12815" max="12815" width="6.5" style="384" customWidth="1"/>
    <col min="12816" max="12816" width="11" style="384"/>
    <col min="12817" max="12817" width="5.875" style="384" customWidth="1"/>
    <col min="12818" max="12819" width="11" style="384"/>
    <col min="12820" max="12820" width="10.875" style="384" customWidth="1"/>
    <col min="12821" max="12821" width="9" style="384" customWidth="1"/>
    <col min="12822" max="12822" width="4.875" style="384" customWidth="1"/>
    <col min="12823" max="12823" width="10.25" style="384" customWidth="1"/>
    <col min="12824" max="12828" width="10.875" style="384" customWidth="1"/>
    <col min="12829" max="13056" width="11" style="384"/>
    <col min="13057" max="13057" width="10.25" style="384" customWidth="1"/>
    <col min="13058" max="13058" width="33.5" style="384" customWidth="1"/>
    <col min="13059" max="13059" width="10.5" style="384" customWidth="1"/>
    <col min="13060" max="13060" width="10.375" style="384" customWidth="1"/>
    <col min="13061" max="13061" width="2.5" style="384" bestFit="1" customWidth="1"/>
    <col min="13062" max="13065" width="10.25" style="384" customWidth="1"/>
    <col min="13066" max="13066" width="12" style="384" customWidth="1"/>
    <col min="13067" max="13067" width="10.25" style="384" customWidth="1"/>
    <col min="13068" max="13068" width="9" style="384" customWidth="1"/>
    <col min="13069" max="13069" width="9.75" style="384" customWidth="1"/>
    <col min="13070" max="13070" width="8.75" style="384" customWidth="1"/>
    <col min="13071" max="13071" width="6.5" style="384" customWidth="1"/>
    <col min="13072" max="13072" width="11" style="384"/>
    <col min="13073" max="13073" width="5.875" style="384" customWidth="1"/>
    <col min="13074" max="13075" width="11" style="384"/>
    <col min="13076" max="13076" width="10.875" style="384" customWidth="1"/>
    <col min="13077" max="13077" width="9" style="384" customWidth="1"/>
    <col min="13078" max="13078" width="4.875" style="384" customWidth="1"/>
    <col min="13079" max="13079" width="10.25" style="384" customWidth="1"/>
    <col min="13080" max="13084" width="10.875" style="384" customWidth="1"/>
    <col min="13085" max="13312" width="11" style="384"/>
    <col min="13313" max="13313" width="10.25" style="384" customWidth="1"/>
    <col min="13314" max="13314" width="33.5" style="384" customWidth="1"/>
    <col min="13315" max="13315" width="10.5" style="384" customWidth="1"/>
    <col min="13316" max="13316" width="10.375" style="384" customWidth="1"/>
    <col min="13317" max="13317" width="2.5" style="384" bestFit="1" customWidth="1"/>
    <col min="13318" max="13321" width="10.25" style="384" customWidth="1"/>
    <col min="13322" max="13322" width="12" style="384" customWidth="1"/>
    <col min="13323" max="13323" width="10.25" style="384" customWidth="1"/>
    <col min="13324" max="13324" width="9" style="384" customWidth="1"/>
    <col min="13325" max="13325" width="9.75" style="384" customWidth="1"/>
    <col min="13326" max="13326" width="8.75" style="384" customWidth="1"/>
    <col min="13327" max="13327" width="6.5" style="384" customWidth="1"/>
    <col min="13328" max="13328" width="11" style="384"/>
    <col min="13329" max="13329" width="5.875" style="384" customWidth="1"/>
    <col min="13330" max="13331" width="11" style="384"/>
    <col min="13332" max="13332" width="10.875" style="384" customWidth="1"/>
    <col min="13333" max="13333" width="9" style="384" customWidth="1"/>
    <col min="13334" max="13334" width="4.875" style="384" customWidth="1"/>
    <col min="13335" max="13335" width="10.25" style="384" customWidth="1"/>
    <col min="13336" max="13340" width="10.875" style="384" customWidth="1"/>
    <col min="13341" max="13568" width="11" style="384"/>
    <col min="13569" max="13569" width="10.25" style="384" customWidth="1"/>
    <col min="13570" max="13570" width="33.5" style="384" customWidth="1"/>
    <col min="13571" max="13571" width="10.5" style="384" customWidth="1"/>
    <col min="13572" max="13572" width="10.375" style="384" customWidth="1"/>
    <col min="13573" max="13573" width="2.5" style="384" bestFit="1" customWidth="1"/>
    <col min="13574" max="13577" width="10.25" style="384" customWidth="1"/>
    <col min="13578" max="13578" width="12" style="384" customWidth="1"/>
    <col min="13579" max="13579" width="10.25" style="384" customWidth="1"/>
    <col min="13580" max="13580" width="9" style="384" customWidth="1"/>
    <col min="13581" max="13581" width="9.75" style="384" customWidth="1"/>
    <col min="13582" max="13582" width="8.75" style="384" customWidth="1"/>
    <col min="13583" max="13583" width="6.5" style="384" customWidth="1"/>
    <col min="13584" max="13584" width="11" style="384"/>
    <col min="13585" max="13585" width="5.875" style="384" customWidth="1"/>
    <col min="13586" max="13587" width="11" style="384"/>
    <col min="13588" max="13588" width="10.875" style="384" customWidth="1"/>
    <col min="13589" max="13589" width="9" style="384" customWidth="1"/>
    <col min="13590" max="13590" width="4.875" style="384" customWidth="1"/>
    <col min="13591" max="13591" width="10.25" style="384" customWidth="1"/>
    <col min="13592" max="13596" width="10.875" style="384" customWidth="1"/>
    <col min="13597" max="13824" width="11" style="384"/>
    <col min="13825" max="13825" width="10.25" style="384" customWidth="1"/>
    <col min="13826" max="13826" width="33.5" style="384" customWidth="1"/>
    <col min="13827" max="13827" width="10.5" style="384" customWidth="1"/>
    <col min="13828" max="13828" width="10.375" style="384" customWidth="1"/>
    <col min="13829" max="13829" width="2.5" style="384" bestFit="1" customWidth="1"/>
    <col min="13830" max="13833" width="10.25" style="384" customWidth="1"/>
    <col min="13834" max="13834" width="12" style="384" customWidth="1"/>
    <col min="13835" max="13835" width="10.25" style="384" customWidth="1"/>
    <col min="13836" max="13836" width="9" style="384" customWidth="1"/>
    <col min="13837" max="13837" width="9.75" style="384" customWidth="1"/>
    <col min="13838" max="13838" width="8.75" style="384" customWidth="1"/>
    <col min="13839" max="13839" width="6.5" style="384" customWidth="1"/>
    <col min="13840" max="13840" width="11" style="384"/>
    <col min="13841" max="13841" width="5.875" style="384" customWidth="1"/>
    <col min="13842" max="13843" width="11" style="384"/>
    <col min="13844" max="13844" width="10.875" style="384" customWidth="1"/>
    <col min="13845" max="13845" width="9" style="384" customWidth="1"/>
    <col min="13846" max="13846" width="4.875" style="384" customWidth="1"/>
    <col min="13847" max="13847" width="10.25" style="384" customWidth="1"/>
    <col min="13848" max="13852" width="10.875" style="384" customWidth="1"/>
    <col min="13853" max="14080" width="11" style="384"/>
    <col min="14081" max="14081" width="10.25" style="384" customWidth="1"/>
    <col min="14082" max="14082" width="33.5" style="384" customWidth="1"/>
    <col min="14083" max="14083" width="10.5" style="384" customWidth="1"/>
    <col min="14084" max="14084" width="10.375" style="384" customWidth="1"/>
    <col min="14085" max="14085" width="2.5" style="384" bestFit="1" customWidth="1"/>
    <col min="14086" max="14089" width="10.25" style="384" customWidth="1"/>
    <col min="14090" max="14090" width="12" style="384" customWidth="1"/>
    <col min="14091" max="14091" width="10.25" style="384" customWidth="1"/>
    <col min="14092" max="14092" width="9" style="384" customWidth="1"/>
    <col min="14093" max="14093" width="9.75" style="384" customWidth="1"/>
    <col min="14094" max="14094" width="8.75" style="384" customWidth="1"/>
    <col min="14095" max="14095" width="6.5" style="384" customWidth="1"/>
    <col min="14096" max="14096" width="11" style="384"/>
    <col min="14097" max="14097" width="5.875" style="384" customWidth="1"/>
    <col min="14098" max="14099" width="11" style="384"/>
    <col min="14100" max="14100" width="10.875" style="384" customWidth="1"/>
    <col min="14101" max="14101" width="9" style="384" customWidth="1"/>
    <col min="14102" max="14102" width="4.875" style="384" customWidth="1"/>
    <col min="14103" max="14103" width="10.25" style="384" customWidth="1"/>
    <col min="14104" max="14108" width="10.875" style="384" customWidth="1"/>
    <col min="14109" max="14336" width="11" style="384"/>
    <col min="14337" max="14337" width="10.25" style="384" customWidth="1"/>
    <col min="14338" max="14338" width="33.5" style="384" customWidth="1"/>
    <col min="14339" max="14339" width="10.5" style="384" customWidth="1"/>
    <col min="14340" max="14340" width="10.375" style="384" customWidth="1"/>
    <col min="14341" max="14341" width="2.5" style="384" bestFit="1" customWidth="1"/>
    <col min="14342" max="14345" width="10.25" style="384" customWidth="1"/>
    <col min="14346" max="14346" width="12" style="384" customWidth="1"/>
    <col min="14347" max="14347" width="10.25" style="384" customWidth="1"/>
    <col min="14348" max="14348" width="9" style="384" customWidth="1"/>
    <col min="14349" max="14349" width="9.75" style="384" customWidth="1"/>
    <col min="14350" max="14350" width="8.75" style="384" customWidth="1"/>
    <col min="14351" max="14351" width="6.5" style="384" customWidth="1"/>
    <col min="14352" max="14352" width="11" style="384"/>
    <col min="14353" max="14353" width="5.875" style="384" customWidth="1"/>
    <col min="14354" max="14355" width="11" style="384"/>
    <col min="14356" max="14356" width="10.875" style="384" customWidth="1"/>
    <col min="14357" max="14357" width="9" style="384" customWidth="1"/>
    <col min="14358" max="14358" width="4.875" style="384" customWidth="1"/>
    <col min="14359" max="14359" width="10.25" style="384" customWidth="1"/>
    <col min="14360" max="14364" width="10.875" style="384" customWidth="1"/>
    <col min="14365" max="14592" width="11" style="384"/>
    <col min="14593" max="14593" width="10.25" style="384" customWidth="1"/>
    <col min="14594" max="14594" width="33.5" style="384" customWidth="1"/>
    <col min="14595" max="14595" width="10.5" style="384" customWidth="1"/>
    <col min="14596" max="14596" width="10.375" style="384" customWidth="1"/>
    <col min="14597" max="14597" width="2.5" style="384" bestFit="1" customWidth="1"/>
    <col min="14598" max="14601" width="10.25" style="384" customWidth="1"/>
    <col min="14602" max="14602" width="12" style="384" customWidth="1"/>
    <col min="14603" max="14603" width="10.25" style="384" customWidth="1"/>
    <col min="14604" max="14604" width="9" style="384" customWidth="1"/>
    <col min="14605" max="14605" width="9.75" style="384" customWidth="1"/>
    <col min="14606" max="14606" width="8.75" style="384" customWidth="1"/>
    <col min="14607" max="14607" width="6.5" style="384" customWidth="1"/>
    <col min="14608" max="14608" width="11" style="384"/>
    <col min="14609" max="14609" width="5.875" style="384" customWidth="1"/>
    <col min="14610" max="14611" width="11" style="384"/>
    <col min="14612" max="14612" width="10.875" style="384" customWidth="1"/>
    <col min="14613" max="14613" width="9" style="384" customWidth="1"/>
    <col min="14614" max="14614" width="4.875" style="384" customWidth="1"/>
    <col min="14615" max="14615" width="10.25" style="384" customWidth="1"/>
    <col min="14616" max="14620" width="10.875" style="384" customWidth="1"/>
    <col min="14621" max="14848" width="11" style="384"/>
    <col min="14849" max="14849" width="10.25" style="384" customWidth="1"/>
    <col min="14850" max="14850" width="33.5" style="384" customWidth="1"/>
    <col min="14851" max="14851" width="10.5" style="384" customWidth="1"/>
    <col min="14852" max="14852" width="10.375" style="384" customWidth="1"/>
    <col min="14853" max="14853" width="2.5" style="384" bestFit="1" customWidth="1"/>
    <col min="14854" max="14857" width="10.25" style="384" customWidth="1"/>
    <col min="14858" max="14858" width="12" style="384" customWidth="1"/>
    <col min="14859" max="14859" width="10.25" style="384" customWidth="1"/>
    <col min="14860" max="14860" width="9" style="384" customWidth="1"/>
    <col min="14861" max="14861" width="9.75" style="384" customWidth="1"/>
    <col min="14862" max="14862" width="8.75" style="384" customWidth="1"/>
    <col min="14863" max="14863" width="6.5" style="384" customWidth="1"/>
    <col min="14864" max="14864" width="11" style="384"/>
    <col min="14865" max="14865" width="5.875" style="384" customWidth="1"/>
    <col min="14866" max="14867" width="11" style="384"/>
    <col min="14868" max="14868" width="10.875" style="384" customWidth="1"/>
    <col min="14869" max="14869" width="9" style="384" customWidth="1"/>
    <col min="14870" max="14870" width="4.875" style="384" customWidth="1"/>
    <col min="14871" max="14871" width="10.25" style="384" customWidth="1"/>
    <col min="14872" max="14876" width="10.875" style="384" customWidth="1"/>
    <col min="14877" max="15104" width="11" style="384"/>
    <col min="15105" max="15105" width="10.25" style="384" customWidth="1"/>
    <col min="15106" max="15106" width="33.5" style="384" customWidth="1"/>
    <col min="15107" max="15107" width="10.5" style="384" customWidth="1"/>
    <col min="15108" max="15108" width="10.375" style="384" customWidth="1"/>
    <col min="15109" max="15109" width="2.5" style="384" bestFit="1" customWidth="1"/>
    <col min="15110" max="15113" width="10.25" style="384" customWidth="1"/>
    <col min="15114" max="15114" width="12" style="384" customWidth="1"/>
    <col min="15115" max="15115" width="10.25" style="384" customWidth="1"/>
    <col min="15116" max="15116" width="9" style="384" customWidth="1"/>
    <col min="15117" max="15117" width="9.75" style="384" customWidth="1"/>
    <col min="15118" max="15118" width="8.75" style="384" customWidth="1"/>
    <col min="15119" max="15119" width="6.5" style="384" customWidth="1"/>
    <col min="15120" max="15120" width="11" style="384"/>
    <col min="15121" max="15121" width="5.875" style="384" customWidth="1"/>
    <col min="15122" max="15123" width="11" style="384"/>
    <col min="15124" max="15124" width="10.875" style="384" customWidth="1"/>
    <col min="15125" max="15125" width="9" style="384" customWidth="1"/>
    <col min="15126" max="15126" width="4.875" style="384" customWidth="1"/>
    <col min="15127" max="15127" width="10.25" style="384" customWidth="1"/>
    <col min="15128" max="15132" width="10.875" style="384" customWidth="1"/>
    <col min="15133" max="15360" width="11" style="384"/>
    <col min="15361" max="15361" width="10.25" style="384" customWidth="1"/>
    <col min="15362" max="15362" width="33.5" style="384" customWidth="1"/>
    <col min="15363" max="15363" width="10.5" style="384" customWidth="1"/>
    <col min="15364" max="15364" width="10.375" style="384" customWidth="1"/>
    <col min="15365" max="15365" width="2.5" style="384" bestFit="1" customWidth="1"/>
    <col min="15366" max="15369" width="10.25" style="384" customWidth="1"/>
    <col min="15370" max="15370" width="12" style="384" customWidth="1"/>
    <col min="15371" max="15371" width="10.25" style="384" customWidth="1"/>
    <col min="15372" max="15372" width="9" style="384" customWidth="1"/>
    <col min="15373" max="15373" width="9.75" style="384" customWidth="1"/>
    <col min="15374" max="15374" width="8.75" style="384" customWidth="1"/>
    <col min="15375" max="15375" width="6.5" style="384" customWidth="1"/>
    <col min="15376" max="15376" width="11" style="384"/>
    <col min="15377" max="15377" width="5.875" style="384" customWidth="1"/>
    <col min="15378" max="15379" width="11" style="384"/>
    <col min="15380" max="15380" width="10.875" style="384" customWidth="1"/>
    <col min="15381" max="15381" width="9" style="384" customWidth="1"/>
    <col min="15382" max="15382" width="4.875" style="384" customWidth="1"/>
    <col min="15383" max="15383" width="10.25" style="384" customWidth="1"/>
    <col min="15384" max="15388" width="10.875" style="384" customWidth="1"/>
    <col min="15389" max="15616" width="11" style="384"/>
    <col min="15617" max="15617" width="10.25" style="384" customWidth="1"/>
    <col min="15618" max="15618" width="33.5" style="384" customWidth="1"/>
    <col min="15619" max="15619" width="10.5" style="384" customWidth="1"/>
    <col min="15620" max="15620" width="10.375" style="384" customWidth="1"/>
    <col min="15621" max="15621" width="2.5" style="384" bestFit="1" customWidth="1"/>
    <col min="15622" max="15625" width="10.25" style="384" customWidth="1"/>
    <col min="15626" max="15626" width="12" style="384" customWidth="1"/>
    <col min="15627" max="15627" width="10.25" style="384" customWidth="1"/>
    <col min="15628" max="15628" width="9" style="384" customWidth="1"/>
    <col min="15629" max="15629" width="9.75" style="384" customWidth="1"/>
    <col min="15630" max="15630" width="8.75" style="384" customWidth="1"/>
    <col min="15631" max="15631" width="6.5" style="384" customWidth="1"/>
    <col min="15632" max="15632" width="11" style="384"/>
    <col min="15633" max="15633" width="5.875" style="384" customWidth="1"/>
    <col min="15634" max="15635" width="11" style="384"/>
    <col min="15636" max="15636" width="10.875" style="384" customWidth="1"/>
    <col min="15637" max="15637" width="9" style="384" customWidth="1"/>
    <col min="15638" max="15638" width="4.875" style="384" customWidth="1"/>
    <col min="15639" max="15639" width="10.25" style="384" customWidth="1"/>
    <col min="15640" max="15644" width="10.875" style="384" customWidth="1"/>
    <col min="15645" max="15872" width="11" style="384"/>
    <col min="15873" max="15873" width="10.25" style="384" customWidth="1"/>
    <col min="15874" max="15874" width="33.5" style="384" customWidth="1"/>
    <col min="15875" max="15875" width="10.5" style="384" customWidth="1"/>
    <col min="15876" max="15876" width="10.375" style="384" customWidth="1"/>
    <col min="15877" max="15877" width="2.5" style="384" bestFit="1" customWidth="1"/>
    <col min="15878" max="15881" width="10.25" style="384" customWidth="1"/>
    <col min="15882" max="15882" width="12" style="384" customWidth="1"/>
    <col min="15883" max="15883" width="10.25" style="384" customWidth="1"/>
    <col min="15884" max="15884" width="9" style="384" customWidth="1"/>
    <col min="15885" max="15885" width="9.75" style="384" customWidth="1"/>
    <col min="15886" max="15886" width="8.75" style="384" customWidth="1"/>
    <col min="15887" max="15887" width="6.5" style="384" customWidth="1"/>
    <col min="15888" max="15888" width="11" style="384"/>
    <col min="15889" max="15889" width="5.875" style="384" customWidth="1"/>
    <col min="15890" max="15891" width="11" style="384"/>
    <col min="15892" max="15892" width="10.875" style="384" customWidth="1"/>
    <col min="15893" max="15893" width="9" style="384" customWidth="1"/>
    <col min="15894" max="15894" width="4.875" style="384" customWidth="1"/>
    <col min="15895" max="15895" width="10.25" style="384" customWidth="1"/>
    <col min="15896" max="15900" width="10.875" style="384" customWidth="1"/>
    <col min="15901" max="16128" width="11" style="384"/>
    <col min="16129" max="16129" width="10.25" style="384" customWidth="1"/>
    <col min="16130" max="16130" width="33.5" style="384" customWidth="1"/>
    <col min="16131" max="16131" width="10.5" style="384" customWidth="1"/>
    <col min="16132" max="16132" width="10.375" style="384" customWidth="1"/>
    <col min="16133" max="16133" width="2.5" style="384" bestFit="1" customWidth="1"/>
    <col min="16134" max="16137" width="10.25" style="384" customWidth="1"/>
    <col min="16138" max="16138" width="12" style="384" customWidth="1"/>
    <col min="16139" max="16139" width="10.25" style="384" customWidth="1"/>
    <col min="16140" max="16140" width="9" style="384" customWidth="1"/>
    <col min="16141" max="16141" width="9.75" style="384" customWidth="1"/>
    <col min="16142" max="16142" width="8.75" style="384" customWidth="1"/>
    <col min="16143" max="16143" width="6.5" style="384" customWidth="1"/>
    <col min="16144" max="16144" width="11" style="384"/>
    <col min="16145" max="16145" width="5.875" style="384" customWidth="1"/>
    <col min="16146" max="16147" width="11" style="384"/>
    <col min="16148" max="16148" width="10.875" style="384" customWidth="1"/>
    <col min="16149" max="16149" width="9" style="384" customWidth="1"/>
    <col min="16150" max="16150" width="4.875" style="384" customWidth="1"/>
    <col min="16151" max="16151" width="10.25" style="384" customWidth="1"/>
    <col min="16152" max="16156" width="10.875" style="384" customWidth="1"/>
    <col min="16157" max="16384" width="11" style="384"/>
  </cols>
  <sheetData>
    <row r="1" spans="1:81" customFormat="1" ht="18" customHeight="1">
      <c r="A1" s="1520" t="s">
        <v>57</v>
      </c>
      <c r="B1" s="1"/>
      <c r="C1" s="652"/>
      <c r="D1" s="652"/>
      <c r="E1" s="2393">
        <v>42369</v>
      </c>
      <c r="F1" s="2393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212"/>
      <c r="T1" s="212"/>
      <c r="U1" s="652"/>
      <c r="V1" s="652"/>
      <c r="W1" s="65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731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65" t="s">
        <v>66</v>
      </c>
      <c r="D3" s="65" t="s">
        <v>72</v>
      </c>
      <c r="E3" s="65"/>
      <c r="F3" s="65" t="s">
        <v>84</v>
      </c>
      <c r="G3" s="1650"/>
      <c r="H3" s="65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321</v>
      </c>
      <c r="C4" s="1651"/>
      <c r="D4" s="1651"/>
      <c r="E4" s="1651"/>
      <c r="F4" s="1650"/>
      <c r="G4" s="1650"/>
      <c r="H4" s="1650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201401289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/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/>
      <c r="B15" s="152" t="s">
        <v>112</v>
      </c>
      <c r="C15" s="124">
        <f>D15*E15</f>
        <v>1022888.22</v>
      </c>
      <c r="D15" s="131">
        <f>852406.85*1.2</f>
        <v>1022888.22</v>
      </c>
      <c r="E15" s="132">
        <v>1</v>
      </c>
      <c r="F15" s="2304">
        <f>D15*E15</f>
        <v>1022888.22</v>
      </c>
      <c r="G15" s="103"/>
      <c r="H15" s="103"/>
      <c r="I15" s="2307">
        <f t="shared" ref="I15:I21" si="0">W15</f>
        <v>1022888.22</v>
      </c>
      <c r="J15" s="103"/>
      <c r="K15" s="103"/>
      <c r="L15" s="103">
        <f t="shared" ref="L15:L23" si="1">I15-J15+K15</f>
        <v>1022888.22</v>
      </c>
      <c r="M15" s="103"/>
      <c r="N15" s="103"/>
      <c r="O15" s="105"/>
      <c r="P15" s="103"/>
      <c r="Q15" s="105"/>
      <c r="R15" s="105"/>
      <c r="S15" s="123"/>
      <c r="T15" s="106"/>
      <c r="U15" s="105">
        <f>F15</f>
        <v>1022888.22</v>
      </c>
      <c r="V15" s="120">
        <v>1</v>
      </c>
      <c r="W15" s="124">
        <f>U15*V15</f>
        <v>1022888.22</v>
      </c>
      <c r="X15" s="103"/>
      <c r="Y15" s="103"/>
      <c r="Z15" s="103"/>
      <c r="AA15" s="105"/>
      <c r="AB15" s="106"/>
    </row>
    <row r="16" spans="1:81">
      <c r="A16" s="1530"/>
      <c r="B16" s="145"/>
      <c r="C16" s="124"/>
      <c r="D16" s="131"/>
      <c r="E16" s="132"/>
      <c r="F16" s="124"/>
      <c r="G16" s="139"/>
      <c r="H16" s="139"/>
      <c r="I16" s="2307">
        <f t="shared" si="0"/>
        <v>0</v>
      </c>
      <c r="J16" s="139"/>
      <c r="K16" s="133"/>
      <c r="L16" s="103">
        <f t="shared" si="1"/>
        <v>0</v>
      </c>
      <c r="M16" s="139"/>
      <c r="N16" s="133"/>
      <c r="O16" s="139"/>
      <c r="P16" s="143"/>
      <c r="Q16" s="141"/>
      <c r="R16" s="143"/>
      <c r="S16" s="139"/>
      <c r="T16" s="139"/>
      <c r="U16" s="131"/>
      <c r="V16" s="132"/>
      <c r="W16" s="124"/>
      <c r="X16" s="139"/>
      <c r="Y16" s="133"/>
      <c r="Z16" s="143"/>
      <c r="AA16" s="143"/>
      <c r="AB16" s="139"/>
    </row>
    <row r="17" spans="1:28">
      <c r="A17" s="1530"/>
      <c r="B17" s="152" t="s">
        <v>732</v>
      </c>
      <c r="C17" s="124">
        <f>D17*E17</f>
        <v>237145.41599999997</v>
      </c>
      <c r="D17" s="131">
        <f>197621.18*1.2</f>
        <v>237145.41599999997</v>
      </c>
      <c r="E17" s="132">
        <v>1</v>
      </c>
      <c r="F17" s="124">
        <f>D17*E17</f>
        <v>237145.41599999997</v>
      </c>
      <c r="G17" s="139"/>
      <c r="H17" s="139"/>
      <c r="I17" s="2307">
        <f t="shared" si="0"/>
        <v>0</v>
      </c>
      <c r="J17" s="139"/>
      <c r="K17" s="133"/>
      <c r="L17" s="103">
        <f t="shared" si="1"/>
        <v>0</v>
      </c>
      <c r="M17" s="139"/>
      <c r="N17" s="133"/>
      <c r="O17" s="139"/>
      <c r="P17" s="139"/>
      <c r="Q17" s="149"/>
      <c r="R17" s="134"/>
      <c r="S17" s="139"/>
      <c r="T17" s="139"/>
      <c r="U17" s="131"/>
      <c r="V17" s="132"/>
      <c r="W17" s="124"/>
      <c r="X17" s="139"/>
      <c r="Y17" s="133"/>
      <c r="Z17" s="139"/>
      <c r="AA17" s="134"/>
      <c r="AB17" s="139"/>
    </row>
    <row r="18" spans="1:28">
      <c r="A18" s="1530"/>
      <c r="B18" s="142"/>
      <c r="C18" s="124"/>
      <c r="D18" s="131"/>
      <c r="E18" s="132"/>
      <c r="F18" s="124"/>
      <c r="G18" s="139"/>
      <c r="H18" s="139"/>
      <c r="I18" s="2307">
        <f t="shared" si="0"/>
        <v>237145.41599999997</v>
      </c>
      <c r="J18" s="139"/>
      <c r="K18" s="133"/>
      <c r="L18" s="2326">
        <f t="shared" si="1"/>
        <v>237145.41599999997</v>
      </c>
      <c r="M18" s="139"/>
      <c r="N18" s="133"/>
      <c r="O18" s="139"/>
      <c r="P18" s="139"/>
      <c r="Q18" s="149"/>
      <c r="R18" s="139"/>
      <c r="S18" s="139"/>
      <c r="T18" s="139">
        <f>W18-L18</f>
        <v>0</v>
      </c>
      <c r="U18" s="131">
        <f>197621.18*1.2</f>
        <v>237145.41599999997</v>
      </c>
      <c r="V18" s="132">
        <v>1</v>
      </c>
      <c r="W18" s="124">
        <f>U18*V18</f>
        <v>237145.41599999997</v>
      </c>
      <c r="X18" s="139"/>
      <c r="Y18" s="133"/>
      <c r="Z18" s="139"/>
      <c r="AA18" s="139"/>
      <c r="AB18" s="139"/>
    </row>
    <row r="19" spans="1:28">
      <c r="A19" s="1530"/>
      <c r="B19" s="142"/>
      <c r="C19" s="124"/>
      <c r="D19" s="131"/>
      <c r="E19" s="132"/>
      <c r="F19" s="124"/>
      <c r="G19" s="139"/>
      <c r="H19" s="139"/>
      <c r="I19" s="2307">
        <f t="shared" si="0"/>
        <v>0</v>
      </c>
      <c r="J19" s="139"/>
      <c r="K19" s="133"/>
      <c r="L19" s="103">
        <f t="shared" si="1"/>
        <v>0</v>
      </c>
      <c r="M19" s="139"/>
      <c r="N19" s="133"/>
      <c r="O19" s="139"/>
      <c r="P19" s="153"/>
      <c r="Q19" s="149"/>
      <c r="R19" s="153"/>
      <c r="S19" s="139"/>
      <c r="T19" s="139">
        <f>W19-L19</f>
        <v>0</v>
      </c>
      <c r="U19" s="131"/>
      <c r="V19" s="132"/>
      <c r="W19" s="124"/>
      <c r="X19" s="139"/>
      <c r="Y19" s="133"/>
      <c r="Z19" s="153"/>
      <c r="AA19" s="153"/>
      <c r="AB19" s="139"/>
    </row>
    <row r="20" spans="1:28" ht="22.5">
      <c r="A20" s="1530"/>
      <c r="B20" s="152" t="s">
        <v>733</v>
      </c>
      <c r="C20" s="124">
        <f>D20*E20</f>
        <v>391162.2</v>
      </c>
      <c r="D20" s="131">
        <f>325968.5*1.2</f>
        <v>391162.2</v>
      </c>
      <c r="E20" s="132">
        <v>1</v>
      </c>
      <c r="F20" s="2304">
        <f>D20*E20</f>
        <v>391162.2</v>
      </c>
      <c r="G20" s="139"/>
      <c r="H20" s="139"/>
      <c r="I20" s="2307">
        <f t="shared" si="0"/>
        <v>0</v>
      </c>
      <c r="J20" s="139"/>
      <c r="K20" s="133"/>
      <c r="L20" s="103">
        <f t="shared" si="1"/>
        <v>0</v>
      </c>
      <c r="M20" s="139"/>
      <c r="N20" s="133"/>
      <c r="O20" s="139"/>
      <c r="P20" s="153"/>
      <c r="Q20" s="149"/>
      <c r="R20" s="153"/>
      <c r="S20" s="139"/>
      <c r="T20" s="139">
        <f>W20-L20</f>
        <v>0</v>
      </c>
      <c r="U20" s="131"/>
      <c r="V20" s="132"/>
      <c r="W20" s="124"/>
      <c r="X20" s="139"/>
      <c r="Y20" s="133"/>
      <c r="Z20" s="153"/>
      <c r="AA20" s="153"/>
      <c r="AB20" s="139"/>
    </row>
    <row r="21" spans="1:28">
      <c r="B21" s="1644"/>
      <c r="C21" s="1644"/>
      <c r="D21" s="1644"/>
      <c r="E21" s="1644"/>
      <c r="F21" s="798"/>
      <c r="G21" s="139"/>
      <c r="H21" s="139"/>
      <c r="I21" s="2307">
        <f t="shared" si="0"/>
        <v>391162.2</v>
      </c>
      <c r="J21" s="139"/>
      <c r="K21" s="133"/>
      <c r="L21" s="2326">
        <f t="shared" si="1"/>
        <v>391162.2</v>
      </c>
      <c r="M21" s="139"/>
      <c r="N21" s="133"/>
      <c r="O21" s="139"/>
      <c r="P21" s="139"/>
      <c r="Q21" s="149"/>
      <c r="R21" s="139"/>
      <c r="S21" s="139"/>
      <c r="T21" s="139">
        <f>W21-L21</f>
        <v>0</v>
      </c>
      <c r="U21" s="131">
        <f>325968.5*1.2</f>
        <v>391162.2</v>
      </c>
      <c r="V21" s="132">
        <v>1</v>
      </c>
      <c r="W21" s="124">
        <f>U21*V21</f>
        <v>391162.2</v>
      </c>
      <c r="X21" s="139"/>
      <c r="Y21" s="133"/>
      <c r="Z21" s="139"/>
      <c r="AA21" s="139"/>
      <c r="AB21" s="139"/>
    </row>
    <row r="22" spans="1:28">
      <c r="A22" s="1530"/>
      <c r="B22" s="1645"/>
      <c r="C22" s="124"/>
      <c r="D22" s="131"/>
      <c r="E22" s="1531"/>
      <c r="F22" s="124"/>
      <c r="G22" s="139"/>
      <c r="H22" s="139"/>
      <c r="I22" s="2308"/>
      <c r="J22" s="139"/>
      <c r="K22" s="133"/>
      <c r="L22" s="103">
        <f t="shared" si="1"/>
        <v>0</v>
      </c>
      <c r="M22" s="139"/>
      <c r="N22" s="133"/>
      <c r="O22" s="139"/>
      <c r="P22" s="153"/>
      <c r="Q22" s="149"/>
      <c r="R22" s="153"/>
      <c r="S22" s="139"/>
      <c r="T22" s="139"/>
      <c r="U22" s="131"/>
      <c r="V22" s="1531"/>
      <c r="W22" s="124"/>
      <c r="X22" s="1533"/>
      <c r="Y22" s="133"/>
      <c r="Z22" s="153"/>
      <c r="AA22" s="153"/>
      <c r="AB22" s="139"/>
    </row>
    <row r="23" spans="1:28">
      <c r="A23" s="1530"/>
      <c r="B23" s="142"/>
      <c r="C23" s="124"/>
      <c r="D23" s="131"/>
      <c r="E23" s="132"/>
      <c r="F23" s="124"/>
      <c r="G23" s="139"/>
      <c r="H23" s="139"/>
      <c r="I23" s="2308"/>
      <c r="J23" s="139"/>
      <c r="K23" s="133"/>
      <c r="L23" s="103">
        <f t="shared" si="1"/>
        <v>0</v>
      </c>
      <c r="M23" s="139"/>
      <c r="N23" s="133"/>
      <c r="O23" s="139"/>
      <c r="P23" s="139"/>
      <c r="Q23" s="155"/>
      <c r="R23" s="139"/>
      <c r="S23" s="139"/>
      <c r="T23" s="139"/>
      <c r="U23" s="131"/>
      <c r="V23" s="132"/>
      <c r="W23" s="124"/>
      <c r="X23" s="139"/>
      <c r="Y23" s="133"/>
      <c r="Z23" s="139"/>
      <c r="AA23" s="139"/>
      <c r="AB23" s="139"/>
    </row>
    <row r="24" spans="1:28">
      <c r="A24" s="1534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53"/>
      <c r="Q24" s="156"/>
      <c r="R24" s="153"/>
      <c r="S24" s="139"/>
      <c r="T24" s="139"/>
      <c r="U24" s="131"/>
      <c r="V24" s="1531"/>
      <c r="W24" s="124"/>
      <c r="X24" s="139"/>
      <c r="Y24" s="133"/>
      <c r="Z24" s="153"/>
      <c r="AA24" s="153"/>
      <c r="AB24" s="139"/>
    </row>
    <row r="25" spans="1:28">
      <c r="A25" s="157"/>
      <c r="B25" s="152"/>
      <c r="C25" s="124"/>
      <c r="D25" s="131"/>
      <c r="E25" s="1531"/>
      <c r="F25" s="124"/>
      <c r="G25" s="139"/>
      <c r="H25" s="139"/>
      <c r="I25" s="139"/>
      <c r="J25" s="139"/>
      <c r="K25" s="133">
        <f>0.5*W25</f>
        <v>0</v>
      </c>
      <c r="L25" s="139"/>
      <c r="M25" s="139"/>
      <c r="N25" s="133"/>
      <c r="O25" s="139"/>
      <c r="P25" s="139"/>
      <c r="Q25" s="156"/>
      <c r="R25" s="139"/>
      <c r="S25" s="139"/>
      <c r="T25" s="139"/>
      <c r="U25" s="144"/>
      <c r="V25" s="1531"/>
      <c r="W25" s="124">
        <f t="shared" ref="W25:W30" si="2">U25*V25</f>
        <v>0</v>
      </c>
      <c r="X25" s="139"/>
      <c r="Y25" s="133"/>
      <c r="Z25" s="139"/>
      <c r="AA25" s="139"/>
      <c r="AB25" s="139">
        <v>0</v>
      </c>
    </row>
    <row r="26" spans="1:28">
      <c r="A26" s="146"/>
      <c r="B26" s="152"/>
      <c r="C26" s="124">
        <f>D26*E26</f>
        <v>0</v>
      </c>
      <c r="D26" s="131"/>
      <c r="E26" s="1531"/>
      <c r="F26" s="124">
        <f>D26*E26</f>
        <v>0</v>
      </c>
      <c r="G26" s="134"/>
      <c r="H26" s="134"/>
      <c r="I26" s="135"/>
      <c r="J26" s="134"/>
      <c r="K26" s="133">
        <f>0.5*W26</f>
        <v>0</v>
      </c>
      <c r="L26" s="139"/>
      <c r="M26" s="134"/>
      <c r="N26" s="133"/>
      <c r="O26" s="134"/>
      <c r="P26" s="153"/>
      <c r="Q26" s="156"/>
      <c r="R26" s="153"/>
      <c r="S26" s="139"/>
      <c r="T26" s="138"/>
      <c r="U26" s="144"/>
      <c r="V26" s="1531"/>
      <c r="W26" s="124">
        <f t="shared" si="2"/>
        <v>0</v>
      </c>
      <c r="X26" s="139"/>
      <c r="Y26" s="133"/>
      <c r="Z26" s="153"/>
      <c r="AA26" s="153"/>
      <c r="AB26" s="138"/>
    </row>
    <row r="27" spans="1:28">
      <c r="A27" s="157"/>
      <c r="B27" s="152"/>
      <c r="C27" s="124">
        <f>D27*E27</f>
        <v>0</v>
      </c>
      <c r="D27" s="131"/>
      <c r="E27" s="1531"/>
      <c r="F27" s="124">
        <f>D27*E27</f>
        <v>0</v>
      </c>
      <c r="G27" s="134"/>
      <c r="H27" s="134"/>
      <c r="I27" s="135"/>
      <c r="J27" s="134"/>
      <c r="K27" s="133">
        <f>0.5*W27</f>
        <v>0</v>
      </c>
      <c r="L27" s="139"/>
      <c r="M27" s="134"/>
      <c r="N27" s="133"/>
      <c r="O27" s="134"/>
      <c r="P27" s="134"/>
      <c r="Q27" s="156"/>
      <c r="R27" s="139"/>
      <c r="S27" s="139"/>
      <c r="T27" s="138"/>
      <c r="U27" s="144"/>
      <c r="V27" s="1531"/>
      <c r="W27" s="124">
        <f t="shared" si="2"/>
        <v>0</v>
      </c>
      <c r="X27" s="139"/>
      <c r="Y27" s="133"/>
      <c r="Z27" s="134"/>
      <c r="AA27" s="139"/>
      <c r="AB27" s="138"/>
    </row>
    <row r="28" spans="1:28" ht="9.9499999999999993" customHeight="1">
      <c r="A28" s="157"/>
      <c r="B28" s="152"/>
      <c r="C28" s="124">
        <f>D28*E28</f>
        <v>0</v>
      </c>
      <c r="D28" s="131"/>
      <c r="E28" s="1531"/>
      <c r="F28" s="124">
        <f>D28*E28</f>
        <v>0</v>
      </c>
      <c r="G28" s="134"/>
      <c r="H28" s="134"/>
      <c r="I28" s="135"/>
      <c r="J28" s="134"/>
      <c r="K28" s="133">
        <f>0.5*W28</f>
        <v>0</v>
      </c>
      <c r="L28" s="139"/>
      <c r="M28" s="134"/>
      <c r="N28" s="133"/>
      <c r="O28" s="134"/>
      <c r="P28" s="134"/>
      <c r="Q28" s="156"/>
      <c r="R28" s="139"/>
      <c r="S28" s="139"/>
      <c r="T28" s="138"/>
      <c r="U28" s="144"/>
      <c r="V28" s="1531"/>
      <c r="W28" s="124">
        <f t="shared" si="2"/>
        <v>0</v>
      </c>
      <c r="X28" s="139"/>
      <c r="Y28" s="133"/>
      <c r="Z28" s="134"/>
      <c r="AA28" s="139"/>
      <c r="AB28" s="138"/>
    </row>
    <row r="29" spans="1:28">
      <c r="A29" s="1530"/>
      <c r="B29" s="152"/>
      <c r="C29" s="124">
        <f>D29*E29</f>
        <v>0</v>
      </c>
      <c r="D29" s="131"/>
      <c r="E29" s="1531"/>
      <c r="F29" s="124">
        <f>D29*E29</f>
        <v>0</v>
      </c>
      <c r="G29" s="134"/>
      <c r="H29" s="134"/>
      <c r="I29" s="135"/>
      <c r="J29" s="134"/>
      <c r="K29" s="134"/>
      <c r="L29" s="139"/>
      <c r="M29" s="134"/>
      <c r="N29" s="134"/>
      <c r="O29" s="134"/>
      <c r="P29" s="134"/>
      <c r="Q29" s="156"/>
      <c r="R29" s="139"/>
      <c r="S29" s="139"/>
      <c r="T29" s="138"/>
      <c r="U29" s="144"/>
      <c r="V29" s="1531"/>
      <c r="W29" s="124">
        <f t="shared" si="2"/>
        <v>0</v>
      </c>
      <c r="X29" s="139"/>
      <c r="Y29" s="134"/>
      <c r="Z29" s="134"/>
      <c r="AA29" s="139"/>
      <c r="AB29" s="138"/>
    </row>
    <row r="30" spans="1:28">
      <c r="A30" s="157"/>
      <c r="B30" s="152"/>
      <c r="C30" s="124">
        <f>D30*E30</f>
        <v>0</v>
      </c>
      <c r="D30" s="131"/>
      <c r="E30" s="1531"/>
      <c r="F30" s="124">
        <f>D30*E30</f>
        <v>0</v>
      </c>
      <c r="G30" s="134"/>
      <c r="H30" s="134"/>
      <c r="I30" s="135"/>
      <c r="J30" s="134"/>
      <c r="K30" s="134"/>
      <c r="L30" s="139"/>
      <c r="M30" s="134"/>
      <c r="N30" s="134"/>
      <c r="O30" s="134"/>
      <c r="P30" s="134"/>
      <c r="Q30" s="156"/>
      <c r="R30" s="139"/>
      <c r="S30" s="139"/>
      <c r="T30" s="138"/>
      <c r="U30" s="144"/>
      <c r="V30" s="1531"/>
      <c r="W30" s="124">
        <f t="shared" si="2"/>
        <v>0</v>
      </c>
      <c r="X30" s="139"/>
      <c r="Y30" s="134"/>
      <c r="Z30" s="134"/>
      <c r="AA30" s="139"/>
      <c r="AB30" s="138"/>
    </row>
    <row r="31" spans="1:28">
      <c r="A31" s="157"/>
      <c r="B31" s="152"/>
      <c r="C31" s="124"/>
      <c r="D31" s="131"/>
      <c r="E31" s="1531"/>
      <c r="F31" s="124"/>
      <c r="G31" s="134"/>
      <c r="H31" s="134"/>
      <c r="I31" s="135"/>
      <c r="J31" s="134"/>
      <c r="K31" s="134"/>
      <c r="L31" s="139"/>
      <c r="M31" s="134"/>
      <c r="N31" s="134"/>
      <c r="O31" s="134"/>
      <c r="P31" s="134"/>
      <c r="Q31" s="156"/>
      <c r="R31" s="139"/>
      <c r="S31" s="139"/>
      <c r="T31" s="138"/>
      <c r="U31" s="144"/>
      <c r="V31" s="1531"/>
      <c r="W31" s="124"/>
      <c r="X31" s="139"/>
      <c r="Y31" s="134"/>
      <c r="Z31" s="134"/>
      <c r="AA31" s="139"/>
      <c r="AB31" s="138"/>
    </row>
    <row r="32" spans="1:28">
      <c r="A32" s="157"/>
      <c r="B32" s="152"/>
      <c r="C32" s="124"/>
      <c r="D32" s="131"/>
      <c r="E32" s="1531"/>
      <c r="F32" s="124"/>
      <c r="G32" s="134"/>
      <c r="H32" s="134"/>
      <c r="I32" s="135"/>
      <c r="J32" s="134"/>
      <c r="K32" s="134"/>
      <c r="L32" s="139"/>
      <c r="M32" s="134"/>
      <c r="N32" s="134"/>
      <c r="O32" s="134"/>
      <c r="P32" s="134"/>
      <c r="Q32" s="156"/>
      <c r="R32" s="139"/>
      <c r="S32" s="139"/>
      <c r="T32" s="138"/>
      <c r="U32" s="144"/>
      <c r="V32" s="1531"/>
      <c r="W32" s="124"/>
      <c r="X32" s="139"/>
      <c r="Y32" s="134"/>
      <c r="Z32" s="134"/>
      <c r="AA32" s="139"/>
      <c r="AB32" s="138"/>
    </row>
    <row r="33" spans="1:28">
      <c r="A33" s="157"/>
      <c r="B33" s="152"/>
      <c r="C33" s="124"/>
      <c r="D33" s="131"/>
      <c r="E33" s="1531"/>
      <c r="F33" s="124"/>
      <c r="G33" s="134"/>
      <c r="H33" s="134"/>
      <c r="I33" s="135"/>
      <c r="J33" s="134"/>
      <c r="K33" s="134"/>
      <c r="L33" s="139"/>
      <c r="M33" s="134"/>
      <c r="N33" s="134"/>
      <c r="O33" s="134"/>
      <c r="P33" s="134"/>
      <c r="Q33" s="156"/>
      <c r="R33" s="139"/>
      <c r="S33" s="139"/>
      <c r="T33" s="138"/>
      <c r="U33" s="144"/>
      <c r="V33" s="1531"/>
      <c r="W33" s="124"/>
      <c r="X33" s="139"/>
      <c r="Y33" s="134"/>
      <c r="Z33" s="134"/>
      <c r="AA33" s="139"/>
      <c r="AB33" s="138"/>
    </row>
    <row r="34" spans="1:28">
      <c r="A34" s="157"/>
      <c r="B34" s="152"/>
      <c r="C34" s="124"/>
      <c r="D34" s="131"/>
      <c r="E34" s="1531"/>
      <c r="F34" s="124"/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/>
      <c r="X34" s="139"/>
      <c r="Y34" s="134"/>
      <c r="Z34" s="134"/>
      <c r="AA34" s="139"/>
      <c r="AB34" s="138"/>
    </row>
    <row r="35" spans="1:28">
      <c r="A35" s="157"/>
      <c r="B35" s="152"/>
      <c r="C35" s="124"/>
      <c r="D35" s="131"/>
      <c r="E35" s="1531"/>
      <c r="F35" s="124"/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/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>
        <f>D44*E44</f>
        <v>0</v>
      </c>
      <c r="D44" s="131"/>
      <c r="E44" s="1531"/>
      <c r="F44" s="124">
        <f>D44*E44</f>
        <v>0</v>
      </c>
      <c r="G44" s="134"/>
      <c r="H44" s="134"/>
      <c r="I44" s="135"/>
      <c r="J44" s="134"/>
      <c r="K44" s="134"/>
      <c r="L44" s="139"/>
      <c r="M44" s="134"/>
      <c r="N44" s="134"/>
      <c r="O44" s="134"/>
      <c r="P44" s="139"/>
      <c r="Q44" s="134"/>
      <c r="R44" s="139"/>
      <c r="S44" s="139"/>
      <c r="T44" s="138"/>
      <c r="U44" s="144"/>
      <c r="V44" s="1531"/>
      <c r="W44" s="124">
        <f t="shared" ref="W44:W53" si="3">U44*V44</f>
        <v>0</v>
      </c>
      <c r="X44" s="139"/>
      <c r="Y44" s="134"/>
      <c r="Z44" s="139"/>
      <c r="AA44" s="139"/>
      <c r="AB44" s="138"/>
    </row>
    <row r="45" spans="1:28">
      <c r="A45" s="157"/>
      <c r="B45" s="152"/>
      <c r="C45" s="124">
        <f>D45*E45</f>
        <v>0</v>
      </c>
      <c r="D45" s="131"/>
      <c r="E45" s="1531"/>
      <c r="F45" s="124">
        <f>D45*E45</f>
        <v>0</v>
      </c>
      <c r="G45" s="134"/>
      <c r="H45" s="134"/>
      <c r="I45" s="135"/>
      <c r="J45" s="134"/>
      <c r="K45" s="134"/>
      <c r="L45" s="139"/>
      <c r="M45" s="134"/>
      <c r="N45" s="134"/>
      <c r="O45" s="134"/>
      <c r="P45" s="139"/>
      <c r="Q45" s="134"/>
      <c r="R45" s="139"/>
      <c r="S45" s="139"/>
      <c r="T45" s="138"/>
      <c r="U45" s="144"/>
      <c r="V45" s="1531"/>
      <c r="W45" s="124">
        <f t="shared" si="3"/>
        <v>0</v>
      </c>
      <c r="X45" s="139"/>
      <c r="Y45" s="134"/>
      <c r="Z45" s="139"/>
      <c r="AA45" s="139"/>
      <c r="AB45" s="138"/>
    </row>
    <row r="46" spans="1:28">
      <c r="A46" s="157"/>
      <c r="B46" s="152"/>
      <c r="C46" s="124">
        <f>D46*E46</f>
        <v>0</v>
      </c>
      <c r="D46" s="131"/>
      <c r="E46" s="1531"/>
      <c r="F46" s="124">
        <f>D46*E46</f>
        <v>0</v>
      </c>
      <c r="G46" s="134"/>
      <c r="H46" s="134"/>
      <c r="I46" s="135"/>
      <c r="J46" s="134"/>
      <c r="K46" s="134"/>
      <c r="L46" s="139"/>
      <c r="M46" s="134"/>
      <c r="N46" s="134"/>
      <c r="O46" s="134"/>
      <c r="P46" s="139"/>
      <c r="Q46" s="134"/>
      <c r="R46" s="139"/>
      <c r="S46" s="139"/>
      <c r="T46" s="138"/>
      <c r="U46" s="144"/>
      <c r="V46" s="1531"/>
      <c r="W46" s="124">
        <f t="shared" si="3"/>
        <v>0</v>
      </c>
      <c r="X46" s="139"/>
      <c r="Y46" s="134"/>
      <c r="Z46" s="139"/>
      <c r="AA46" s="139"/>
      <c r="AB46" s="138"/>
    </row>
    <row r="47" spans="1:28">
      <c r="A47" s="157"/>
      <c r="B47" s="152"/>
      <c r="C47" s="124"/>
      <c r="D47" s="131"/>
      <c r="E47" s="157"/>
      <c r="F47" s="124"/>
      <c r="G47" s="134"/>
      <c r="H47" s="134"/>
      <c r="I47" s="135"/>
      <c r="J47" s="134"/>
      <c r="K47" s="134"/>
      <c r="L47" s="139"/>
      <c r="M47" s="134"/>
      <c r="N47" s="134"/>
      <c r="O47" s="134"/>
      <c r="P47" s="139"/>
      <c r="Q47" s="134"/>
      <c r="R47" s="139"/>
      <c r="S47" s="139"/>
      <c r="T47" s="138"/>
      <c r="U47" s="144"/>
      <c r="V47" s="157"/>
      <c r="W47" s="124">
        <f t="shared" si="3"/>
        <v>0</v>
      </c>
      <c r="X47" s="139"/>
      <c r="Y47" s="134"/>
      <c r="Z47" s="139"/>
      <c r="AA47" s="139"/>
      <c r="AB47" s="138"/>
    </row>
    <row r="48" spans="1:28">
      <c r="A48" s="1530"/>
      <c r="B48" s="152"/>
      <c r="C48" s="124">
        <f t="shared" ref="C48:C53" si="4">D48*E48</f>
        <v>0</v>
      </c>
      <c r="D48" s="131"/>
      <c r="E48" s="157"/>
      <c r="F48" s="124">
        <f t="shared" ref="F48:F53" si="5">D48*E48</f>
        <v>0</v>
      </c>
      <c r="G48" s="134"/>
      <c r="H48" s="134"/>
      <c r="I48" s="135"/>
      <c r="J48" s="134"/>
      <c r="K48" s="134"/>
      <c r="L48" s="139"/>
      <c r="M48" s="134"/>
      <c r="N48" s="134"/>
      <c r="O48" s="134"/>
      <c r="P48" s="139"/>
      <c r="Q48" s="134"/>
      <c r="R48" s="139"/>
      <c r="S48" s="139"/>
      <c r="T48" s="138"/>
      <c r="U48" s="144"/>
      <c r="V48" s="157"/>
      <c r="W48" s="124">
        <f t="shared" si="3"/>
        <v>0</v>
      </c>
      <c r="X48" s="139"/>
      <c r="Y48" s="134"/>
      <c r="Z48" s="139"/>
      <c r="AA48" s="139"/>
      <c r="AB48" s="138"/>
    </row>
    <row r="49" spans="1:28">
      <c r="A49" s="157"/>
      <c r="B49" s="152"/>
      <c r="C49" s="124">
        <f t="shared" si="4"/>
        <v>0</v>
      </c>
      <c r="D49" s="131"/>
      <c r="E49" s="146"/>
      <c r="F49" s="124">
        <f t="shared" si="5"/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46"/>
      <c r="W49" s="124">
        <f t="shared" si="3"/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 t="shared" si="4"/>
        <v>0</v>
      </c>
      <c r="D50" s="131"/>
      <c r="E50" s="157"/>
      <c r="F50" s="124">
        <f t="shared" si="5"/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7"/>
      <c r="W50" s="124">
        <f t="shared" si="3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 t="shared" si="4"/>
        <v>0</v>
      </c>
      <c r="D51" s="131"/>
      <c r="E51" s="146"/>
      <c r="F51" s="124">
        <f t="shared" si="5"/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46"/>
      <c r="W51" s="124">
        <f t="shared" si="3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>
        <f t="shared" si="4"/>
        <v>0</v>
      </c>
      <c r="D52" s="131"/>
      <c r="E52" s="157"/>
      <c r="F52" s="124">
        <f t="shared" si="5"/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7"/>
      <c r="W52" s="124">
        <f t="shared" si="3"/>
        <v>0</v>
      </c>
      <c r="X52" s="139"/>
      <c r="Y52" s="134"/>
      <c r="Z52" s="139"/>
      <c r="AA52" s="139"/>
      <c r="AB52" s="138"/>
    </row>
    <row r="53" spans="1:28">
      <c r="A53" s="157"/>
      <c r="B53" s="158"/>
      <c r="C53" s="124">
        <f t="shared" si="4"/>
        <v>0</v>
      </c>
      <c r="D53" s="131"/>
      <c r="E53" s="132"/>
      <c r="F53" s="124">
        <f t="shared" si="5"/>
        <v>0</v>
      </c>
      <c r="G53" s="134"/>
      <c r="H53" s="134"/>
      <c r="I53" s="134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32"/>
      <c r="W53" s="124">
        <f t="shared" si="3"/>
        <v>0</v>
      </c>
      <c r="X53" s="139"/>
      <c r="Y53" s="134"/>
      <c r="Z53" s="139"/>
      <c r="AA53" s="139"/>
      <c r="AB53" s="138"/>
    </row>
    <row r="54" spans="1:28">
      <c r="A54" s="159" t="s">
        <v>97</v>
      </c>
      <c r="B54" s="160" t="s">
        <v>17</v>
      </c>
      <c r="C54" s="1535">
        <f>SUM(C15:C53)</f>
        <v>1651195.8359999999</v>
      </c>
      <c r="D54" s="1536"/>
      <c r="E54" s="1536"/>
      <c r="F54" s="1536">
        <f>SUM(F15:F53)</f>
        <v>1651195.8359999999</v>
      </c>
      <c r="G54" s="1536">
        <f t="shared" ref="G54:N54" si="6">SUM(G16:G53)</f>
        <v>0</v>
      </c>
      <c r="H54" s="1536">
        <f t="shared" si="6"/>
        <v>0</v>
      </c>
      <c r="I54" s="1536">
        <f>SUM(I15:I53)</f>
        <v>1651195.8359999999</v>
      </c>
      <c r="J54" s="1536">
        <f t="shared" si="6"/>
        <v>0</v>
      </c>
      <c r="K54" s="1536">
        <f t="shared" si="6"/>
        <v>0</v>
      </c>
      <c r="L54" s="1536">
        <f>SUM(L15:L53)</f>
        <v>1651195.8359999999</v>
      </c>
      <c r="M54" s="1536">
        <f t="shared" si="6"/>
        <v>0</v>
      </c>
      <c r="N54" s="1536">
        <f t="shared" si="6"/>
        <v>0</v>
      </c>
      <c r="O54" s="1536">
        <f>SUM(O14:O53)</f>
        <v>0</v>
      </c>
      <c r="P54" s="1536">
        <f>SUM(P14:P53)</f>
        <v>0</v>
      </c>
      <c r="Q54" s="1536">
        <f>SUM(Q14:Q53)</f>
        <v>0</v>
      </c>
      <c r="R54" s="1536">
        <f>SUM(R14:R53)</f>
        <v>0</v>
      </c>
      <c r="S54" s="1536">
        <f>SUM(S16:S53)</f>
        <v>0</v>
      </c>
      <c r="T54" s="1537">
        <f>W54-L54</f>
        <v>0</v>
      </c>
      <c r="U54" s="1536"/>
      <c r="V54" s="1536"/>
      <c r="W54" s="1536">
        <f>SUM(W14:W53)</f>
        <v>1651195.8359999999</v>
      </c>
      <c r="X54" s="1536">
        <f>SUM(X16:X53)</f>
        <v>0</v>
      </c>
      <c r="Y54" s="1536">
        <f>SUM(Y16:Y53)</f>
        <v>0</v>
      </c>
      <c r="Z54" s="1536">
        <f>SUM(Z16:Z53)</f>
        <v>0</v>
      </c>
      <c r="AA54" s="1536">
        <v>0</v>
      </c>
      <c r="AB54" s="1536">
        <f>SUM(AB16:AB53)</f>
        <v>0</v>
      </c>
    </row>
    <row r="55" spans="1:28">
      <c r="A55" s="161"/>
      <c r="B55" s="162"/>
      <c r="F55" s="163"/>
      <c r="G55" s="163"/>
      <c r="H55" s="163"/>
      <c r="I55" s="163"/>
      <c r="J55" s="163"/>
      <c r="K55" s="163"/>
      <c r="L55" s="163"/>
      <c r="M55" s="163"/>
      <c r="N55" s="163"/>
      <c r="P55" s="163"/>
      <c r="Q55" s="67"/>
      <c r="R55" s="67"/>
      <c r="W55" s="163"/>
    </row>
    <row r="56" spans="1:28">
      <c r="A56" s="164"/>
      <c r="B56" s="162"/>
      <c r="F56" s="163"/>
      <c r="G56" s="163"/>
      <c r="H56" s="163"/>
      <c r="I56" s="163"/>
      <c r="J56" s="163"/>
      <c r="K56" s="163"/>
      <c r="L56" s="163"/>
      <c r="M56" s="163"/>
      <c r="N56" s="163"/>
      <c r="P56" s="163"/>
      <c r="Q56" s="67"/>
      <c r="R56" s="67"/>
      <c r="W56" s="163"/>
    </row>
    <row r="57" spans="1:28">
      <c r="F57" s="163"/>
      <c r="R57" s="67"/>
      <c r="W57" s="163"/>
    </row>
    <row r="58" spans="1:28">
      <c r="F58" s="163"/>
      <c r="R58" s="67"/>
      <c r="W58" s="163"/>
    </row>
    <row r="59" spans="1:28">
      <c r="R59" s="67"/>
    </row>
    <row r="60" spans="1:28">
      <c r="A60" s="67" t="s">
        <v>59</v>
      </c>
      <c r="F60" s="163"/>
      <c r="W60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68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pageSetUpPr fitToPage="1"/>
  </sheetPr>
  <dimension ref="A1:CC61"/>
  <sheetViews>
    <sheetView showGridLines="0" showZeros="0" view="pageBreakPreview" zoomScaleNormal="100" workbookViewId="0">
      <selection activeCell="E81" sqref="E81:P81"/>
    </sheetView>
  </sheetViews>
  <sheetFormatPr baseColWidth="10" defaultRowHeight="12.75"/>
  <cols>
    <col min="1" max="1" width="10.25" style="67" customWidth="1"/>
    <col min="2" max="2" width="33.5" style="67" customWidth="1"/>
    <col min="3" max="3" width="10.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256" width="11" style="384"/>
    <col min="257" max="257" width="10.25" style="384" customWidth="1"/>
    <col min="258" max="258" width="33.5" style="384" customWidth="1"/>
    <col min="259" max="259" width="10.5" style="384" customWidth="1"/>
    <col min="260" max="260" width="10.375" style="384" customWidth="1"/>
    <col min="261" max="261" width="2.5" style="384" bestFit="1" customWidth="1"/>
    <col min="262" max="265" width="10.25" style="384" customWidth="1"/>
    <col min="266" max="266" width="12" style="384" customWidth="1"/>
    <col min="267" max="267" width="10.25" style="384" customWidth="1"/>
    <col min="268" max="268" width="9" style="384" customWidth="1"/>
    <col min="269" max="269" width="9.75" style="384" customWidth="1"/>
    <col min="270" max="270" width="8.75" style="384" customWidth="1"/>
    <col min="271" max="271" width="6.5" style="384" customWidth="1"/>
    <col min="272" max="272" width="11" style="384"/>
    <col min="273" max="273" width="5.875" style="384" customWidth="1"/>
    <col min="274" max="275" width="11" style="384"/>
    <col min="276" max="276" width="10.875" style="384" customWidth="1"/>
    <col min="277" max="277" width="9" style="384" customWidth="1"/>
    <col min="278" max="278" width="4.875" style="384" customWidth="1"/>
    <col min="279" max="279" width="10.25" style="384" customWidth="1"/>
    <col min="280" max="284" width="10.875" style="384" customWidth="1"/>
    <col min="285" max="512" width="11" style="384"/>
    <col min="513" max="513" width="10.25" style="384" customWidth="1"/>
    <col min="514" max="514" width="33.5" style="384" customWidth="1"/>
    <col min="515" max="515" width="10.5" style="384" customWidth="1"/>
    <col min="516" max="516" width="10.375" style="384" customWidth="1"/>
    <col min="517" max="517" width="2.5" style="384" bestFit="1" customWidth="1"/>
    <col min="518" max="521" width="10.25" style="384" customWidth="1"/>
    <col min="522" max="522" width="12" style="384" customWidth="1"/>
    <col min="523" max="523" width="10.25" style="384" customWidth="1"/>
    <col min="524" max="524" width="9" style="384" customWidth="1"/>
    <col min="525" max="525" width="9.75" style="384" customWidth="1"/>
    <col min="526" max="526" width="8.75" style="384" customWidth="1"/>
    <col min="527" max="527" width="6.5" style="384" customWidth="1"/>
    <col min="528" max="528" width="11" style="384"/>
    <col min="529" max="529" width="5.875" style="384" customWidth="1"/>
    <col min="530" max="531" width="11" style="384"/>
    <col min="532" max="532" width="10.875" style="384" customWidth="1"/>
    <col min="533" max="533" width="9" style="384" customWidth="1"/>
    <col min="534" max="534" width="4.875" style="384" customWidth="1"/>
    <col min="535" max="535" width="10.25" style="384" customWidth="1"/>
    <col min="536" max="540" width="10.875" style="384" customWidth="1"/>
    <col min="541" max="768" width="11" style="384"/>
    <col min="769" max="769" width="10.25" style="384" customWidth="1"/>
    <col min="770" max="770" width="33.5" style="384" customWidth="1"/>
    <col min="771" max="771" width="10.5" style="384" customWidth="1"/>
    <col min="772" max="772" width="10.375" style="384" customWidth="1"/>
    <col min="773" max="773" width="2.5" style="384" bestFit="1" customWidth="1"/>
    <col min="774" max="777" width="10.25" style="384" customWidth="1"/>
    <col min="778" max="778" width="12" style="384" customWidth="1"/>
    <col min="779" max="779" width="10.25" style="384" customWidth="1"/>
    <col min="780" max="780" width="9" style="384" customWidth="1"/>
    <col min="781" max="781" width="9.75" style="384" customWidth="1"/>
    <col min="782" max="782" width="8.75" style="384" customWidth="1"/>
    <col min="783" max="783" width="6.5" style="384" customWidth="1"/>
    <col min="784" max="784" width="11" style="384"/>
    <col min="785" max="785" width="5.875" style="384" customWidth="1"/>
    <col min="786" max="787" width="11" style="384"/>
    <col min="788" max="788" width="10.875" style="384" customWidth="1"/>
    <col min="789" max="789" width="9" style="384" customWidth="1"/>
    <col min="790" max="790" width="4.875" style="384" customWidth="1"/>
    <col min="791" max="791" width="10.25" style="384" customWidth="1"/>
    <col min="792" max="796" width="10.875" style="384" customWidth="1"/>
    <col min="797" max="1024" width="11" style="384"/>
    <col min="1025" max="1025" width="10.25" style="384" customWidth="1"/>
    <col min="1026" max="1026" width="33.5" style="384" customWidth="1"/>
    <col min="1027" max="1027" width="10.5" style="384" customWidth="1"/>
    <col min="1028" max="1028" width="10.375" style="384" customWidth="1"/>
    <col min="1029" max="1029" width="2.5" style="384" bestFit="1" customWidth="1"/>
    <col min="1030" max="1033" width="10.25" style="384" customWidth="1"/>
    <col min="1034" max="1034" width="12" style="384" customWidth="1"/>
    <col min="1035" max="1035" width="10.25" style="384" customWidth="1"/>
    <col min="1036" max="1036" width="9" style="384" customWidth="1"/>
    <col min="1037" max="1037" width="9.75" style="384" customWidth="1"/>
    <col min="1038" max="1038" width="8.75" style="384" customWidth="1"/>
    <col min="1039" max="1039" width="6.5" style="384" customWidth="1"/>
    <col min="1040" max="1040" width="11" style="384"/>
    <col min="1041" max="1041" width="5.875" style="384" customWidth="1"/>
    <col min="1042" max="1043" width="11" style="384"/>
    <col min="1044" max="1044" width="10.875" style="384" customWidth="1"/>
    <col min="1045" max="1045" width="9" style="384" customWidth="1"/>
    <col min="1046" max="1046" width="4.875" style="384" customWidth="1"/>
    <col min="1047" max="1047" width="10.25" style="384" customWidth="1"/>
    <col min="1048" max="1052" width="10.875" style="384" customWidth="1"/>
    <col min="1053" max="1280" width="11" style="384"/>
    <col min="1281" max="1281" width="10.25" style="384" customWidth="1"/>
    <col min="1282" max="1282" width="33.5" style="384" customWidth="1"/>
    <col min="1283" max="1283" width="10.5" style="384" customWidth="1"/>
    <col min="1284" max="1284" width="10.375" style="384" customWidth="1"/>
    <col min="1285" max="1285" width="2.5" style="384" bestFit="1" customWidth="1"/>
    <col min="1286" max="1289" width="10.25" style="384" customWidth="1"/>
    <col min="1290" max="1290" width="12" style="384" customWidth="1"/>
    <col min="1291" max="1291" width="10.25" style="384" customWidth="1"/>
    <col min="1292" max="1292" width="9" style="384" customWidth="1"/>
    <col min="1293" max="1293" width="9.75" style="384" customWidth="1"/>
    <col min="1294" max="1294" width="8.75" style="384" customWidth="1"/>
    <col min="1295" max="1295" width="6.5" style="384" customWidth="1"/>
    <col min="1296" max="1296" width="11" style="384"/>
    <col min="1297" max="1297" width="5.875" style="384" customWidth="1"/>
    <col min="1298" max="1299" width="11" style="384"/>
    <col min="1300" max="1300" width="10.875" style="384" customWidth="1"/>
    <col min="1301" max="1301" width="9" style="384" customWidth="1"/>
    <col min="1302" max="1302" width="4.875" style="384" customWidth="1"/>
    <col min="1303" max="1303" width="10.25" style="384" customWidth="1"/>
    <col min="1304" max="1308" width="10.875" style="384" customWidth="1"/>
    <col min="1309" max="1536" width="11" style="384"/>
    <col min="1537" max="1537" width="10.25" style="384" customWidth="1"/>
    <col min="1538" max="1538" width="33.5" style="384" customWidth="1"/>
    <col min="1539" max="1539" width="10.5" style="384" customWidth="1"/>
    <col min="1540" max="1540" width="10.375" style="384" customWidth="1"/>
    <col min="1541" max="1541" width="2.5" style="384" bestFit="1" customWidth="1"/>
    <col min="1542" max="1545" width="10.25" style="384" customWidth="1"/>
    <col min="1546" max="1546" width="12" style="384" customWidth="1"/>
    <col min="1547" max="1547" width="10.25" style="384" customWidth="1"/>
    <col min="1548" max="1548" width="9" style="384" customWidth="1"/>
    <col min="1549" max="1549" width="9.75" style="384" customWidth="1"/>
    <col min="1550" max="1550" width="8.75" style="384" customWidth="1"/>
    <col min="1551" max="1551" width="6.5" style="384" customWidth="1"/>
    <col min="1552" max="1552" width="11" style="384"/>
    <col min="1553" max="1553" width="5.875" style="384" customWidth="1"/>
    <col min="1554" max="1555" width="11" style="384"/>
    <col min="1556" max="1556" width="10.875" style="384" customWidth="1"/>
    <col min="1557" max="1557" width="9" style="384" customWidth="1"/>
    <col min="1558" max="1558" width="4.875" style="384" customWidth="1"/>
    <col min="1559" max="1559" width="10.25" style="384" customWidth="1"/>
    <col min="1560" max="1564" width="10.875" style="384" customWidth="1"/>
    <col min="1565" max="1792" width="11" style="384"/>
    <col min="1793" max="1793" width="10.25" style="384" customWidth="1"/>
    <col min="1794" max="1794" width="33.5" style="384" customWidth="1"/>
    <col min="1795" max="1795" width="10.5" style="384" customWidth="1"/>
    <col min="1796" max="1796" width="10.375" style="384" customWidth="1"/>
    <col min="1797" max="1797" width="2.5" style="384" bestFit="1" customWidth="1"/>
    <col min="1798" max="1801" width="10.25" style="384" customWidth="1"/>
    <col min="1802" max="1802" width="12" style="384" customWidth="1"/>
    <col min="1803" max="1803" width="10.25" style="384" customWidth="1"/>
    <col min="1804" max="1804" width="9" style="384" customWidth="1"/>
    <col min="1805" max="1805" width="9.75" style="384" customWidth="1"/>
    <col min="1806" max="1806" width="8.75" style="384" customWidth="1"/>
    <col min="1807" max="1807" width="6.5" style="384" customWidth="1"/>
    <col min="1808" max="1808" width="11" style="384"/>
    <col min="1809" max="1809" width="5.875" style="384" customWidth="1"/>
    <col min="1810" max="1811" width="11" style="384"/>
    <col min="1812" max="1812" width="10.875" style="384" customWidth="1"/>
    <col min="1813" max="1813" width="9" style="384" customWidth="1"/>
    <col min="1814" max="1814" width="4.875" style="384" customWidth="1"/>
    <col min="1815" max="1815" width="10.25" style="384" customWidth="1"/>
    <col min="1816" max="1820" width="10.875" style="384" customWidth="1"/>
    <col min="1821" max="2048" width="11" style="384"/>
    <col min="2049" max="2049" width="10.25" style="384" customWidth="1"/>
    <col min="2050" max="2050" width="33.5" style="384" customWidth="1"/>
    <col min="2051" max="2051" width="10.5" style="384" customWidth="1"/>
    <col min="2052" max="2052" width="10.375" style="384" customWidth="1"/>
    <col min="2053" max="2053" width="2.5" style="384" bestFit="1" customWidth="1"/>
    <col min="2054" max="2057" width="10.25" style="384" customWidth="1"/>
    <col min="2058" max="2058" width="12" style="384" customWidth="1"/>
    <col min="2059" max="2059" width="10.25" style="384" customWidth="1"/>
    <col min="2060" max="2060" width="9" style="384" customWidth="1"/>
    <col min="2061" max="2061" width="9.75" style="384" customWidth="1"/>
    <col min="2062" max="2062" width="8.75" style="384" customWidth="1"/>
    <col min="2063" max="2063" width="6.5" style="384" customWidth="1"/>
    <col min="2064" max="2064" width="11" style="384"/>
    <col min="2065" max="2065" width="5.875" style="384" customWidth="1"/>
    <col min="2066" max="2067" width="11" style="384"/>
    <col min="2068" max="2068" width="10.875" style="384" customWidth="1"/>
    <col min="2069" max="2069" width="9" style="384" customWidth="1"/>
    <col min="2070" max="2070" width="4.875" style="384" customWidth="1"/>
    <col min="2071" max="2071" width="10.25" style="384" customWidth="1"/>
    <col min="2072" max="2076" width="10.875" style="384" customWidth="1"/>
    <col min="2077" max="2304" width="11" style="384"/>
    <col min="2305" max="2305" width="10.25" style="384" customWidth="1"/>
    <col min="2306" max="2306" width="33.5" style="384" customWidth="1"/>
    <col min="2307" max="2307" width="10.5" style="384" customWidth="1"/>
    <col min="2308" max="2308" width="10.375" style="384" customWidth="1"/>
    <col min="2309" max="2309" width="2.5" style="384" bestFit="1" customWidth="1"/>
    <col min="2310" max="2313" width="10.25" style="384" customWidth="1"/>
    <col min="2314" max="2314" width="12" style="384" customWidth="1"/>
    <col min="2315" max="2315" width="10.25" style="384" customWidth="1"/>
    <col min="2316" max="2316" width="9" style="384" customWidth="1"/>
    <col min="2317" max="2317" width="9.75" style="384" customWidth="1"/>
    <col min="2318" max="2318" width="8.75" style="384" customWidth="1"/>
    <col min="2319" max="2319" width="6.5" style="384" customWidth="1"/>
    <col min="2320" max="2320" width="11" style="384"/>
    <col min="2321" max="2321" width="5.875" style="384" customWidth="1"/>
    <col min="2322" max="2323" width="11" style="384"/>
    <col min="2324" max="2324" width="10.875" style="384" customWidth="1"/>
    <col min="2325" max="2325" width="9" style="384" customWidth="1"/>
    <col min="2326" max="2326" width="4.875" style="384" customWidth="1"/>
    <col min="2327" max="2327" width="10.25" style="384" customWidth="1"/>
    <col min="2328" max="2332" width="10.875" style="384" customWidth="1"/>
    <col min="2333" max="2560" width="11" style="384"/>
    <col min="2561" max="2561" width="10.25" style="384" customWidth="1"/>
    <col min="2562" max="2562" width="33.5" style="384" customWidth="1"/>
    <col min="2563" max="2563" width="10.5" style="384" customWidth="1"/>
    <col min="2564" max="2564" width="10.375" style="384" customWidth="1"/>
    <col min="2565" max="2565" width="2.5" style="384" bestFit="1" customWidth="1"/>
    <col min="2566" max="2569" width="10.25" style="384" customWidth="1"/>
    <col min="2570" max="2570" width="12" style="384" customWidth="1"/>
    <col min="2571" max="2571" width="10.25" style="384" customWidth="1"/>
    <col min="2572" max="2572" width="9" style="384" customWidth="1"/>
    <col min="2573" max="2573" width="9.75" style="384" customWidth="1"/>
    <col min="2574" max="2574" width="8.75" style="384" customWidth="1"/>
    <col min="2575" max="2575" width="6.5" style="384" customWidth="1"/>
    <col min="2576" max="2576" width="11" style="384"/>
    <col min="2577" max="2577" width="5.875" style="384" customWidth="1"/>
    <col min="2578" max="2579" width="11" style="384"/>
    <col min="2580" max="2580" width="10.875" style="384" customWidth="1"/>
    <col min="2581" max="2581" width="9" style="384" customWidth="1"/>
    <col min="2582" max="2582" width="4.875" style="384" customWidth="1"/>
    <col min="2583" max="2583" width="10.25" style="384" customWidth="1"/>
    <col min="2584" max="2588" width="10.875" style="384" customWidth="1"/>
    <col min="2589" max="2816" width="11" style="384"/>
    <col min="2817" max="2817" width="10.25" style="384" customWidth="1"/>
    <col min="2818" max="2818" width="33.5" style="384" customWidth="1"/>
    <col min="2819" max="2819" width="10.5" style="384" customWidth="1"/>
    <col min="2820" max="2820" width="10.375" style="384" customWidth="1"/>
    <col min="2821" max="2821" width="2.5" style="384" bestFit="1" customWidth="1"/>
    <col min="2822" max="2825" width="10.25" style="384" customWidth="1"/>
    <col min="2826" max="2826" width="12" style="384" customWidth="1"/>
    <col min="2827" max="2827" width="10.25" style="384" customWidth="1"/>
    <col min="2828" max="2828" width="9" style="384" customWidth="1"/>
    <col min="2829" max="2829" width="9.75" style="384" customWidth="1"/>
    <col min="2830" max="2830" width="8.75" style="384" customWidth="1"/>
    <col min="2831" max="2831" width="6.5" style="384" customWidth="1"/>
    <col min="2832" max="2832" width="11" style="384"/>
    <col min="2833" max="2833" width="5.875" style="384" customWidth="1"/>
    <col min="2834" max="2835" width="11" style="384"/>
    <col min="2836" max="2836" width="10.875" style="384" customWidth="1"/>
    <col min="2837" max="2837" width="9" style="384" customWidth="1"/>
    <col min="2838" max="2838" width="4.875" style="384" customWidth="1"/>
    <col min="2839" max="2839" width="10.25" style="384" customWidth="1"/>
    <col min="2840" max="2844" width="10.875" style="384" customWidth="1"/>
    <col min="2845" max="3072" width="11" style="384"/>
    <col min="3073" max="3073" width="10.25" style="384" customWidth="1"/>
    <col min="3074" max="3074" width="33.5" style="384" customWidth="1"/>
    <col min="3075" max="3075" width="10.5" style="384" customWidth="1"/>
    <col min="3076" max="3076" width="10.375" style="384" customWidth="1"/>
    <col min="3077" max="3077" width="2.5" style="384" bestFit="1" customWidth="1"/>
    <col min="3078" max="3081" width="10.25" style="384" customWidth="1"/>
    <col min="3082" max="3082" width="12" style="384" customWidth="1"/>
    <col min="3083" max="3083" width="10.25" style="384" customWidth="1"/>
    <col min="3084" max="3084" width="9" style="384" customWidth="1"/>
    <col min="3085" max="3085" width="9.75" style="384" customWidth="1"/>
    <col min="3086" max="3086" width="8.75" style="384" customWidth="1"/>
    <col min="3087" max="3087" width="6.5" style="384" customWidth="1"/>
    <col min="3088" max="3088" width="11" style="384"/>
    <col min="3089" max="3089" width="5.875" style="384" customWidth="1"/>
    <col min="3090" max="3091" width="11" style="384"/>
    <col min="3092" max="3092" width="10.875" style="384" customWidth="1"/>
    <col min="3093" max="3093" width="9" style="384" customWidth="1"/>
    <col min="3094" max="3094" width="4.875" style="384" customWidth="1"/>
    <col min="3095" max="3095" width="10.25" style="384" customWidth="1"/>
    <col min="3096" max="3100" width="10.875" style="384" customWidth="1"/>
    <col min="3101" max="3328" width="11" style="384"/>
    <col min="3329" max="3329" width="10.25" style="384" customWidth="1"/>
    <col min="3330" max="3330" width="33.5" style="384" customWidth="1"/>
    <col min="3331" max="3331" width="10.5" style="384" customWidth="1"/>
    <col min="3332" max="3332" width="10.375" style="384" customWidth="1"/>
    <col min="3333" max="3333" width="2.5" style="384" bestFit="1" customWidth="1"/>
    <col min="3334" max="3337" width="10.25" style="384" customWidth="1"/>
    <col min="3338" max="3338" width="12" style="384" customWidth="1"/>
    <col min="3339" max="3339" width="10.25" style="384" customWidth="1"/>
    <col min="3340" max="3340" width="9" style="384" customWidth="1"/>
    <col min="3341" max="3341" width="9.75" style="384" customWidth="1"/>
    <col min="3342" max="3342" width="8.75" style="384" customWidth="1"/>
    <col min="3343" max="3343" width="6.5" style="384" customWidth="1"/>
    <col min="3344" max="3344" width="11" style="384"/>
    <col min="3345" max="3345" width="5.875" style="384" customWidth="1"/>
    <col min="3346" max="3347" width="11" style="384"/>
    <col min="3348" max="3348" width="10.875" style="384" customWidth="1"/>
    <col min="3349" max="3349" width="9" style="384" customWidth="1"/>
    <col min="3350" max="3350" width="4.875" style="384" customWidth="1"/>
    <col min="3351" max="3351" width="10.25" style="384" customWidth="1"/>
    <col min="3352" max="3356" width="10.875" style="384" customWidth="1"/>
    <col min="3357" max="3584" width="11" style="384"/>
    <col min="3585" max="3585" width="10.25" style="384" customWidth="1"/>
    <col min="3586" max="3586" width="33.5" style="384" customWidth="1"/>
    <col min="3587" max="3587" width="10.5" style="384" customWidth="1"/>
    <col min="3588" max="3588" width="10.375" style="384" customWidth="1"/>
    <col min="3589" max="3589" width="2.5" style="384" bestFit="1" customWidth="1"/>
    <col min="3590" max="3593" width="10.25" style="384" customWidth="1"/>
    <col min="3594" max="3594" width="12" style="384" customWidth="1"/>
    <col min="3595" max="3595" width="10.25" style="384" customWidth="1"/>
    <col min="3596" max="3596" width="9" style="384" customWidth="1"/>
    <col min="3597" max="3597" width="9.75" style="384" customWidth="1"/>
    <col min="3598" max="3598" width="8.75" style="384" customWidth="1"/>
    <col min="3599" max="3599" width="6.5" style="384" customWidth="1"/>
    <col min="3600" max="3600" width="11" style="384"/>
    <col min="3601" max="3601" width="5.875" style="384" customWidth="1"/>
    <col min="3602" max="3603" width="11" style="384"/>
    <col min="3604" max="3604" width="10.875" style="384" customWidth="1"/>
    <col min="3605" max="3605" width="9" style="384" customWidth="1"/>
    <col min="3606" max="3606" width="4.875" style="384" customWidth="1"/>
    <col min="3607" max="3607" width="10.25" style="384" customWidth="1"/>
    <col min="3608" max="3612" width="10.875" style="384" customWidth="1"/>
    <col min="3613" max="3840" width="11" style="384"/>
    <col min="3841" max="3841" width="10.25" style="384" customWidth="1"/>
    <col min="3842" max="3842" width="33.5" style="384" customWidth="1"/>
    <col min="3843" max="3843" width="10.5" style="384" customWidth="1"/>
    <col min="3844" max="3844" width="10.375" style="384" customWidth="1"/>
    <col min="3845" max="3845" width="2.5" style="384" bestFit="1" customWidth="1"/>
    <col min="3846" max="3849" width="10.25" style="384" customWidth="1"/>
    <col min="3850" max="3850" width="12" style="384" customWidth="1"/>
    <col min="3851" max="3851" width="10.25" style="384" customWidth="1"/>
    <col min="3852" max="3852" width="9" style="384" customWidth="1"/>
    <col min="3853" max="3853" width="9.75" style="384" customWidth="1"/>
    <col min="3854" max="3854" width="8.75" style="384" customWidth="1"/>
    <col min="3855" max="3855" width="6.5" style="384" customWidth="1"/>
    <col min="3856" max="3856" width="11" style="384"/>
    <col min="3857" max="3857" width="5.875" style="384" customWidth="1"/>
    <col min="3858" max="3859" width="11" style="384"/>
    <col min="3860" max="3860" width="10.875" style="384" customWidth="1"/>
    <col min="3861" max="3861" width="9" style="384" customWidth="1"/>
    <col min="3862" max="3862" width="4.875" style="384" customWidth="1"/>
    <col min="3863" max="3863" width="10.25" style="384" customWidth="1"/>
    <col min="3864" max="3868" width="10.875" style="384" customWidth="1"/>
    <col min="3869" max="4096" width="11" style="384"/>
    <col min="4097" max="4097" width="10.25" style="384" customWidth="1"/>
    <col min="4098" max="4098" width="33.5" style="384" customWidth="1"/>
    <col min="4099" max="4099" width="10.5" style="384" customWidth="1"/>
    <col min="4100" max="4100" width="10.375" style="384" customWidth="1"/>
    <col min="4101" max="4101" width="2.5" style="384" bestFit="1" customWidth="1"/>
    <col min="4102" max="4105" width="10.25" style="384" customWidth="1"/>
    <col min="4106" max="4106" width="12" style="384" customWidth="1"/>
    <col min="4107" max="4107" width="10.25" style="384" customWidth="1"/>
    <col min="4108" max="4108" width="9" style="384" customWidth="1"/>
    <col min="4109" max="4109" width="9.75" style="384" customWidth="1"/>
    <col min="4110" max="4110" width="8.75" style="384" customWidth="1"/>
    <col min="4111" max="4111" width="6.5" style="384" customWidth="1"/>
    <col min="4112" max="4112" width="11" style="384"/>
    <col min="4113" max="4113" width="5.875" style="384" customWidth="1"/>
    <col min="4114" max="4115" width="11" style="384"/>
    <col min="4116" max="4116" width="10.875" style="384" customWidth="1"/>
    <col min="4117" max="4117" width="9" style="384" customWidth="1"/>
    <col min="4118" max="4118" width="4.875" style="384" customWidth="1"/>
    <col min="4119" max="4119" width="10.25" style="384" customWidth="1"/>
    <col min="4120" max="4124" width="10.875" style="384" customWidth="1"/>
    <col min="4125" max="4352" width="11" style="384"/>
    <col min="4353" max="4353" width="10.25" style="384" customWidth="1"/>
    <col min="4354" max="4354" width="33.5" style="384" customWidth="1"/>
    <col min="4355" max="4355" width="10.5" style="384" customWidth="1"/>
    <col min="4356" max="4356" width="10.375" style="384" customWidth="1"/>
    <col min="4357" max="4357" width="2.5" style="384" bestFit="1" customWidth="1"/>
    <col min="4358" max="4361" width="10.25" style="384" customWidth="1"/>
    <col min="4362" max="4362" width="12" style="384" customWidth="1"/>
    <col min="4363" max="4363" width="10.25" style="384" customWidth="1"/>
    <col min="4364" max="4364" width="9" style="384" customWidth="1"/>
    <col min="4365" max="4365" width="9.75" style="384" customWidth="1"/>
    <col min="4366" max="4366" width="8.75" style="384" customWidth="1"/>
    <col min="4367" max="4367" width="6.5" style="384" customWidth="1"/>
    <col min="4368" max="4368" width="11" style="384"/>
    <col min="4369" max="4369" width="5.875" style="384" customWidth="1"/>
    <col min="4370" max="4371" width="11" style="384"/>
    <col min="4372" max="4372" width="10.875" style="384" customWidth="1"/>
    <col min="4373" max="4373" width="9" style="384" customWidth="1"/>
    <col min="4374" max="4374" width="4.875" style="384" customWidth="1"/>
    <col min="4375" max="4375" width="10.25" style="384" customWidth="1"/>
    <col min="4376" max="4380" width="10.875" style="384" customWidth="1"/>
    <col min="4381" max="4608" width="11" style="384"/>
    <col min="4609" max="4609" width="10.25" style="384" customWidth="1"/>
    <col min="4610" max="4610" width="33.5" style="384" customWidth="1"/>
    <col min="4611" max="4611" width="10.5" style="384" customWidth="1"/>
    <col min="4612" max="4612" width="10.375" style="384" customWidth="1"/>
    <col min="4613" max="4613" width="2.5" style="384" bestFit="1" customWidth="1"/>
    <col min="4614" max="4617" width="10.25" style="384" customWidth="1"/>
    <col min="4618" max="4618" width="12" style="384" customWidth="1"/>
    <col min="4619" max="4619" width="10.25" style="384" customWidth="1"/>
    <col min="4620" max="4620" width="9" style="384" customWidth="1"/>
    <col min="4621" max="4621" width="9.75" style="384" customWidth="1"/>
    <col min="4622" max="4622" width="8.75" style="384" customWidth="1"/>
    <col min="4623" max="4623" width="6.5" style="384" customWidth="1"/>
    <col min="4624" max="4624" width="11" style="384"/>
    <col min="4625" max="4625" width="5.875" style="384" customWidth="1"/>
    <col min="4626" max="4627" width="11" style="384"/>
    <col min="4628" max="4628" width="10.875" style="384" customWidth="1"/>
    <col min="4629" max="4629" width="9" style="384" customWidth="1"/>
    <col min="4630" max="4630" width="4.875" style="384" customWidth="1"/>
    <col min="4631" max="4631" width="10.25" style="384" customWidth="1"/>
    <col min="4632" max="4636" width="10.875" style="384" customWidth="1"/>
    <col min="4637" max="4864" width="11" style="384"/>
    <col min="4865" max="4865" width="10.25" style="384" customWidth="1"/>
    <col min="4866" max="4866" width="33.5" style="384" customWidth="1"/>
    <col min="4867" max="4867" width="10.5" style="384" customWidth="1"/>
    <col min="4868" max="4868" width="10.375" style="384" customWidth="1"/>
    <col min="4869" max="4869" width="2.5" style="384" bestFit="1" customWidth="1"/>
    <col min="4870" max="4873" width="10.25" style="384" customWidth="1"/>
    <col min="4874" max="4874" width="12" style="384" customWidth="1"/>
    <col min="4875" max="4875" width="10.25" style="384" customWidth="1"/>
    <col min="4876" max="4876" width="9" style="384" customWidth="1"/>
    <col min="4877" max="4877" width="9.75" style="384" customWidth="1"/>
    <col min="4878" max="4878" width="8.75" style="384" customWidth="1"/>
    <col min="4879" max="4879" width="6.5" style="384" customWidth="1"/>
    <col min="4880" max="4880" width="11" style="384"/>
    <col min="4881" max="4881" width="5.875" style="384" customWidth="1"/>
    <col min="4882" max="4883" width="11" style="384"/>
    <col min="4884" max="4884" width="10.875" style="384" customWidth="1"/>
    <col min="4885" max="4885" width="9" style="384" customWidth="1"/>
    <col min="4886" max="4886" width="4.875" style="384" customWidth="1"/>
    <col min="4887" max="4887" width="10.25" style="384" customWidth="1"/>
    <col min="4888" max="4892" width="10.875" style="384" customWidth="1"/>
    <col min="4893" max="5120" width="11" style="384"/>
    <col min="5121" max="5121" width="10.25" style="384" customWidth="1"/>
    <col min="5122" max="5122" width="33.5" style="384" customWidth="1"/>
    <col min="5123" max="5123" width="10.5" style="384" customWidth="1"/>
    <col min="5124" max="5124" width="10.375" style="384" customWidth="1"/>
    <col min="5125" max="5125" width="2.5" style="384" bestFit="1" customWidth="1"/>
    <col min="5126" max="5129" width="10.25" style="384" customWidth="1"/>
    <col min="5130" max="5130" width="12" style="384" customWidth="1"/>
    <col min="5131" max="5131" width="10.25" style="384" customWidth="1"/>
    <col min="5132" max="5132" width="9" style="384" customWidth="1"/>
    <col min="5133" max="5133" width="9.75" style="384" customWidth="1"/>
    <col min="5134" max="5134" width="8.75" style="384" customWidth="1"/>
    <col min="5135" max="5135" width="6.5" style="384" customWidth="1"/>
    <col min="5136" max="5136" width="11" style="384"/>
    <col min="5137" max="5137" width="5.875" style="384" customWidth="1"/>
    <col min="5138" max="5139" width="11" style="384"/>
    <col min="5140" max="5140" width="10.875" style="384" customWidth="1"/>
    <col min="5141" max="5141" width="9" style="384" customWidth="1"/>
    <col min="5142" max="5142" width="4.875" style="384" customWidth="1"/>
    <col min="5143" max="5143" width="10.25" style="384" customWidth="1"/>
    <col min="5144" max="5148" width="10.875" style="384" customWidth="1"/>
    <col min="5149" max="5376" width="11" style="384"/>
    <col min="5377" max="5377" width="10.25" style="384" customWidth="1"/>
    <col min="5378" max="5378" width="33.5" style="384" customWidth="1"/>
    <col min="5379" max="5379" width="10.5" style="384" customWidth="1"/>
    <col min="5380" max="5380" width="10.375" style="384" customWidth="1"/>
    <col min="5381" max="5381" width="2.5" style="384" bestFit="1" customWidth="1"/>
    <col min="5382" max="5385" width="10.25" style="384" customWidth="1"/>
    <col min="5386" max="5386" width="12" style="384" customWidth="1"/>
    <col min="5387" max="5387" width="10.25" style="384" customWidth="1"/>
    <col min="5388" max="5388" width="9" style="384" customWidth="1"/>
    <col min="5389" max="5389" width="9.75" style="384" customWidth="1"/>
    <col min="5390" max="5390" width="8.75" style="384" customWidth="1"/>
    <col min="5391" max="5391" width="6.5" style="384" customWidth="1"/>
    <col min="5392" max="5392" width="11" style="384"/>
    <col min="5393" max="5393" width="5.875" style="384" customWidth="1"/>
    <col min="5394" max="5395" width="11" style="384"/>
    <col min="5396" max="5396" width="10.875" style="384" customWidth="1"/>
    <col min="5397" max="5397" width="9" style="384" customWidth="1"/>
    <col min="5398" max="5398" width="4.875" style="384" customWidth="1"/>
    <col min="5399" max="5399" width="10.25" style="384" customWidth="1"/>
    <col min="5400" max="5404" width="10.875" style="384" customWidth="1"/>
    <col min="5405" max="5632" width="11" style="384"/>
    <col min="5633" max="5633" width="10.25" style="384" customWidth="1"/>
    <col min="5634" max="5634" width="33.5" style="384" customWidth="1"/>
    <col min="5635" max="5635" width="10.5" style="384" customWidth="1"/>
    <col min="5636" max="5636" width="10.375" style="384" customWidth="1"/>
    <col min="5637" max="5637" width="2.5" style="384" bestFit="1" customWidth="1"/>
    <col min="5638" max="5641" width="10.25" style="384" customWidth="1"/>
    <col min="5642" max="5642" width="12" style="384" customWidth="1"/>
    <col min="5643" max="5643" width="10.25" style="384" customWidth="1"/>
    <col min="5644" max="5644" width="9" style="384" customWidth="1"/>
    <col min="5645" max="5645" width="9.75" style="384" customWidth="1"/>
    <col min="5646" max="5646" width="8.75" style="384" customWidth="1"/>
    <col min="5647" max="5647" width="6.5" style="384" customWidth="1"/>
    <col min="5648" max="5648" width="11" style="384"/>
    <col min="5649" max="5649" width="5.875" style="384" customWidth="1"/>
    <col min="5650" max="5651" width="11" style="384"/>
    <col min="5652" max="5652" width="10.875" style="384" customWidth="1"/>
    <col min="5653" max="5653" width="9" style="384" customWidth="1"/>
    <col min="5654" max="5654" width="4.875" style="384" customWidth="1"/>
    <col min="5655" max="5655" width="10.25" style="384" customWidth="1"/>
    <col min="5656" max="5660" width="10.875" style="384" customWidth="1"/>
    <col min="5661" max="5888" width="11" style="384"/>
    <col min="5889" max="5889" width="10.25" style="384" customWidth="1"/>
    <col min="5890" max="5890" width="33.5" style="384" customWidth="1"/>
    <col min="5891" max="5891" width="10.5" style="384" customWidth="1"/>
    <col min="5892" max="5892" width="10.375" style="384" customWidth="1"/>
    <col min="5893" max="5893" width="2.5" style="384" bestFit="1" customWidth="1"/>
    <col min="5894" max="5897" width="10.25" style="384" customWidth="1"/>
    <col min="5898" max="5898" width="12" style="384" customWidth="1"/>
    <col min="5899" max="5899" width="10.25" style="384" customWidth="1"/>
    <col min="5900" max="5900" width="9" style="384" customWidth="1"/>
    <col min="5901" max="5901" width="9.75" style="384" customWidth="1"/>
    <col min="5902" max="5902" width="8.75" style="384" customWidth="1"/>
    <col min="5903" max="5903" width="6.5" style="384" customWidth="1"/>
    <col min="5904" max="5904" width="11" style="384"/>
    <col min="5905" max="5905" width="5.875" style="384" customWidth="1"/>
    <col min="5906" max="5907" width="11" style="384"/>
    <col min="5908" max="5908" width="10.875" style="384" customWidth="1"/>
    <col min="5909" max="5909" width="9" style="384" customWidth="1"/>
    <col min="5910" max="5910" width="4.875" style="384" customWidth="1"/>
    <col min="5911" max="5911" width="10.25" style="384" customWidth="1"/>
    <col min="5912" max="5916" width="10.875" style="384" customWidth="1"/>
    <col min="5917" max="6144" width="11" style="384"/>
    <col min="6145" max="6145" width="10.25" style="384" customWidth="1"/>
    <col min="6146" max="6146" width="33.5" style="384" customWidth="1"/>
    <col min="6147" max="6147" width="10.5" style="384" customWidth="1"/>
    <col min="6148" max="6148" width="10.375" style="384" customWidth="1"/>
    <col min="6149" max="6149" width="2.5" style="384" bestFit="1" customWidth="1"/>
    <col min="6150" max="6153" width="10.25" style="384" customWidth="1"/>
    <col min="6154" max="6154" width="12" style="384" customWidth="1"/>
    <col min="6155" max="6155" width="10.25" style="384" customWidth="1"/>
    <col min="6156" max="6156" width="9" style="384" customWidth="1"/>
    <col min="6157" max="6157" width="9.75" style="384" customWidth="1"/>
    <col min="6158" max="6158" width="8.75" style="384" customWidth="1"/>
    <col min="6159" max="6159" width="6.5" style="384" customWidth="1"/>
    <col min="6160" max="6160" width="11" style="384"/>
    <col min="6161" max="6161" width="5.875" style="384" customWidth="1"/>
    <col min="6162" max="6163" width="11" style="384"/>
    <col min="6164" max="6164" width="10.875" style="384" customWidth="1"/>
    <col min="6165" max="6165" width="9" style="384" customWidth="1"/>
    <col min="6166" max="6166" width="4.875" style="384" customWidth="1"/>
    <col min="6167" max="6167" width="10.25" style="384" customWidth="1"/>
    <col min="6168" max="6172" width="10.875" style="384" customWidth="1"/>
    <col min="6173" max="6400" width="11" style="384"/>
    <col min="6401" max="6401" width="10.25" style="384" customWidth="1"/>
    <col min="6402" max="6402" width="33.5" style="384" customWidth="1"/>
    <col min="6403" max="6403" width="10.5" style="384" customWidth="1"/>
    <col min="6404" max="6404" width="10.375" style="384" customWidth="1"/>
    <col min="6405" max="6405" width="2.5" style="384" bestFit="1" customWidth="1"/>
    <col min="6406" max="6409" width="10.25" style="384" customWidth="1"/>
    <col min="6410" max="6410" width="12" style="384" customWidth="1"/>
    <col min="6411" max="6411" width="10.25" style="384" customWidth="1"/>
    <col min="6412" max="6412" width="9" style="384" customWidth="1"/>
    <col min="6413" max="6413" width="9.75" style="384" customWidth="1"/>
    <col min="6414" max="6414" width="8.75" style="384" customWidth="1"/>
    <col min="6415" max="6415" width="6.5" style="384" customWidth="1"/>
    <col min="6416" max="6416" width="11" style="384"/>
    <col min="6417" max="6417" width="5.875" style="384" customWidth="1"/>
    <col min="6418" max="6419" width="11" style="384"/>
    <col min="6420" max="6420" width="10.875" style="384" customWidth="1"/>
    <col min="6421" max="6421" width="9" style="384" customWidth="1"/>
    <col min="6422" max="6422" width="4.875" style="384" customWidth="1"/>
    <col min="6423" max="6423" width="10.25" style="384" customWidth="1"/>
    <col min="6424" max="6428" width="10.875" style="384" customWidth="1"/>
    <col min="6429" max="6656" width="11" style="384"/>
    <col min="6657" max="6657" width="10.25" style="384" customWidth="1"/>
    <col min="6658" max="6658" width="33.5" style="384" customWidth="1"/>
    <col min="6659" max="6659" width="10.5" style="384" customWidth="1"/>
    <col min="6660" max="6660" width="10.375" style="384" customWidth="1"/>
    <col min="6661" max="6661" width="2.5" style="384" bestFit="1" customWidth="1"/>
    <col min="6662" max="6665" width="10.25" style="384" customWidth="1"/>
    <col min="6666" max="6666" width="12" style="384" customWidth="1"/>
    <col min="6667" max="6667" width="10.25" style="384" customWidth="1"/>
    <col min="6668" max="6668" width="9" style="384" customWidth="1"/>
    <col min="6669" max="6669" width="9.75" style="384" customWidth="1"/>
    <col min="6670" max="6670" width="8.75" style="384" customWidth="1"/>
    <col min="6671" max="6671" width="6.5" style="384" customWidth="1"/>
    <col min="6672" max="6672" width="11" style="384"/>
    <col min="6673" max="6673" width="5.875" style="384" customWidth="1"/>
    <col min="6674" max="6675" width="11" style="384"/>
    <col min="6676" max="6676" width="10.875" style="384" customWidth="1"/>
    <col min="6677" max="6677" width="9" style="384" customWidth="1"/>
    <col min="6678" max="6678" width="4.875" style="384" customWidth="1"/>
    <col min="6679" max="6679" width="10.25" style="384" customWidth="1"/>
    <col min="6680" max="6684" width="10.875" style="384" customWidth="1"/>
    <col min="6685" max="6912" width="11" style="384"/>
    <col min="6913" max="6913" width="10.25" style="384" customWidth="1"/>
    <col min="6914" max="6914" width="33.5" style="384" customWidth="1"/>
    <col min="6915" max="6915" width="10.5" style="384" customWidth="1"/>
    <col min="6916" max="6916" width="10.375" style="384" customWidth="1"/>
    <col min="6917" max="6917" width="2.5" style="384" bestFit="1" customWidth="1"/>
    <col min="6918" max="6921" width="10.25" style="384" customWidth="1"/>
    <col min="6922" max="6922" width="12" style="384" customWidth="1"/>
    <col min="6923" max="6923" width="10.25" style="384" customWidth="1"/>
    <col min="6924" max="6924" width="9" style="384" customWidth="1"/>
    <col min="6925" max="6925" width="9.75" style="384" customWidth="1"/>
    <col min="6926" max="6926" width="8.75" style="384" customWidth="1"/>
    <col min="6927" max="6927" width="6.5" style="384" customWidth="1"/>
    <col min="6928" max="6928" width="11" style="384"/>
    <col min="6929" max="6929" width="5.875" style="384" customWidth="1"/>
    <col min="6930" max="6931" width="11" style="384"/>
    <col min="6932" max="6932" width="10.875" style="384" customWidth="1"/>
    <col min="6933" max="6933" width="9" style="384" customWidth="1"/>
    <col min="6934" max="6934" width="4.875" style="384" customWidth="1"/>
    <col min="6935" max="6935" width="10.25" style="384" customWidth="1"/>
    <col min="6936" max="6940" width="10.875" style="384" customWidth="1"/>
    <col min="6941" max="7168" width="11" style="384"/>
    <col min="7169" max="7169" width="10.25" style="384" customWidth="1"/>
    <col min="7170" max="7170" width="33.5" style="384" customWidth="1"/>
    <col min="7171" max="7171" width="10.5" style="384" customWidth="1"/>
    <col min="7172" max="7172" width="10.375" style="384" customWidth="1"/>
    <col min="7173" max="7173" width="2.5" style="384" bestFit="1" customWidth="1"/>
    <col min="7174" max="7177" width="10.25" style="384" customWidth="1"/>
    <col min="7178" max="7178" width="12" style="384" customWidth="1"/>
    <col min="7179" max="7179" width="10.25" style="384" customWidth="1"/>
    <col min="7180" max="7180" width="9" style="384" customWidth="1"/>
    <col min="7181" max="7181" width="9.75" style="384" customWidth="1"/>
    <col min="7182" max="7182" width="8.75" style="384" customWidth="1"/>
    <col min="7183" max="7183" width="6.5" style="384" customWidth="1"/>
    <col min="7184" max="7184" width="11" style="384"/>
    <col min="7185" max="7185" width="5.875" style="384" customWidth="1"/>
    <col min="7186" max="7187" width="11" style="384"/>
    <col min="7188" max="7188" width="10.875" style="384" customWidth="1"/>
    <col min="7189" max="7189" width="9" style="384" customWidth="1"/>
    <col min="7190" max="7190" width="4.875" style="384" customWidth="1"/>
    <col min="7191" max="7191" width="10.25" style="384" customWidth="1"/>
    <col min="7192" max="7196" width="10.875" style="384" customWidth="1"/>
    <col min="7197" max="7424" width="11" style="384"/>
    <col min="7425" max="7425" width="10.25" style="384" customWidth="1"/>
    <col min="7426" max="7426" width="33.5" style="384" customWidth="1"/>
    <col min="7427" max="7427" width="10.5" style="384" customWidth="1"/>
    <col min="7428" max="7428" width="10.375" style="384" customWidth="1"/>
    <col min="7429" max="7429" width="2.5" style="384" bestFit="1" customWidth="1"/>
    <col min="7430" max="7433" width="10.25" style="384" customWidth="1"/>
    <col min="7434" max="7434" width="12" style="384" customWidth="1"/>
    <col min="7435" max="7435" width="10.25" style="384" customWidth="1"/>
    <col min="7436" max="7436" width="9" style="384" customWidth="1"/>
    <col min="7437" max="7437" width="9.75" style="384" customWidth="1"/>
    <col min="7438" max="7438" width="8.75" style="384" customWidth="1"/>
    <col min="7439" max="7439" width="6.5" style="384" customWidth="1"/>
    <col min="7440" max="7440" width="11" style="384"/>
    <col min="7441" max="7441" width="5.875" style="384" customWidth="1"/>
    <col min="7442" max="7443" width="11" style="384"/>
    <col min="7444" max="7444" width="10.875" style="384" customWidth="1"/>
    <col min="7445" max="7445" width="9" style="384" customWidth="1"/>
    <col min="7446" max="7446" width="4.875" style="384" customWidth="1"/>
    <col min="7447" max="7447" width="10.25" style="384" customWidth="1"/>
    <col min="7448" max="7452" width="10.875" style="384" customWidth="1"/>
    <col min="7453" max="7680" width="11" style="384"/>
    <col min="7681" max="7681" width="10.25" style="384" customWidth="1"/>
    <col min="7682" max="7682" width="33.5" style="384" customWidth="1"/>
    <col min="7683" max="7683" width="10.5" style="384" customWidth="1"/>
    <col min="7684" max="7684" width="10.375" style="384" customWidth="1"/>
    <col min="7685" max="7685" width="2.5" style="384" bestFit="1" customWidth="1"/>
    <col min="7686" max="7689" width="10.25" style="384" customWidth="1"/>
    <col min="7690" max="7690" width="12" style="384" customWidth="1"/>
    <col min="7691" max="7691" width="10.25" style="384" customWidth="1"/>
    <col min="7692" max="7692" width="9" style="384" customWidth="1"/>
    <col min="7693" max="7693" width="9.75" style="384" customWidth="1"/>
    <col min="7694" max="7694" width="8.75" style="384" customWidth="1"/>
    <col min="7695" max="7695" width="6.5" style="384" customWidth="1"/>
    <col min="7696" max="7696" width="11" style="384"/>
    <col min="7697" max="7697" width="5.875" style="384" customWidth="1"/>
    <col min="7698" max="7699" width="11" style="384"/>
    <col min="7700" max="7700" width="10.875" style="384" customWidth="1"/>
    <col min="7701" max="7701" width="9" style="384" customWidth="1"/>
    <col min="7702" max="7702" width="4.875" style="384" customWidth="1"/>
    <col min="7703" max="7703" width="10.25" style="384" customWidth="1"/>
    <col min="7704" max="7708" width="10.875" style="384" customWidth="1"/>
    <col min="7709" max="7936" width="11" style="384"/>
    <col min="7937" max="7937" width="10.25" style="384" customWidth="1"/>
    <col min="7938" max="7938" width="33.5" style="384" customWidth="1"/>
    <col min="7939" max="7939" width="10.5" style="384" customWidth="1"/>
    <col min="7940" max="7940" width="10.375" style="384" customWidth="1"/>
    <col min="7941" max="7941" width="2.5" style="384" bestFit="1" customWidth="1"/>
    <col min="7942" max="7945" width="10.25" style="384" customWidth="1"/>
    <col min="7946" max="7946" width="12" style="384" customWidth="1"/>
    <col min="7947" max="7947" width="10.25" style="384" customWidth="1"/>
    <col min="7948" max="7948" width="9" style="384" customWidth="1"/>
    <col min="7949" max="7949" width="9.75" style="384" customWidth="1"/>
    <col min="7950" max="7950" width="8.75" style="384" customWidth="1"/>
    <col min="7951" max="7951" width="6.5" style="384" customWidth="1"/>
    <col min="7952" max="7952" width="11" style="384"/>
    <col min="7953" max="7953" width="5.875" style="384" customWidth="1"/>
    <col min="7954" max="7955" width="11" style="384"/>
    <col min="7956" max="7956" width="10.875" style="384" customWidth="1"/>
    <col min="7957" max="7957" width="9" style="384" customWidth="1"/>
    <col min="7958" max="7958" width="4.875" style="384" customWidth="1"/>
    <col min="7959" max="7959" width="10.25" style="384" customWidth="1"/>
    <col min="7960" max="7964" width="10.875" style="384" customWidth="1"/>
    <col min="7965" max="8192" width="11" style="384"/>
    <col min="8193" max="8193" width="10.25" style="384" customWidth="1"/>
    <col min="8194" max="8194" width="33.5" style="384" customWidth="1"/>
    <col min="8195" max="8195" width="10.5" style="384" customWidth="1"/>
    <col min="8196" max="8196" width="10.375" style="384" customWidth="1"/>
    <col min="8197" max="8197" width="2.5" style="384" bestFit="1" customWidth="1"/>
    <col min="8198" max="8201" width="10.25" style="384" customWidth="1"/>
    <col min="8202" max="8202" width="12" style="384" customWidth="1"/>
    <col min="8203" max="8203" width="10.25" style="384" customWidth="1"/>
    <col min="8204" max="8204" width="9" style="384" customWidth="1"/>
    <col min="8205" max="8205" width="9.75" style="384" customWidth="1"/>
    <col min="8206" max="8206" width="8.75" style="384" customWidth="1"/>
    <col min="8207" max="8207" width="6.5" style="384" customWidth="1"/>
    <col min="8208" max="8208" width="11" style="384"/>
    <col min="8209" max="8209" width="5.875" style="384" customWidth="1"/>
    <col min="8210" max="8211" width="11" style="384"/>
    <col min="8212" max="8212" width="10.875" style="384" customWidth="1"/>
    <col min="8213" max="8213" width="9" style="384" customWidth="1"/>
    <col min="8214" max="8214" width="4.875" style="384" customWidth="1"/>
    <col min="8215" max="8215" width="10.25" style="384" customWidth="1"/>
    <col min="8216" max="8220" width="10.875" style="384" customWidth="1"/>
    <col min="8221" max="8448" width="11" style="384"/>
    <col min="8449" max="8449" width="10.25" style="384" customWidth="1"/>
    <col min="8450" max="8450" width="33.5" style="384" customWidth="1"/>
    <col min="8451" max="8451" width="10.5" style="384" customWidth="1"/>
    <col min="8452" max="8452" width="10.375" style="384" customWidth="1"/>
    <col min="8453" max="8453" width="2.5" style="384" bestFit="1" customWidth="1"/>
    <col min="8454" max="8457" width="10.25" style="384" customWidth="1"/>
    <col min="8458" max="8458" width="12" style="384" customWidth="1"/>
    <col min="8459" max="8459" width="10.25" style="384" customWidth="1"/>
    <col min="8460" max="8460" width="9" style="384" customWidth="1"/>
    <col min="8461" max="8461" width="9.75" style="384" customWidth="1"/>
    <col min="8462" max="8462" width="8.75" style="384" customWidth="1"/>
    <col min="8463" max="8463" width="6.5" style="384" customWidth="1"/>
    <col min="8464" max="8464" width="11" style="384"/>
    <col min="8465" max="8465" width="5.875" style="384" customWidth="1"/>
    <col min="8466" max="8467" width="11" style="384"/>
    <col min="8468" max="8468" width="10.875" style="384" customWidth="1"/>
    <col min="8469" max="8469" width="9" style="384" customWidth="1"/>
    <col min="8470" max="8470" width="4.875" style="384" customWidth="1"/>
    <col min="8471" max="8471" width="10.25" style="384" customWidth="1"/>
    <col min="8472" max="8476" width="10.875" style="384" customWidth="1"/>
    <col min="8477" max="8704" width="11" style="384"/>
    <col min="8705" max="8705" width="10.25" style="384" customWidth="1"/>
    <col min="8706" max="8706" width="33.5" style="384" customWidth="1"/>
    <col min="8707" max="8707" width="10.5" style="384" customWidth="1"/>
    <col min="8708" max="8708" width="10.375" style="384" customWidth="1"/>
    <col min="8709" max="8709" width="2.5" style="384" bestFit="1" customWidth="1"/>
    <col min="8710" max="8713" width="10.25" style="384" customWidth="1"/>
    <col min="8714" max="8714" width="12" style="384" customWidth="1"/>
    <col min="8715" max="8715" width="10.25" style="384" customWidth="1"/>
    <col min="8716" max="8716" width="9" style="384" customWidth="1"/>
    <col min="8717" max="8717" width="9.75" style="384" customWidth="1"/>
    <col min="8718" max="8718" width="8.75" style="384" customWidth="1"/>
    <col min="8719" max="8719" width="6.5" style="384" customWidth="1"/>
    <col min="8720" max="8720" width="11" style="384"/>
    <col min="8721" max="8721" width="5.875" style="384" customWidth="1"/>
    <col min="8722" max="8723" width="11" style="384"/>
    <col min="8724" max="8724" width="10.875" style="384" customWidth="1"/>
    <col min="8725" max="8725" width="9" style="384" customWidth="1"/>
    <col min="8726" max="8726" width="4.875" style="384" customWidth="1"/>
    <col min="8727" max="8727" width="10.25" style="384" customWidth="1"/>
    <col min="8728" max="8732" width="10.875" style="384" customWidth="1"/>
    <col min="8733" max="8960" width="11" style="384"/>
    <col min="8961" max="8961" width="10.25" style="384" customWidth="1"/>
    <col min="8962" max="8962" width="33.5" style="384" customWidth="1"/>
    <col min="8963" max="8963" width="10.5" style="384" customWidth="1"/>
    <col min="8964" max="8964" width="10.375" style="384" customWidth="1"/>
    <col min="8965" max="8965" width="2.5" style="384" bestFit="1" customWidth="1"/>
    <col min="8966" max="8969" width="10.25" style="384" customWidth="1"/>
    <col min="8970" max="8970" width="12" style="384" customWidth="1"/>
    <col min="8971" max="8971" width="10.25" style="384" customWidth="1"/>
    <col min="8972" max="8972" width="9" style="384" customWidth="1"/>
    <col min="8973" max="8973" width="9.75" style="384" customWidth="1"/>
    <col min="8974" max="8974" width="8.75" style="384" customWidth="1"/>
    <col min="8975" max="8975" width="6.5" style="384" customWidth="1"/>
    <col min="8976" max="8976" width="11" style="384"/>
    <col min="8977" max="8977" width="5.875" style="384" customWidth="1"/>
    <col min="8978" max="8979" width="11" style="384"/>
    <col min="8980" max="8980" width="10.875" style="384" customWidth="1"/>
    <col min="8981" max="8981" width="9" style="384" customWidth="1"/>
    <col min="8982" max="8982" width="4.875" style="384" customWidth="1"/>
    <col min="8983" max="8983" width="10.25" style="384" customWidth="1"/>
    <col min="8984" max="8988" width="10.875" style="384" customWidth="1"/>
    <col min="8989" max="9216" width="11" style="384"/>
    <col min="9217" max="9217" width="10.25" style="384" customWidth="1"/>
    <col min="9218" max="9218" width="33.5" style="384" customWidth="1"/>
    <col min="9219" max="9219" width="10.5" style="384" customWidth="1"/>
    <col min="9220" max="9220" width="10.375" style="384" customWidth="1"/>
    <col min="9221" max="9221" width="2.5" style="384" bestFit="1" customWidth="1"/>
    <col min="9222" max="9225" width="10.25" style="384" customWidth="1"/>
    <col min="9226" max="9226" width="12" style="384" customWidth="1"/>
    <col min="9227" max="9227" width="10.25" style="384" customWidth="1"/>
    <col min="9228" max="9228" width="9" style="384" customWidth="1"/>
    <col min="9229" max="9229" width="9.75" style="384" customWidth="1"/>
    <col min="9230" max="9230" width="8.75" style="384" customWidth="1"/>
    <col min="9231" max="9231" width="6.5" style="384" customWidth="1"/>
    <col min="9232" max="9232" width="11" style="384"/>
    <col min="9233" max="9233" width="5.875" style="384" customWidth="1"/>
    <col min="9234" max="9235" width="11" style="384"/>
    <col min="9236" max="9236" width="10.875" style="384" customWidth="1"/>
    <col min="9237" max="9237" width="9" style="384" customWidth="1"/>
    <col min="9238" max="9238" width="4.875" style="384" customWidth="1"/>
    <col min="9239" max="9239" width="10.25" style="384" customWidth="1"/>
    <col min="9240" max="9244" width="10.875" style="384" customWidth="1"/>
    <col min="9245" max="9472" width="11" style="384"/>
    <col min="9473" max="9473" width="10.25" style="384" customWidth="1"/>
    <col min="9474" max="9474" width="33.5" style="384" customWidth="1"/>
    <col min="9475" max="9475" width="10.5" style="384" customWidth="1"/>
    <col min="9476" max="9476" width="10.375" style="384" customWidth="1"/>
    <col min="9477" max="9477" width="2.5" style="384" bestFit="1" customWidth="1"/>
    <col min="9478" max="9481" width="10.25" style="384" customWidth="1"/>
    <col min="9482" max="9482" width="12" style="384" customWidth="1"/>
    <col min="9483" max="9483" width="10.25" style="384" customWidth="1"/>
    <col min="9484" max="9484" width="9" style="384" customWidth="1"/>
    <col min="9485" max="9485" width="9.75" style="384" customWidth="1"/>
    <col min="9486" max="9486" width="8.75" style="384" customWidth="1"/>
    <col min="9487" max="9487" width="6.5" style="384" customWidth="1"/>
    <col min="9488" max="9488" width="11" style="384"/>
    <col min="9489" max="9489" width="5.875" style="384" customWidth="1"/>
    <col min="9490" max="9491" width="11" style="384"/>
    <col min="9492" max="9492" width="10.875" style="384" customWidth="1"/>
    <col min="9493" max="9493" width="9" style="384" customWidth="1"/>
    <col min="9494" max="9494" width="4.875" style="384" customWidth="1"/>
    <col min="9495" max="9495" width="10.25" style="384" customWidth="1"/>
    <col min="9496" max="9500" width="10.875" style="384" customWidth="1"/>
    <col min="9501" max="9728" width="11" style="384"/>
    <col min="9729" max="9729" width="10.25" style="384" customWidth="1"/>
    <col min="9730" max="9730" width="33.5" style="384" customWidth="1"/>
    <col min="9731" max="9731" width="10.5" style="384" customWidth="1"/>
    <col min="9732" max="9732" width="10.375" style="384" customWidth="1"/>
    <col min="9733" max="9733" width="2.5" style="384" bestFit="1" customWidth="1"/>
    <col min="9734" max="9737" width="10.25" style="384" customWidth="1"/>
    <col min="9738" max="9738" width="12" style="384" customWidth="1"/>
    <col min="9739" max="9739" width="10.25" style="384" customWidth="1"/>
    <col min="9740" max="9740" width="9" style="384" customWidth="1"/>
    <col min="9741" max="9741" width="9.75" style="384" customWidth="1"/>
    <col min="9742" max="9742" width="8.75" style="384" customWidth="1"/>
    <col min="9743" max="9743" width="6.5" style="384" customWidth="1"/>
    <col min="9744" max="9744" width="11" style="384"/>
    <col min="9745" max="9745" width="5.875" style="384" customWidth="1"/>
    <col min="9746" max="9747" width="11" style="384"/>
    <col min="9748" max="9748" width="10.875" style="384" customWidth="1"/>
    <col min="9749" max="9749" width="9" style="384" customWidth="1"/>
    <col min="9750" max="9750" width="4.875" style="384" customWidth="1"/>
    <col min="9751" max="9751" width="10.25" style="384" customWidth="1"/>
    <col min="9752" max="9756" width="10.875" style="384" customWidth="1"/>
    <col min="9757" max="9984" width="11" style="384"/>
    <col min="9985" max="9985" width="10.25" style="384" customWidth="1"/>
    <col min="9986" max="9986" width="33.5" style="384" customWidth="1"/>
    <col min="9987" max="9987" width="10.5" style="384" customWidth="1"/>
    <col min="9988" max="9988" width="10.375" style="384" customWidth="1"/>
    <col min="9989" max="9989" width="2.5" style="384" bestFit="1" customWidth="1"/>
    <col min="9990" max="9993" width="10.25" style="384" customWidth="1"/>
    <col min="9994" max="9994" width="12" style="384" customWidth="1"/>
    <col min="9995" max="9995" width="10.25" style="384" customWidth="1"/>
    <col min="9996" max="9996" width="9" style="384" customWidth="1"/>
    <col min="9997" max="9997" width="9.75" style="384" customWidth="1"/>
    <col min="9998" max="9998" width="8.75" style="384" customWidth="1"/>
    <col min="9999" max="9999" width="6.5" style="384" customWidth="1"/>
    <col min="10000" max="10000" width="11" style="384"/>
    <col min="10001" max="10001" width="5.875" style="384" customWidth="1"/>
    <col min="10002" max="10003" width="11" style="384"/>
    <col min="10004" max="10004" width="10.875" style="384" customWidth="1"/>
    <col min="10005" max="10005" width="9" style="384" customWidth="1"/>
    <col min="10006" max="10006" width="4.875" style="384" customWidth="1"/>
    <col min="10007" max="10007" width="10.25" style="384" customWidth="1"/>
    <col min="10008" max="10012" width="10.875" style="384" customWidth="1"/>
    <col min="10013" max="10240" width="11" style="384"/>
    <col min="10241" max="10241" width="10.25" style="384" customWidth="1"/>
    <col min="10242" max="10242" width="33.5" style="384" customWidth="1"/>
    <col min="10243" max="10243" width="10.5" style="384" customWidth="1"/>
    <col min="10244" max="10244" width="10.375" style="384" customWidth="1"/>
    <col min="10245" max="10245" width="2.5" style="384" bestFit="1" customWidth="1"/>
    <col min="10246" max="10249" width="10.25" style="384" customWidth="1"/>
    <col min="10250" max="10250" width="12" style="384" customWidth="1"/>
    <col min="10251" max="10251" width="10.25" style="384" customWidth="1"/>
    <col min="10252" max="10252" width="9" style="384" customWidth="1"/>
    <col min="10253" max="10253" width="9.75" style="384" customWidth="1"/>
    <col min="10254" max="10254" width="8.75" style="384" customWidth="1"/>
    <col min="10255" max="10255" width="6.5" style="384" customWidth="1"/>
    <col min="10256" max="10256" width="11" style="384"/>
    <col min="10257" max="10257" width="5.875" style="384" customWidth="1"/>
    <col min="10258" max="10259" width="11" style="384"/>
    <col min="10260" max="10260" width="10.875" style="384" customWidth="1"/>
    <col min="10261" max="10261" width="9" style="384" customWidth="1"/>
    <col min="10262" max="10262" width="4.875" style="384" customWidth="1"/>
    <col min="10263" max="10263" width="10.25" style="384" customWidth="1"/>
    <col min="10264" max="10268" width="10.875" style="384" customWidth="1"/>
    <col min="10269" max="10496" width="11" style="384"/>
    <col min="10497" max="10497" width="10.25" style="384" customWidth="1"/>
    <col min="10498" max="10498" width="33.5" style="384" customWidth="1"/>
    <col min="10499" max="10499" width="10.5" style="384" customWidth="1"/>
    <col min="10500" max="10500" width="10.375" style="384" customWidth="1"/>
    <col min="10501" max="10501" width="2.5" style="384" bestFit="1" customWidth="1"/>
    <col min="10502" max="10505" width="10.25" style="384" customWidth="1"/>
    <col min="10506" max="10506" width="12" style="384" customWidth="1"/>
    <col min="10507" max="10507" width="10.25" style="384" customWidth="1"/>
    <col min="10508" max="10508" width="9" style="384" customWidth="1"/>
    <col min="10509" max="10509" width="9.75" style="384" customWidth="1"/>
    <col min="10510" max="10510" width="8.75" style="384" customWidth="1"/>
    <col min="10511" max="10511" width="6.5" style="384" customWidth="1"/>
    <col min="10512" max="10512" width="11" style="384"/>
    <col min="10513" max="10513" width="5.875" style="384" customWidth="1"/>
    <col min="10514" max="10515" width="11" style="384"/>
    <col min="10516" max="10516" width="10.875" style="384" customWidth="1"/>
    <col min="10517" max="10517" width="9" style="384" customWidth="1"/>
    <col min="10518" max="10518" width="4.875" style="384" customWidth="1"/>
    <col min="10519" max="10519" width="10.25" style="384" customWidth="1"/>
    <col min="10520" max="10524" width="10.875" style="384" customWidth="1"/>
    <col min="10525" max="10752" width="11" style="384"/>
    <col min="10753" max="10753" width="10.25" style="384" customWidth="1"/>
    <col min="10754" max="10754" width="33.5" style="384" customWidth="1"/>
    <col min="10755" max="10755" width="10.5" style="384" customWidth="1"/>
    <col min="10756" max="10756" width="10.375" style="384" customWidth="1"/>
    <col min="10757" max="10757" width="2.5" style="384" bestFit="1" customWidth="1"/>
    <col min="10758" max="10761" width="10.25" style="384" customWidth="1"/>
    <col min="10762" max="10762" width="12" style="384" customWidth="1"/>
    <col min="10763" max="10763" width="10.25" style="384" customWidth="1"/>
    <col min="10764" max="10764" width="9" style="384" customWidth="1"/>
    <col min="10765" max="10765" width="9.75" style="384" customWidth="1"/>
    <col min="10766" max="10766" width="8.75" style="384" customWidth="1"/>
    <col min="10767" max="10767" width="6.5" style="384" customWidth="1"/>
    <col min="10768" max="10768" width="11" style="384"/>
    <col min="10769" max="10769" width="5.875" style="384" customWidth="1"/>
    <col min="10770" max="10771" width="11" style="384"/>
    <col min="10772" max="10772" width="10.875" style="384" customWidth="1"/>
    <col min="10773" max="10773" width="9" style="384" customWidth="1"/>
    <col min="10774" max="10774" width="4.875" style="384" customWidth="1"/>
    <col min="10775" max="10775" width="10.25" style="384" customWidth="1"/>
    <col min="10776" max="10780" width="10.875" style="384" customWidth="1"/>
    <col min="10781" max="11008" width="11" style="384"/>
    <col min="11009" max="11009" width="10.25" style="384" customWidth="1"/>
    <col min="11010" max="11010" width="33.5" style="384" customWidth="1"/>
    <col min="11011" max="11011" width="10.5" style="384" customWidth="1"/>
    <col min="11012" max="11012" width="10.375" style="384" customWidth="1"/>
    <col min="11013" max="11013" width="2.5" style="384" bestFit="1" customWidth="1"/>
    <col min="11014" max="11017" width="10.25" style="384" customWidth="1"/>
    <col min="11018" max="11018" width="12" style="384" customWidth="1"/>
    <col min="11019" max="11019" width="10.25" style="384" customWidth="1"/>
    <col min="11020" max="11020" width="9" style="384" customWidth="1"/>
    <col min="11021" max="11021" width="9.75" style="384" customWidth="1"/>
    <col min="11022" max="11022" width="8.75" style="384" customWidth="1"/>
    <col min="11023" max="11023" width="6.5" style="384" customWidth="1"/>
    <col min="11024" max="11024" width="11" style="384"/>
    <col min="11025" max="11025" width="5.875" style="384" customWidth="1"/>
    <col min="11026" max="11027" width="11" style="384"/>
    <col min="11028" max="11028" width="10.875" style="384" customWidth="1"/>
    <col min="11029" max="11029" width="9" style="384" customWidth="1"/>
    <col min="11030" max="11030" width="4.875" style="384" customWidth="1"/>
    <col min="11031" max="11031" width="10.25" style="384" customWidth="1"/>
    <col min="11032" max="11036" width="10.875" style="384" customWidth="1"/>
    <col min="11037" max="11264" width="11" style="384"/>
    <col min="11265" max="11265" width="10.25" style="384" customWidth="1"/>
    <col min="11266" max="11266" width="33.5" style="384" customWidth="1"/>
    <col min="11267" max="11267" width="10.5" style="384" customWidth="1"/>
    <col min="11268" max="11268" width="10.375" style="384" customWidth="1"/>
    <col min="11269" max="11269" width="2.5" style="384" bestFit="1" customWidth="1"/>
    <col min="11270" max="11273" width="10.25" style="384" customWidth="1"/>
    <col min="11274" max="11274" width="12" style="384" customWidth="1"/>
    <col min="11275" max="11275" width="10.25" style="384" customWidth="1"/>
    <col min="11276" max="11276" width="9" style="384" customWidth="1"/>
    <col min="11277" max="11277" width="9.75" style="384" customWidth="1"/>
    <col min="11278" max="11278" width="8.75" style="384" customWidth="1"/>
    <col min="11279" max="11279" width="6.5" style="384" customWidth="1"/>
    <col min="11280" max="11280" width="11" style="384"/>
    <col min="11281" max="11281" width="5.875" style="384" customWidth="1"/>
    <col min="11282" max="11283" width="11" style="384"/>
    <col min="11284" max="11284" width="10.875" style="384" customWidth="1"/>
    <col min="11285" max="11285" width="9" style="384" customWidth="1"/>
    <col min="11286" max="11286" width="4.875" style="384" customWidth="1"/>
    <col min="11287" max="11287" width="10.25" style="384" customWidth="1"/>
    <col min="11288" max="11292" width="10.875" style="384" customWidth="1"/>
    <col min="11293" max="11520" width="11" style="384"/>
    <col min="11521" max="11521" width="10.25" style="384" customWidth="1"/>
    <col min="11522" max="11522" width="33.5" style="384" customWidth="1"/>
    <col min="11523" max="11523" width="10.5" style="384" customWidth="1"/>
    <col min="11524" max="11524" width="10.375" style="384" customWidth="1"/>
    <col min="11525" max="11525" width="2.5" style="384" bestFit="1" customWidth="1"/>
    <col min="11526" max="11529" width="10.25" style="384" customWidth="1"/>
    <col min="11530" max="11530" width="12" style="384" customWidth="1"/>
    <col min="11531" max="11531" width="10.25" style="384" customWidth="1"/>
    <col min="11532" max="11532" width="9" style="384" customWidth="1"/>
    <col min="11533" max="11533" width="9.75" style="384" customWidth="1"/>
    <col min="11534" max="11534" width="8.75" style="384" customWidth="1"/>
    <col min="11535" max="11535" width="6.5" style="384" customWidth="1"/>
    <col min="11536" max="11536" width="11" style="384"/>
    <col min="11537" max="11537" width="5.875" style="384" customWidth="1"/>
    <col min="11538" max="11539" width="11" style="384"/>
    <col min="11540" max="11540" width="10.875" style="384" customWidth="1"/>
    <col min="11541" max="11541" width="9" style="384" customWidth="1"/>
    <col min="11542" max="11542" width="4.875" style="384" customWidth="1"/>
    <col min="11543" max="11543" width="10.25" style="384" customWidth="1"/>
    <col min="11544" max="11548" width="10.875" style="384" customWidth="1"/>
    <col min="11549" max="11776" width="11" style="384"/>
    <col min="11777" max="11777" width="10.25" style="384" customWidth="1"/>
    <col min="11778" max="11778" width="33.5" style="384" customWidth="1"/>
    <col min="11779" max="11779" width="10.5" style="384" customWidth="1"/>
    <col min="11780" max="11780" width="10.375" style="384" customWidth="1"/>
    <col min="11781" max="11781" width="2.5" style="384" bestFit="1" customWidth="1"/>
    <col min="11782" max="11785" width="10.25" style="384" customWidth="1"/>
    <col min="11786" max="11786" width="12" style="384" customWidth="1"/>
    <col min="11787" max="11787" width="10.25" style="384" customWidth="1"/>
    <col min="11788" max="11788" width="9" style="384" customWidth="1"/>
    <col min="11789" max="11789" width="9.75" style="384" customWidth="1"/>
    <col min="11790" max="11790" width="8.75" style="384" customWidth="1"/>
    <col min="11791" max="11791" width="6.5" style="384" customWidth="1"/>
    <col min="11792" max="11792" width="11" style="384"/>
    <col min="11793" max="11793" width="5.875" style="384" customWidth="1"/>
    <col min="11794" max="11795" width="11" style="384"/>
    <col min="11796" max="11796" width="10.875" style="384" customWidth="1"/>
    <col min="11797" max="11797" width="9" style="384" customWidth="1"/>
    <col min="11798" max="11798" width="4.875" style="384" customWidth="1"/>
    <col min="11799" max="11799" width="10.25" style="384" customWidth="1"/>
    <col min="11800" max="11804" width="10.875" style="384" customWidth="1"/>
    <col min="11805" max="12032" width="11" style="384"/>
    <col min="12033" max="12033" width="10.25" style="384" customWidth="1"/>
    <col min="12034" max="12034" width="33.5" style="384" customWidth="1"/>
    <col min="12035" max="12035" width="10.5" style="384" customWidth="1"/>
    <col min="12036" max="12036" width="10.375" style="384" customWidth="1"/>
    <col min="12037" max="12037" width="2.5" style="384" bestFit="1" customWidth="1"/>
    <col min="12038" max="12041" width="10.25" style="384" customWidth="1"/>
    <col min="12042" max="12042" width="12" style="384" customWidth="1"/>
    <col min="12043" max="12043" width="10.25" style="384" customWidth="1"/>
    <col min="12044" max="12044" width="9" style="384" customWidth="1"/>
    <col min="12045" max="12045" width="9.75" style="384" customWidth="1"/>
    <col min="12046" max="12046" width="8.75" style="384" customWidth="1"/>
    <col min="12047" max="12047" width="6.5" style="384" customWidth="1"/>
    <col min="12048" max="12048" width="11" style="384"/>
    <col min="12049" max="12049" width="5.875" style="384" customWidth="1"/>
    <col min="12050" max="12051" width="11" style="384"/>
    <col min="12052" max="12052" width="10.875" style="384" customWidth="1"/>
    <col min="12053" max="12053" width="9" style="384" customWidth="1"/>
    <col min="12054" max="12054" width="4.875" style="384" customWidth="1"/>
    <col min="12055" max="12055" width="10.25" style="384" customWidth="1"/>
    <col min="12056" max="12060" width="10.875" style="384" customWidth="1"/>
    <col min="12061" max="12288" width="11" style="384"/>
    <col min="12289" max="12289" width="10.25" style="384" customWidth="1"/>
    <col min="12290" max="12290" width="33.5" style="384" customWidth="1"/>
    <col min="12291" max="12291" width="10.5" style="384" customWidth="1"/>
    <col min="12292" max="12292" width="10.375" style="384" customWidth="1"/>
    <col min="12293" max="12293" width="2.5" style="384" bestFit="1" customWidth="1"/>
    <col min="12294" max="12297" width="10.25" style="384" customWidth="1"/>
    <col min="12298" max="12298" width="12" style="384" customWidth="1"/>
    <col min="12299" max="12299" width="10.25" style="384" customWidth="1"/>
    <col min="12300" max="12300" width="9" style="384" customWidth="1"/>
    <col min="12301" max="12301" width="9.75" style="384" customWidth="1"/>
    <col min="12302" max="12302" width="8.75" style="384" customWidth="1"/>
    <col min="12303" max="12303" width="6.5" style="384" customWidth="1"/>
    <col min="12304" max="12304" width="11" style="384"/>
    <col min="12305" max="12305" width="5.875" style="384" customWidth="1"/>
    <col min="12306" max="12307" width="11" style="384"/>
    <col min="12308" max="12308" width="10.875" style="384" customWidth="1"/>
    <col min="12309" max="12309" width="9" style="384" customWidth="1"/>
    <col min="12310" max="12310" width="4.875" style="384" customWidth="1"/>
    <col min="12311" max="12311" width="10.25" style="384" customWidth="1"/>
    <col min="12312" max="12316" width="10.875" style="384" customWidth="1"/>
    <col min="12317" max="12544" width="11" style="384"/>
    <col min="12545" max="12545" width="10.25" style="384" customWidth="1"/>
    <col min="12546" max="12546" width="33.5" style="384" customWidth="1"/>
    <col min="12547" max="12547" width="10.5" style="384" customWidth="1"/>
    <col min="12548" max="12548" width="10.375" style="384" customWidth="1"/>
    <col min="12549" max="12549" width="2.5" style="384" bestFit="1" customWidth="1"/>
    <col min="12550" max="12553" width="10.25" style="384" customWidth="1"/>
    <col min="12554" max="12554" width="12" style="384" customWidth="1"/>
    <col min="12555" max="12555" width="10.25" style="384" customWidth="1"/>
    <col min="12556" max="12556" width="9" style="384" customWidth="1"/>
    <col min="12557" max="12557" width="9.75" style="384" customWidth="1"/>
    <col min="12558" max="12558" width="8.75" style="384" customWidth="1"/>
    <col min="12559" max="12559" width="6.5" style="384" customWidth="1"/>
    <col min="12560" max="12560" width="11" style="384"/>
    <col min="12561" max="12561" width="5.875" style="384" customWidth="1"/>
    <col min="12562" max="12563" width="11" style="384"/>
    <col min="12564" max="12564" width="10.875" style="384" customWidth="1"/>
    <col min="12565" max="12565" width="9" style="384" customWidth="1"/>
    <col min="12566" max="12566" width="4.875" style="384" customWidth="1"/>
    <col min="12567" max="12567" width="10.25" style="384" customWidth="1"/>
    <col min="12568" max="12572" width="10.875" style="384" customWidth="1"/>
    <col min="12573" max="12800" width="11" style="384"/>
    <col min="12801" max="12801" width="10.25" style="384" customWidth="1"/>
    <col min="12802" max="12802" width="33.5" style="384" customWidth="1"/>
    <col min="12803" max="12803" width="10.5" style="384" customWidth="1"/>
    <col min="12804" max="12804" width="10.375" style="384" customWidth="1"/>
    <col min="12805" max="12805" width="2.5" style="384" bestFit="1" customWidth="1"/>
    <col min="12806" max="12809" width="10.25" style="384" customWidth="1"/>
    <col min="12810" max="12810" width="12" style="384" customWidth="1"/>
    <col min="12811" max="12811" width="10.25" style="384" customWidth="1"/>
    <col min="12812" max="12812" width="9" style="384" customWidth="1"/>
    <col min="12813" max="12813" width="9.75" style="384" customWidth="1"/>
    <col min="12814" max="12814" width="8.75" style="384" customWidth="1"/>
    <col min="12815" max="12815" width="6.5" style="384" customWidth="1"/>
    <col min="12816" max="12816" width="11" style="384"/>
    <col min="12817" max="12817" width="5.875" style="384" customWidth="1"/>
    <col min="12818" max="12819" width="11" style="384"/>
    <col min="12820" max="12820" width="10.875" style="384" customWidth="1"/>
    <col min="12821" max="12821" width="9" style="384" customWidth="1"/>
    <col min="12822" max="12822" width="4.875" style="384" customWidth="1"/>
    <col min="12823" max="12823" width="10.25" style="384" customWidth="1"/>
    <col min="12824" max="12828" width="10.875" style="384" customWidth="1"/>
    <col min="12829" max="13056" width="11" style="384"/>
    <col min="13057" max="13057" width="10.25" style="384" customWidth="1"/>
    <col min="13058" max="13058" width="33.5" style="384" customWidth="1"/>
    <col min="13059" max="13059" width="10.5" style="384" customWidth="1"/>
    <col min="13060" max="13060" width="10.375" style="384" customWidth="1"/>
    <col min="13061" max="13061" width="2.5" style="384" bestFit="1" customWidth="1"/>
    <col min="13062" max="13065" width="10.25" style="384" customWidth="1"/>
    <col min="13066" max="13066" width="12" style="384" customWidth="1"/>
    <col min="13067" max="13067" width="10.25" style="384" customWidth="1"/>
    <col min="13068" max="13068" width="9" style="384" customWidth="1"/>
    <col min="13069" max="13069" width="9.75" style="384" customWidth="1"/>
    <col min="13070" max="13070" width="8.75" style="384" customWidth="1"/>
    <col min="13071" max="13071" width="6.5" style="384" customWidth="1"/>
    <col min="13072" max="13072" width="11" style="384"/>
    <col min="13073" max="13073" width="5.875" style="384" customWidth="1"/>
    <col min="13074" max="13075" width="11" style="384"/>
    <col min="13076" max="13076" width="10.875" style="384" customWidth="1"/>
    <col min="13077" max="13077" width="9" style="384" customWidth="1"/>
    <col min="13078" max="13078" width="4.875" style="384" customWidth="1"/>
    <col min="13079" max="13079" width="10.25" style="384" customWidth="1"/>
    <col min="13080" max="13084" width="10.875" style="384" customWidth="1"/>
    <col min="13085" max="13312" width="11" style="384"/>
    <col min="13313" max="13313" width="10.25" style="384" customWidth="1"/>
    <col min="13314" max="13314" width="33.5" style="384" customWidth="1"/>
    <col min="13315" max="13315" width="10.5" style="384" customWidth="1"/>
    <col min="13316" max="13316" width="10.375" style="384" customWidth="1"/>
    <col min="13317" max="13317" width="2.5" style="384" bestFit="1" customWidth="1"/>
    <col min="13318" max="13321" width="10.25" style="384" customWidth="1"/>
    <col min="13322" max="13322" width="12" style="384" customWidth="1"/>
    <col min="13323" max="13323" width="10.25" style="384" customWidth="1"/>
    <col min="13324" max="13324" width="9" style="384" customWidth="1"/>
    <col min="13325" max="13325" width="9.75" style="384" customWidth="1"/>
    <col min="13326" max="13326" width="8.75" style="384" customWidth="1"/>
    <col min="13327" max="13327" width="6.5" style="384" customWidth="1"/>
    <col min="13328" max="13328" width="11" style="384"/>
    <col min="13329" max="13329" width="5.875" style="384" customWidth="1"/>
    <col min="13330" max="13331" width="11" style="384"/>
    <col min="13332" max="13332" width="10.875" style="384" customWidth="1"/>
    <col min="13333" max="13333" width="9" style="384" customWidth="1"/>
    <col min="13334" max="13334" width="4.875" style="384" customWidth="1"/>
    <col min="13335" max="13335" width="10.25" style="384" customWidth="1"/>
    <col min="13336" max="13340" width="10.875" style="384" customWidth="1"/>
    <col min="13341" max="13568" width="11" style="384"/>
    <col min="13569" max="13569" width="10.25" style="384" customWidth="1"/>
    <col min="13570" max="13570" width="33.5" style="384" customWidth="1"/>
    <col min="13571" max="13571" width="10.5" style="384" customWidth="1"/>
    <col min="13572" max="13572" width="10.375" style="384" customWidth="1"/>
    <col min="13573" max="13573" width="2.5" style="384" bestFit="1" customWidth="1"/>
    <col min="13574" max="13577" width="10.25" style="384" customWidth="1"/>
    <col min="13578" max="13578" width="12" style="384" customWidth="1"/>
    <col min="13579" max="13579" width="10.25" style="384" customWidth="1"/>
    <col min="13580" max="13580" width="9" style="384" customWidth="1"/>
    <col min="13581" max="13581" width="9.75" style="384" customWidth="1"/>
    <col min="13582" max="13582" width="8.75" style="384" customWidth="1"/>
    <col min="13583" max="13583" width="6.5" style="384" customWidth="1"/>
    <col min="13584" max="13584" width="11" style="384"/>
    <col min="13585" max="13585" width="5.875" style="384" customWidth="1"/>
    <col min="13586" max="13587" width="11" style="384"/>
    <col min="13588" max="13588" width="10.875" style="384" customWidth="1"/>
    <col min="13589" max="13589" width="9" style="384" customWidth="1"/>
    <col min="13590" max="13590" width="4.875" style="384" customWidth="1"/>
    <col min="13591" max="13591" width="10.25" style="384" customWidth="1"/>
    <col min="13592" max="13596" width="10.875" style="384" customWidth="1"/>
    <col min="13597" max="13824" width="11" style="384"/>
    <col min="13825" max="13825" width="10.25" style="384" customWidth="1"/>
    <col min="13826" max="13826" width="33.5" style="384" customWidth="1"/>
    <col min="13827" max="13827" width="10.5" style="384" customWidth="1"/>
    <col min="13828" max="13828" width="10.375" style="384" customWidth="1"/>
    <col min="13829" max="13829" width="2.5" style="384" bestFit="1" customWidth="1"/>
    <col min="13830" max="13833" width="10.25" style="384" customWidth="1"/>
    <col min="13834" max="13834" width="12" style="384" customWidth="1"/>
    <col min="13835" max="13835" width="10.25" style="384" customWidth="1"/>
    <col min="13836" max="13836" width="9" style="384" customWidth="1"/>
    <col min="13837" max="13837" width="9.75" style="384" customWidth="1"/>
    <col min="13838" max="13838" width="8.75" style="384" customWidth="1"/>
    <col min="13839" max="13839" width="6.5" style="384" customWidth="1"/>
    <col min="13840" max="13840" width="11" style="384"/>
    <col min="13841" max="13841" width="5.875" style="384" customWidth="1"/>
    <col min="13842" max="13843" width="11" style="384"/>
    <col min="13844" max="13844" width="10.875" style="384" customWidth="1"/>
    <col min="13845" max="13845" width="9" style="384" customWidth="1"/>
    <col min="13846" max="13846" width="4.875" style="384" customWidth="1"/>
    <col min="13847" max="13847" width="10.25" style="384" customWidth="1"/>
    <col min="13848" max="13852" width="10.875" style="384" customWidth="1"/>
    <col min="13853" max="14080" width="11" style="384"/>
    <col min="14081" max="14081" width="10.25" style="384" customWidth="1"/>
    <col min="14082" max="14082" width="33.5" style="384" customWidth="1"/>
    <col min="14083" max="14083" width="10.5" style="384" customWidth="1"/>
    <col min="14084" max="14084" width="10.375" style="384" customWidth="1"/>
    <col min="14085" max="14085" width="2.5" style="384" bestFit="1" customWidth="1"/>
    <col min="14086" max="14089" width="10.25" style="384" customWidth="1"/>
    <col min="14090" max="14090" width="12" style="384" customWidth="1"/>
    <col min="14091" max="14091" width="10.25" style="384" customWidth="1"/>
    <col min="14092" max="14092" width="9" style="384" customWidth="1"/>
    <col min="14093" max="14093" width="9.75" style="384" customWidth="1"/>
    <col min="14094" max="14094" width="8.75" style="384" customWidth="1"/>
    <col min="14095" max="14095" width="6.5" style="384" customWidth="1"/>
    <col min="14096" max="14096" width="11" style="384"/>
    <col min="14097" max="14097" width="5.875" style="384" customWidth="1"/>
    <col min="14098" max="14099" width="11" style="384"/>
    <col min="14100" max="14100" width="10.875" style="384" customWidth="1"/>
    <col min="14101" max="14101" width="9" style="384" customWidth="1"/>
    <col min="14102" max="14102" width="4.875" style="384" customWidth="1"/>
    <col min="14103" max="14103" width="10.25" style="384" customWidth="1"/>
    <col min="14104" max="14108" width="10.875" style="384" customWidth="1"/>
    <col min="14109" max="14336" width="11" style="384"/>
    <col min="14337" max="14337" width="10.25" style="384" customWidth="1"/>
    <col min="14338" max="14338" width="33.5" style="384" customWidth="1"/>
    <col min="14339" max="14339" width="10.5" style="384" customWidth="1"/>
    <col min="14340" max="14340" width="10.375" style="384" customWidth="1"/>
    <col min="14341" max="14341" width="2.5" style="384" bestFit="1" customWidth="1"/>
    <col min="14342" max="14345" width="10.25" style="384" customWidth="1"/>
    <col min="14346" max="14346" width="12" style="384" customWidth="1"/>
    <col min="14347" max="14347" width="10.25" style="384" customWidth="1"/>
    <col min="14348" max="14348" width="9" style="384" customWidth="1"/>
    <col min="14349" max="14349" width="9.75" style="384" customWidth="1"/>
    <col min="14350" max="14350" width="8.75" style="384" customWidth="1"/>
    <col min="14351" max="14351" width="6.5" style="384" customWidth="1"/>
    <col min="14352" max="14352" width="11" style="384"/>
    <col min="14353" max="14353" width="5.875" style="384" customWidth="1"/>
    <col min="14354" max="14355" width="11" style="384"/>
    <col min="14356" max="14356" width="10.875" style="384" customWidth="1"/>
    <col min="14357" max="14357" width="9" style="384" customWidth="1"/>
    <col min="14358" max="14358" width="4.875" style="384" customWidth="1"/>
    <col min="14359" max="14359" width="10.25" style="384" customWidth="1"/>
    <col min="14360" max="14364" width="10.875" style="384" customWidth="1"/>
    <col min="14365" max="14592" width="11" style="384"/>
    <col min="14593" max="14593" width="10.25" style="384" customWidth="1"/>
    <col min="14594" max="14594" width="33.5" style="384" customWidth="1"/>
    <col min="14595" max="14595" width="10.5" style="384" customWidth="1"/>
    <col min="14596" max="14596" width="10.375" style="384" customWidth="1"/>
    <col min="14597" max="14597" width="2.5" style="384" bestFit="1" customWidth="1"/>
    <col min="14598" max="14601" width="10.25" style="384" customWidth="1"/>
    <col min="14602" max="14602" width="12" style="384" customWidth="1"/>
    <col min="14603" max="14603" width="10.25" style="384" customWidth="1"/>
    <col min="14604" max="14604" width="9" style="384" customWidth="1"/>
    <col min="14605" max="14605" width="9.75" style="384" customWidth="1"/>
    <col min="14606" max="14606" width="8.75" style="384" customWidth="1"/>
    <col min="14607" max="14607" width="6.5" style="384" customWidth="1"/>
    <col min="14608" max="14608" width="11" style="384"/>
    <col min="14609" max="14609" width="5.875" style="384" customWidth="1"/>
    <col min="14610" max="14611" width="11" style="384"/>
    <col min="14612" max="14612" width="10.875" style="384" customWidth="1"/>
    <col min="14613" max="14613" width="9" style="384" customWidth="1"/>
    <col min="14614" max="14614" width="4.875" style="384" customWidth="1"/>
    <col min="14615" max="14615" width="10.25" style="384" customWidth="1"/>
    <col min="14616" max="14620" width="10.875" style="384" customWidth="1"/>
    <col min="14621" max="14848" width="11" style="384"/>
    <col min="14849" max="14849" width="10.25" style="384" customWidth="1"/>
    <col min="14850" max="14850" width="33.5" style="384" customWidth="1"/>
    <col min="14851" max="14851" width="10.5" style="384" customWidth="1"/>
    <col min="14852" max="14852" width="10.375" style="384" customWidth="1"/>
    <col min="14853" max="14853" width="2.5" style="384" bestFit="1" customWidth="1"/>
    <col min="14854" max="14857" width="10.25" style="384" customWidth="1"/>
    <col min="14858" max="14858" width="12" style="384" customWidth="1"/>
    <col min="14859" max="14859" width="10.25" style="384" customWidth="1"/>
    <col min="14860" max="14860" width="9" style="384" customWidth="1"/>
    <col min="14861" max="14861" width="9.75" style="384" customWidth="1"/>
    <col min="14862" max="14862" width="8.75" style="384" customWidth="1"/>
    <col min="14863" max="14863" width="6.5" style="384" customWidth="1"/>
    <col min="14864" max="14864" width="11" style="384"/>
    <col min="14865" max="14865" width="5.875" style="384" customWidth="1"/>
    <col min="14866" max="14867" width="11" style="384"/>
    <col min="14868" max="14868" width="10.875" style="384" customWidth="1"/>
    <col min="14869" max="14869" width="9" style="384" customWidth="1"/>
    <col min="14870" max="14870" width="4.875" style="384" customWidth="1"/>
    <col min="14871" max="14871" width="10.25" style="384" customWidth="1"/>
    <col min="14872" max="14876" width="10.875" style="384" customWidth="1"/>
    <col min="14877" max="15104" width="11" style="384"/>
    <col min="15105" max="15105" width="10.25" style="384" customWidth="1"/>
    <col min="15106" max="15106" width="33.5" style="384" customWidth="1"/>
    <col min="15107" max="15107" width="10.5" style="384" customWidth="1"/>
    <col min="15108" max="15108" width="10.375" style="384" customWidth="1"/>
    <col min="15109" max="15109" width="2.5" style="384" bestFit="1" customWidth="1"/>
    <col min="15110" max="15113" width="10.25" style="384" customWidth="1"/>
    <col min="15114" max="15114" width="12" style="384" customWidth="1"/>
    <col min="15115" max="15115" width="10.25" style="384" customWidth="1"/>
    <col min="15116" max="15116" width="9" style="384" customWidth="1"/>
    <col min="15117" max="15117" width="9.75" style="384" customWidth="1"/>
    <col min="15118" max="15118" width="8.75" style="384" customWidth="1"/>
    <col min="15119" max="15119" width="6.5" style="384" customWidth="1"/>
    <col min="15120" max="15120" width="11" style="384"/>
    <col min="15121" max="15121" width="5.875" style="384" customWidth="1"/>
    <col min="15122" max="15123" width="11" style="384"/>
    <col min="15124" max="15124" width="10.875" style="384" customWidth="1"/>
    <col min="15125" max="15125" width="9" style="384" customWidth="1"/>
    <col min="15126" max="15126" width="4.875" style="384" customWidth="1"/>
    <col min="15127" max="15127" width="10.25" style="384" customWidth="1"/>
    <col min="15128" max="15132" width="10.875" style="384" customWidth="1"/>
    <col min="15133" max="15360" width="11" style="384"/>
    <col min="15361" max="15361" width="10.25" style="384" customWidth="1"/>
    <col min="15362" max="15362" width="33.5" style="384" customWidth="1"/>
    <col min="15363" max="15363" width="10.5" style="384" customWidth="1"/>
    <col min="15364" max="15364" width="10.375" style="384" customWidth="1"/>
    <col min="15365" max="15365" width="2.5" style="384" bestFit="1" customWidth="1"/>
    <col min="15366" max="15369" width="10.25" style="384" customWidth="1"/>
    <col min="15370" max="15370" width="12" style="384" customWidth="1"/>
    <col min="15371" max="15371" width="10.25" style="384" customWidth="1"/>
    <col min="15372" max="15372" width="9" style="384" customWidth="1"/>
    <col min="15373" max="15373" width="9.75" style="384" customWidth="1"/>
    <col min="15374" max="15374" width="8.75" style="384" customWidth="1"/>
    <col min="15375" max="15375" width="6.5" style="384" customWidth="1"/>
    <col min="15376" max="15376" width="11" style="384"/>
    <col min="15377" max="15377" width="5.875" style="384" customWidth="1"/>
    <col min="15378" max="15379" width="11" style="384"/>
    <col min="15380" max="15380" width="10.875" style="384" customWidth="1"/>
    <col min="15381" max="15381" width="9" style="384" customWidth="1"/>
    <col min="15382" max="15382" width="4.875" style="384" customWidth="1"/>
    <col min="15383" max="15383" width="10.25" style="384" customWidth="1"/>
    <col min="15384" max="15388" width="10.875" style="384" customWidth="1"/>
    <col min="15389" max="15616" width="11" style="384"/>
    <col min="15617" max="15617" width="10.25" style="384" customWidth="1"/>
    <col min="15618" max="15618" width="33.5" style="384" customWidth="1"/>
    <col min="15619" max="15619" width="10.5" style="384" customWidth="1"/>
    <col min="15620" max="15620" width="10.375" style="384" customWidth="1"/>
    <col min="15621" max="15621" width="2.5" style="384" bestFit="1" customWidth="1"/>
    <col min="15622" max="15625" width="10.25" style="384" customWidth="1"/>
    <col min="15626" max="15626" width="12" style="384" customWidth="1"/>
    <col min="15627" max="15627" width="10.25" style="384" customWidth="1"/>
    <col min="15628" max="15628" width="9" style="384" customWidth="1"/>
    <col min="15629" max="15629" width="9.75" style="384" customWidth="1"/>
    <col min="15630" max="15630" width="8.75" style="384" customWidth="1"/>
    <col min="15631" max="15631" width="6.5" style="384" customWidth="1"/>
    <col min="15632" max="15632" width="11" style="384"/>
    <col min="15633" max="15633" width="5.875" style="384" customWidth="1"/>
    <col min="15634" max="15635" width="11" style="384"/>
    <col min="15636" max="15636" width="10.875" style="384" customWidth="1"/>
    <col min="15637" max="15637" width="9" style="384" customWidth="1"/>
    <col min="15638" max="15638" width="4.875" style="384" customWidth="1"/>
    <col min="15639" max="15639" width="10.25" style="384" customWidth="1"/>
    <col min="15640" max="15644" width="10.875" style="384" customWidth="1"/>
    <col min="15645" max="15872" width="11" style="384"/>
    <col min="15873" max="15873" width="10.25" style="384" customWidth="1"/>
    <col min="15874" max="15874" width="33.5" style="384" customWidth="1"/>
    <col min="15875" max="15875" width="10.5" style="384" customWidth="1"/>
    <col min="15876" max="15876" width="10.375" style="384" customWidth="1"/>
    <col min="15877" max="15877" width="2.5" style="384" bestFit="1" customWidth="1"/>
    <col min="15878" max="15881" width="10.25" style="384" customWidth="1"/>
    <col min="15882" max="15882" width="12" style="384" customWidth="1"/>
    <col min="15883" max="15883" width="10.25" style="384" customWidth="1"/>
    <col min="15884" max="15884" width="9" style="384" customWidth="1"/>
    <col min="15885" max="15885" width="9.75" style="384" customWidth="1"/>
    <col min="15886" max="15886" width="8.75" style="384" customWidth="1"/>
    <col min="15887" max="15887" width="6.5" style="384" customWidth="1"/>
    <col min="15888" max="15888" width="11" style="384"/>
    <col min="15889" max="15889" width="5.875" style="384" customWidth="1"/>
    <col min="15890" max="15891" width="11" style="384"/>
    <col min="15892" max="15892" width="10.875" style="384" customWidth="1"/>
    <col min="15893" max="15893" width="9" style="384" customWidth="1"/>
    <col min="15894" max="15894" width="4.875" style="384" customWidth="1"/>
    <col min="15895" max="15895" width="10.25" style="384" customWidth="1"/>
    <col min="15896" max="15900" width="10.875" style="384" customWidth="1"/>
    <col min="15901" max="16128" width="11" style="384"/>
    <col min="16129" max="16129" width="10.25" style="384" customWidth="1"/>
    <col min="16130" max="16130" width="33.5" style="384" customWidth="1"/>
    <col min="16131" max="16131" width="10.5" style="384" customWidth="1"/>
    <col min="16132" max="16132" width="10.375" style="384" customWidth="1"/>
    <col min="16133" max="16133" width="2.5" style="384" bestFit="1" customWidth="1"/>
    <col min="16134" max="16137" width="10.25" style="384" customWidth="1"/>
    <col min="16138" max="16138" width="12" style="384" customWidth="1"/>
    <col min="16139" max="16139" width="10.25" style="384" customWidth="1"/>
    <col min="16140" max="16140" width="9" style="384" customWidth="1"/>
    <col min="16141" max="16141" width="9.75" style="384" customWidth="1"/>
    <col min="16142" max="16142" width="8.75" style="384" customWidth="1"/>
    <col min="16143" max="16143" width="6.5" style="384" customWidth="1"/>
    <col min="16144" max="16144" width="11" style="384"/>
    <col min="16145" max="16145" width="5.875" style="384" customWidth="1"/>
    <col min="16146" max="16147" width="11" style="384"/>
    <col min="16148" max="16148" width="10.875" style="384" customWidth="1"/>
    <col min="16149" max="16149" width="9" style="384" customWidth="1"/>
    <col min="16150" max="16150" width="4.875" style="384" customWidth="1"/>
    <col min="16151" max="16151" width="10.25" style="384" customWidth="1"/>
    <col min="16152" max="16156" width="10.875" style="384" customWidth="1"/>
    <col min="16157" max="16384" width="11" style="384"/>
  </cols>
  <sheetData>
    <row r="1" spans="1:81" customFormat="1" ht="18" customHeight="1">
      <c r="A1" s="1520" t="s">
        <v>57</v>
      </c>
      <c r="B1" s="1"/>
      <c r="C1" s="652"/>
      <c r="D1" s="652"/>
      <c r="E1" s="2393">
        <v>42369</v>
      </c>
      <c r="F1" s="2393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212"/>
      <c r="T1" s="212"/>
      <c r="U1" s="652"/>
      <c r="V1" s="652"/>
      <c r="W1" s="65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734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65" t="s">
        <v>66</v>
      </c>
      <c r="D3" s="65" t="s">
        <v>72</v>
      </c>
      <c r="E3" s="65"/>
      <c r="F3" s="65" t="s">
        <v>84</v>
      </c>
      <c r="G3" s="1650"/>
      <c r="H3" s="65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735</v>
      </c>
      <c r="C4" s="1651"/>
      <c r="D4" s="1651"/>
      <c r="E4" s="1651"/>
      <c r="F4" s="1650"/>
      <c r="G4" s="1650"/>
      <c r="H4" s="1650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201401183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736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>
        <v>1</v>
      </c>
      <c r="B15" s="152" t="s">
        <v>737</v>
      </c>
      <c r="C15" s="124">
        <f>D15*E15</f>
        <v>240000</v>
      </c>
      <c r="D15" s="131">
        <f>200000*1.2</f>
        <v>240000</v>
      </c>
      <c r="E15" s="132">
        <v>1</v>
      </c>
      <c r="F15" s="124">
        <f>D15*E15</f>
        <v>240000</v>
      </c>
      <c r="G15" s="103"/>
      <c r="H15" s="103"/>
      <c r="I15" s="103">
        <f>0.7*W15</f>
        <v>168000</v>
      </c>
      <c r="J15" s="103"/>
      <c r="K15" s="103"/>
      <c r="L15" s="103">
        <f>I15-J15+K15</f>
        <v>168000</v>
      </c>
      <c r="M15" s="103"/>
      <c r="N15" s="103"/>
      <c r="O15" s="105"/>
      <c r="P15" s="103"/>
      <c r="Q15" s="105"/>
      <c r="R15" s="105"/>
      <c r="S15" s="123"/>
      <c r="T15" s="106"/>
      <c r="U15" s="131">
        <f>200000*1.2</f>
        <v>240000</v>
      </c>
      <c r="V15" s="132">
        <v>1</v>
      </c>
      <c r="W15" s="124">
        <f>U15*V15</f>
        <v>240000</v>
      </c>
      <c r="X15" s="103"/>
      <c r="Y15" s="103"/>
      <c r="Z15" s="103"/>
      <c r="AA15" s="105"/>
      <c r="AB15" s="106"/>
    </row>
    <row r="16" spans="1:81">
      <c r="A16" s="1530">
        <v>3</v>
      </c>
      <c r="B16" s="152" t="s">
        <v>738</v>
      </c>
      <c r="C16" s="124">
        <f>D16*E16</f>
        <v>300000</v>
      </c>
      <c r="D16" s="131">
        <f>250000*1.2</f>
        <v>300000</v>
      </c>
      <c r="E16" s="132">
        <v>1</v>
      </c>
      <c r="F16" s="124">
        <f>D16*E16</f>
        <v>300000</v>
      </c>
      <c r="G16" s="2360"/>
      <c r="H16" s="2360" t="s">
        <v>104</v>
      </c>
      <c r="I16" s="103">
        <f>0.7*W16</f>
        <v>210000</v>
      </c>
      <c r="J16" s="139"/>
      <c r="K16" s="133"/>
      <c r="L16" s="139"/>
      <c r="M16" s="139"/>
      <c r="N16" s="2361">
        <v>14400</v>
      </c>
      <c r="O16" s="139"/>
      <c r="P16" s="139"/>
      <c r="Q16" s="149"/>
      <c r="R16" s="134"/>
      <c r="S16" s="139"/>
      <c r="T16" s="139"/>
      <c r="U16" s="131">
        <f>250000*1.2</f>
        <v>300000</v>
      </c>
      <c r="V16" s="132">
        <v>1</v>
      </c>
      <c r="W16" s="124">
        <f>U16*V16</f>
        <v>300000</v>
      </c>
      <c r="X16" s="139"/>
      <c r="Y16" s="133"/>
      <c r="Z16" s="139"/>
      <c r="AA16" s="134"/>
      <c r="AB16" s="139"/>
    </row>
    <row r="17" spans="1:28">
      <c r="A17" s="1530">
        <v>4</v>
      </c>
      <c r="B17" s="152" t="s">
        <v>739</v>
      </c>
      <c r="C17" s="124">
        <f>D17*E17</f>
        <v>120000</v>
      </c>
      <c r="D17" s="131">
        <f>100000*1.2</f>
        <v>120000</v>
      </c>
      <c r="E17" s="132">
        <v>1</v>
      </c>
      <c r="F17" s="124">
        <f>D17*E17</f>
        <v>120000</v>
      </c>
      <c r="G17" s="139"/>
      <c r="H17" s="139"/>
      <c r="I17" s="103">
        <f>0.7*W17</f>
        <v>84000</v>
      </c>
      <c r="J17" s="139"/>
      <c r="K17" s="133"/>
      <c r="L17" s="139"/>
      <c r="M17" s="139"/>
      <c r="N17" s="133"/>
      <c r="O17" s="139"/>
      <c r="P17" s="139"/>
      <c r="Q17" s="149"/>
      <c r="R17" s="139"/>
      <c r="S17" s="139"/>
      <c r="T17" s="139"/>
      <c r="U17" s="131">
        <f>100000*1.2</f>
        <v>120000</v>
      </c>
      <c r="V17" s="132">
        <v>1</v>
      </c>
      <c r="W17" s="124">
        <f>U17*V17</f>
        <v>120000</v>
      </c>
      <c r="X17" s="139"/>
      <c r="Y17" s="133"/>
      <c r="Z17" s="139"/>
      <c r="AA17" s="139"/>
      <c r="AB17" s="139"/>
    </row>
    <row r="18" spans="1:28">
      <c r="A18" s="1530"/>
      <c r="B18" s="181"/>
      <c r="C18" s="124"/>
      <c r="D18" s="131"/>
      <c r="E18" s="132"/>
      <c r="F18" s="124"/>
      <c r="G18" s="139"/>
      <c r="H18" s="139"/>
      <c r="I18" s="139"/>
      <c r="J18" s="139"/>
      <c r="K18" s="133"/>
      <c r="L18" s="139"/>
      <c r="M18" s="139"/>
      <c r="N18" s="133"/>
      <c r="O18" s="139"/>
      <c r="P18" s="139"/>
      <c r="Q18" s="149"/>
      <c r="R18" s="139"/>
      <c r="S18" s="139"/>
      <c r="T18" s="139"/>
      <c r="X18" s="139"/>
      <c r="Y18" s="133"/>
      <c r="Z18" s="139"/>
      <c r="AA18" s="139"/>
      <c r="AB18" s="139"/>
    </row>
    <row r="19" spans="1:28">
      <c r="A19" s="1530"/>
      <c r="B19" s="152"/>
      <c r="C19" s="124"/>
      <c r="D19" s="131"/>
      <c r="E19" s="132"/>
      <c r="F19" s="124"/>
      <c r="G19" s="139"/>
      <c r="H19" s="139"/>
      <c r="I19" s="139"/>
      <c r="J19" s="139"/>
      <c r="K19" s="133"/>
      <c r="L19" s="139"/>
      <c r="M19" s="139"/>
      <c r="N19" s="133"/>
      <c r="O19" s="139"/>
      <c r="P19" s="153"/>
      <c r="Q19" s="149"/>
      <c r="R19" s="153"/>
      <c r="S19" s="139"/>
      <c r="T19" s="139"/>
      <c r="U19" s="131"/>
      <c r="V19" s="1531"/>
      <c r="W19" s="124"/>
      <c r="X19" s="139"/>
      <c r="Y19" s="133"/>
      <c r="Z19" s="153"/>
      <c r="AA19" s="153"/>
      <c r="AB19" s="139"/>
    </row>
    <row r="20" spans="1:28">
      <c r="A20" s="1532"/>
      <c r="B20" s="152"/>
      <c r="C20" s="124"/>
      <c r="D20" s="131"/>
      <c r="E20" s="132"/>
      <c r="F20" s="124"/>
      <c r="G20" s="139"/>
      <c r="H20" s="139"/>
      <c r="I20" s="139"/>
      <c r="J20" s="139"/>
      <c r="K20" s="133"/>
      <c r="L20" s="139"/>
      <c r="M20" s="139"/>
      <c r="N20" s="133"/>
      <c r="O20" s="139"/>
      <c r="P20" s="153"/>
      <c r="Q20" s="149"/>
      <c r="R20" s="153"/>
      <c r="S20" s="139"/>
      <c r="T20" s="139"/>
      <c r="U20" s="131"/>
      <c r="V20" s="1531"/>
      <c r="W20" s="124"/>
      <c r="X20" s="139"/>
      <c r="Y20" s="133"/>
      <c r="Z20" s="153"/>
      <c r="AA20" s="153"/>
      <c r="AB20" s="139"/>
    </row>
    <row r="21" spans="1:28">
      <c r="A21" s="1532"/>
      <c r="B21" s="181"/>
      <c r="C21" s="124"/>
      <c r="D21" s="131"/>
      <c r="E21" s="132"/>
      <c r="F21" s="124"/>
      <c r="G21" s="139"/>
      <c r="H21" s="139"/>
      <c r="I21" s="139"/>
      <c r="J21" s="139"/>
      <c r="K21" s="133"/>
      <c r="L21" s="139"/>
      <c r="M21" s="139"/>
      <c r="N21" s="133"/>
      <c r="O21" s="139"/>
      <c r="P21" s="153"/>
      <c r="Q21" s="149"/>
      <c r="R21" s="153"/>
      <c r="S21" s="139"/>
      <c r="T21" s="139"/>
      <c r="U21" s="131"/>
      <c r="V21" s="1531"/>
      <c r="W21" s="124"/>
      <c r="X21" s="139"/>
      <c r="Y21" s="133"/>
      <c r="Z21" s="153"/>
      <c r="AA21" s="153"/>
      <c r="AB21" s="139"/>
    </row>
    <row r="22" spans="1:28">
      <c r="A22" s="1530"/>
      <c r="B22" s="152"/>
      <c r="C22" s="124"/>
      <c r="D22" s="131"/>
      <c r="E22" s="132"/>
      <c r="F22" s="124"/>
      <c r="G22" s="139"/>
      <c r="H22" s="139"/>
      <c r="I22" s="139"/>
      <c r="J22" s="139"/>
      <c r="K22" s="133"/>
      <c r="L22" s="139"/>
      <c r="M22" s="139"/>
      <c r="N22" s="133"/>
      <c r="O22" s="139"/>
      <c r="P22" s="139"/>
      <c r="Q22" s="149"/>
      <c r="R22" s="139"/>
      <c r="S22" s="139"/>
      <c r="T22" s="139"/>
      <c r="U22" s="131"/>
      <c r="V22" s="132"/>
      <c r="W22" s="124"/>
      <c r="X22" s="139"/>
      <c r="Y22" s="133"/>
      <c r="Z22" s="139"/>
      <c r="AA22" s="139"/>
      <c r="AB22" s="139"/>
    </row>
    <row r="23" spans="1:28">
      <c r="A23" s="1530"/>
      <c r="B23" s="152"/>
      <c r="C23" s="124"/>
      <c r="D23" s="131"/>
      <c r="E23" s="132"/>
      <c r="F23" s="124"/>
      <c r="G23" s="139"/>
      <c r="H23" s="139"/>
      <c r="I23" s="139"/>
      <c r="J23" s="139"/>
      <c r="K23" s="133"/>
      <c r="L23" s="1533"/>
      <c r="M23" s="139"/>
      <c r="N23" s="133"/>
      <c r="O23" s="139"/>
      <c r="P23" s="153"/>
      <c r="Q23" s="149"/>
      <c r="R23" s="153"/>
      <c r="S23" s="139"/>
      <c r="T23" s="139"/>
      <c r="U23" s="131"/>
      <c r="V23" s="1531"/>
      <c r="W23" s="124"/>
      <c r="X23" s="1533"/>
      <c r="Y23" s="133"/>
      <c r="Z23" s="153"/>
      <c r="AA23" s="153"/>
      <c r="AB23" s="139"/>
    </row>
    <row r="24" spans="1:28">
      <c r="A24" s="1530"/>
      <c r="B24" s="142"/>
      <c r="C24" s="124"/>
      <c r="D24" s="131"/>
      <c r="E24" s="132"/>
      <c r="F24" s="124"/>
      <c r="G24" s="139"/>
      <c r="H24" s="139"/>
      <c r="I24" s="139"/>
      <c r="J24" s="139"/>
      <c r="K24" s="133"/>
      <c r="L24" s="139"/>
      <c r="M24" s="139"/>
      <c r="N24" s="133"/>
      <c r="O24" s="139"/>
      <c r="P24" s="139"/>
      <c r="Q24" s="155"/>
      <c r="R24" s="139"/>
      <c r="S24" s="139"/>
      <c r="T24" s="139"/>
      <c r="U24" s="131"/>
      <c r="V24" s="132"/>
      <c r="W24" s="124"/>
      <c r="X24" s="139"/>
      <c r="Y24" s="133"/>
      <c r="Z24" s="139"/>
      <c r="AA24" s="139"/>
      <c r="AB24" s="139"/>
    </row>
    <row r="25" spans="1:28">
      <c r="A25" s="1534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39"/>
      <c r="M25" s="139"/>
      <c r="N25" s="133"/>
      <c r="O25" s="139"/>
      <c r="P25" s="153"/>
      <c r="Q25" s="156"/>
      <c r="R25" s="153"/>
      <c r="S25" s="139"/>
      <c r="T25" s="139"/>
      <c r="U25" s="131"/>
      <c r="V25" s="1531"/>
      <c r="W25" s="124"/>
      <c r="X25" s="139"/>
      <c r="Y25" s="133"/>
      <c r="Z25" s="153"/>
      <c r="AA25" s="153"/>
      <c r="AB25" s="139"/>
    </row>
    <row r="26" spans="1:28">
      <c r="A26" s="157"/>
      <c r="B26" s="152"/>
      <c r="C26" s="124"/>
      <c r="D26" s="131"/>
      <c r="E26" s="1531"/>
      <c r="F26" s="124"/>
      <c r="G26" s="139"/>
      <c r="H26" s="139"/>
      <c r="I26" s="139"/>
      <c r="J26" s="139"/>
      <c r="K26" s="133">
        <f>0.5*W26</f>
        <v>0</v>
      </c>
      <c r="L26" s="139"/>
      <c r="M26" s="139"/>
      <c r="N26" s="133"/>
      <c r="O26" s="139"/>
      <c r="P26" s="139"/>
      <c r="Q26" s="156"/>
      <c r="R26" s="139"/>
      <c r="S26" s="139"/>
      <c r="T26" s="139"/>
      <c r="U26" s="144"/>
      <c r="V26" s="1531"/>
      <c r="W26" s="124">
        <f t="shared" ref="W26:W31" si="0">U26*V26</f>
        <v>0</v>
      </c>
      <c r="X26" s="139"/>
      <c r="Y26" s="133"/>
      <c r="Z26" s="139"/>
      <c r="AA26" s="139"/>
      <c r="AB26" s="139">
        <v>0</v>
      </c>
    </row>
    <row r="27" spans="1:28">
      <c r="A27" s="146"/>
      <c r="B27" s="152"/>
      <c r="C27" s="124">
        <f>D27*E27</f>
        <v>0</v>
      </c>
      <c r="D27" s="131"/>
      <c r="E27" s="1531"/>
      <c r="F27" s="124">
        <f>D27*E27</f>
        <v>0</v>
      </c>
      <c r="G27" s="134"/>
      <c r="H27" s="134"/>
      <c r="I27" s="135"/>
      <c r="J27" s="134"/>
      <c r="K27" s="133">
        <f>0.5*W27</f>
        <v>0</v>
      </c>
      <c r="L27" s="139"/>
      <c r="M27" s="134"/>
      <c r="N27" s="133"/>
      <c r="O27" s="134"/>
      <c r="P27" s="153"/>
      <c r="Q27" s="156"/>
      <c r="R27" s="153"/>
      <c r="S27" s="139"/>
      <c r="T27" s="138"/>
      <c r="U27" s="144"/>
      <c r="V27" s="1531"/>
      <c r="W27" s="124">
        <f t="shared" si="0"/>
        <v>0</v>
      </c>
      <c r="X27" s="139"/>
      <c r="Y27" s="133"/>
      <c r="Z27" s="153"/>
      <c r="AA27" s="153"/>
      <c r="AB27" s="138"/>
    </row>
    <row r="28" spans="1:28">
      <c r="A28" s="157"/>
      <c r="B28" s="152"/>
      <c r="C28" s="124">
        <f>D28*E28</f>
        <v>0</v>
      </c>
      <c r="D28" s="131"/>
      <c r="E28" s="1531"/>
      <c r="F28" s="124">
        <f>D28*E28</f>
        <v>0</v>
      </c>
      <c r="G28" s="134"/>
      <c r="H28" s="134"/>
      <c r="I28" s="135"/>
      <c r="J28" s="134"/>
      <c r="K28" s="133">
        <f>0.5*W28</f>
        <v>0</v>
      </c>
      <c r="L28" s="139"/>
      <c r="M28" s="134"/>
      <c r="N28" s="133"/>
      <c r="O28" s="134"/>
      <c r="P28" s="134"/>
      <c r="Q28" s="156"/>
      <c r="R28" s="139"/>
      <c r="S28" s="139"/>
      <c r="T28" s="138"/>
      <c r="U28" s="144"/>
      <c r="V28" s="1531"/>
      <c r="W28" s="124">
        <f t="shared" si="0"/>
        <v>0</v>
      </c>
      <c r="X28" s="139"/>
      <c r="Y28" s="133"/>
      <c r="Z28" s="134"/>
      <c r="AA28" s="139"/>
      <c r="AB28" s="138"/>
    </row>
    <row r="29" spans="1:28" ht="9.9499999999999993" customHeight="1">
      <c r="A29" s="157"/>
      <c r="B29" s="152"/>
      <c r="C29" s="124">
        <f>D29*E29</f>
        <v>0</v>
      </c>
      <c r="D29" s="131"/>
      <c r="E29" s="1531"/>
      <c r="F29" s="124">
        <f>D29*E29</f>
        <v>0</v>
      </c>
      <c r="G29" s="134"/>
      <c r="H29" s="134"/>
      <c r="I29" s="135"/>
      <c r="J29" s="134"/>
      <c r="K29" s="133">
        <f>0.5*W29</f>
        <v>0</v>
      </c>
      <c r="L29" s="139"/>
      <c r="M29" s="134"/>
      <c r="N29" s="133"/>
      <c r="O29" s="134"/>
      <c r="P29" s="134"/>
      <c r="Q29" s="156"/>
      <c r="R29" s="139"/>
      <c r="S29" s="139"/>
      <c r="T29" s="138"/>
      <c r="U29" s="144"/>
      <c r="V29" s="1531"/>
      <c r="W29" s="124">
        <f t="shared" si="0"/>
        <v>0</v>
      </c>
      <c r="X29" s="139"/>
      <c r="Y29" s="133"/>
      <c r="Z29" s="134"/>
      <c r="AA29" s="139"/>
      <c r="AB29" s="138"/>
    </row>
    <row r="30" spans="1:28">
      <c r="A30" s="1530"/>
      <c r="B30" s="152"/>
      <c r="C30" s="124">
        <f>D30*E30</f>
        <v>0</v>
      </c>
      <c r="D30" s="131"/>
      <c r="E30" s="1531"/>
      <c r="F30" s="124">
        <f>D30*E30</f>
        <v>0</v>
      </c>
      <c r="G30" s="134"/>
      <c r="H30" s="134"/>
      <c r="I30" s="135"/>
      <c r="J30" s="134"/>
      <c r="K30" s="134"/>
      <c r="L30" s="139"/>
      <c r="M30" s="134"/>
      <c r="N30" s="134"/>
      <c r="O30" s="134"/>
      <c r="P30" s="134"/>
      <c r="Q30" s="156"/>
      <c r="R30" s="139"/>
      <c r="S30" s="139"/>
      <c r="T30" s="138"/>
      <c r="U30" s="144"/>
      <c r="V30" s="1531"/>
      <c r="W30" s="124">
        <f t="shared" si="0"/>
        <v>0</v>
      </c>
      <c r="X30" s="139"/>
      <c r="Y30" s="134"/>
      <c r="Z30" s="134"/>
      <c r="AA30" s="139"/>
      <c r="AB30" s="138"/>
    </row>
    <row r="31" spans="1:28">
      <c r="A31" s="157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4"/>
      <c r="L31" s="139"/>
      <c r="M31" s="134"/>
      <c r="N31" s="134"/>
      <c r="O31" s="134"/>
      <c r="P31" s="134"/>
      <c r="Q31" s="156"/>
      <c r="R31" s="139"/>
      <c r="S31" s="139"/>
      <c r="T31" s="138"/>
      <c r="U31" s="144"/>
      <c r="V31" s="1531"/>
      <c r="W31" s="124">
        <f t="shared" si="0"/>
        <v>0</v>
      </c>
      <c r="X31" s="139"/>
      <c r="Y31" s="134"/>
      <c r="Z31" s="134"/>
      <c r="AA31" s="139"/>
      <c r="AB31" s="138"/>
    </row>
    <row r="32" spans="1:28">
      <c r="A32" s="157"/>
      <c r="B32" s="152"/>
      <c r="C32" s="124"/>
      <c r="D32" s="131"/>
      <c r="E32" s="1531"/>
      <c r="F32" s="124"/>
      <c r="G32" s="134"/>
      <c r="H32" s="134"/>
      <c r="I32" s="135"/>
      <c r="J32" s="134"/>
      <c r="K32" s="134"/>
      <c r="L32" s="139"/>
      <c r="M32" s="134"/>
      <c r="N32" s="134"/>
      <c r="O32" s="134"/>
      <c r="P32" s="134"/>
      <c r="Q32" s="156"/>
      <c r="R32" s="139"/>
      <c r="S32" s="139"/>
      <c r="T32" s="138"/>
      <c r="U32" s="144"/>
      <c r="V32" s="1531"/>
      <c r="W32" s="124"/>
      <c r="X32" s="139"/>
      <c r="Y32" s="134"/>
      <c r="Z32" s="134"/>
      <c r="AA32" s="139"/>
      <c r="AB32" s="138"/>
    </row>
    <row r="33" spans="1:28">
      <c r="A33" s="157"/>
      <c r="B33" s="152"/>
      <c r="C33" s="124"/>
      <c r="D33" s="131"/>
      <c r="E33" s="1531"/>
      <c r="F33" s="124"/>
      <c r="G33" s="134"/>
      <c r="H33" s="134"/>
      <c r="I33" s="135"/>
      <c r="J33" s="134"/>
      <c r="K33" s="134"/>
      <c r="L33" s="139"/>
      <c r="M33" s="134"/>
      <c r="N33" s="134"/>
      <c r="O33" s="134"/>
      <c r="P33" s="134"/>
      <c r="Q33" s="156"/>
      <c r="R33" s="139"/>
      <c r="S33" s="139"/>
      <c r="T33" s="138"/>
      <c r="U33" s="144"/>
      <c r="V33" s="1531"/>
      <c r="W33" s="124"/>
      <c r="X33" s="139"/>
      <c r="Y33" s="134"/>
      <c r="Z33" s="134"/>
      <c r="AA33" s="139"/>
      <c r="AB33" s="138"/>
    </row>
    <row r="34" spans="1:28">
      <c r="A34" s="157"/>
      <c r="B34" s="152"/>
      <c r="C34" s="124"/>
      <c r="D34" s="131"/>
      <c r="E34" s="1531"/>
      <c r="F34" s="124"/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/>
      <c r="X34" s="139"/>
      <c r="Y34" s="134"/>
      <c r="Z34" s="134"/>
      <c r="AA34" s="139"/>
      <c r="AB34" s="138"/>
    </row>
    <row r="35" spans="1:28">
      <c r="A35" s="157"/>
      <c r="B35" s="152"/>
      <c r="C35" s="124"/>
      <c r="D35" s="131"/>
      <c r="E35" s="1531"/>
      <c r="F35" s="124"/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/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>
        <f>D45*E45</f>
        <v>0</v>
      </c>
      <c r="D45" s="131"/>
      <c r="E45" s="1531"/>
      <c r="F45" s="124">
        <f>D45*E45</f>
        <v>0</v>
      </c>
      <c r="G45" s="134"/>
      <c r="H45" s="134"/>
      <c r="I45" s="135"/>
      <c r="J45" s="134"/>
      <c r="K45" s="134"/>
      <c r="L45" s="139"/>
      <c r="M45" s="134"/>
      <c r="N45" s="134"/>
      <c r="O45" s="134"/>
      <c r="P45" s="139"/>
      <c r="Q45" s="134"/>
      <c r="R45" s="139"/>
      <c r="S45" s="139"/>
      <c r="T45" s="138"/>
      <c r="U45" s="144"/>
      <c r="V45" s="1531"/>
      <c r="W45" s="124">
        <f t="shared" ref="W45:W54" si="1">U45*V45</f>
        <v>0</v>
      </c>
      <c r="X45" s="139"/>
      <c r="Y45" s="134"/>
      <c r="Z45" s="139"/>
      <c r="AA45" s="139"/>
      <c r="AB45" s="138"/>
    </row>
    <row r="46" spans="1:28">
      <c r="A46" s="157"/>
      <c r="B46" s="152"/>
      <c r="C46" s="124">
        <f>D46*E46</f>
        <v>0</v>
      </c>
      <c r="D46" s="131"/>
      <c r="E46" s="1531"/>
      <c r="F46" s="124">
        <f>D46*E46</f>
        <v>0</v>
      </c>
      <c r="G46" s="134"/>
      <c r="H46" s="134"/>
      <c r="I46" s="135"/>
      <c r="J46" s="134"/>
      <c r="K46" s="134"/>
      <c r="L46" s="139"/>
      <c r="M46" s="134"/>
      <c r="N46" s="134"/>
      <c r="O46" s="134"/>
      <c r="P46" s="139"/>
      <c r="Q46" s="134"/>
      <c r="R46" s="139"/>
      <c r="S46" s="139"/>
      <c r="T46" s="138"/>
      <c r="U46" s="144"/>
      <c r="V46" s="1531"/>
      <c r="W46" s="124">
        <f t="shared" si="1"/>
        <v>0</v>
      </c>
      <c r="X46" s="139"/>
      <c r="Y46" s="134"/>
      <c r="Z46" s="139"/>
      <c r="AA46" s="139"/>
      <c r="AB46" s="138"/>
    </row>
    <row r="47" spans="1:28">
      <c r="A47" s="157"/>
      <c r="B47" s="152"/>
      <c r="C47" s="124">
        <f>D47*E47</f>
        <v>0</v>
      </c>
      <c r="D47" s="131"/>
      <c r="E47" s="1531"/>
      <c r="F47" s="124">
        <f>D47*E47</f>
        <v>0</v>
      </c>
      <c r="G47" s="134"/>
      <c r="H47" s="134"/>
      <c r="I47" s="135"/>
      <c r="J47" s="134"/>
      <c r="K47" s="134"/>
      <c r="L47" s="139"/>
      <c r="M47" s="134"/>
      <c r="N47" s="134"/>
      <c r="O47" s="134"/>
      <c r="P47" s="139"/>
      <c r="Q47" s="134"/>
      <c r="R47" s="139"/>
      <c r="S47" s="139"/>
      <c r="T47" s="138"/>
      <c r="U47" s="144"/>
      <c r="V47" s="1531"/>
      <c r="W47" s="124">
        <f t="shared" si="1"/>
        <v>0</v>
      </c>
      <c r="X47" s="139"/>
      <c r="Y47" s="134"/>
      <c r="Z47" s="139"/>
      <c r="AA47" s="139"/>
      <c r="AB47" s="138"/>
    </row>
    <row r="48" spans="1:28">
      <c r="A48" s="157"/>
      <c r="B48" s="152"/>
      <c r="C48" s="124"/>
      <c r="D48" s="131"/>
      <c r="E48" s="157"/>
      <c r="F48" s="124"/>
      <c r="G48" s="134"/>
      <c r="H48" s="134"/>
      <c r="I48" s="135"/>
      <c r="J48" s="134"/>
      <c r="K48" s="134"/>
      <c r="L48" s="139"/>
      <c r="M48" s="134"/>
      <c r="N48" s="134"/>
      <c r="O48" s="134"/>
      <c r="P48" s="139"/>
      <c r="Q48" s="134"/>
      <c r="R48" s="139"/>
      <c r="S48" s="139"/>
      <c r="T48" s="138"/>
      <c r="U48" s="144"/>
      <c r="V48" s="157"/>
      <c r="W48" s="124">
        <f t="shared" si="1"/>
        <v>0</v>
      </c>
      <c r="X48" s="139"/>
      <c r="Y48" s="134"/>
      <c r="Z48" s="139"/>
      <c r="AA48" s="139"/>
      <c r="AB48" s="138"/>
    </row>
    <row r="49" spans="1:28">
      <c r="A49" s="1530"/>
      <c r="B49" s="152"/>
      <c r="C49" s="124">
        <f t="shared" ref="C49:C54" si="2">D49*E49</f>
        <v>0</v>
      </c>
      <c r="D49" s="131"/>
      <c r="E49" s="157"/>
      <c r="F49" s="124">
        <f t="shared" ref="F49:F54" si="3">D49*E49</f>
        <v>0</v>
      </c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7"/>
      <c r="W49" s="124">
        <f t="shared" si="1"/>
        <v>0</v>
      </c>
      <c r="X49" s="139"/>
      <c r="Y49" s="134"/>
      <c r="Z49" s="139"/>
      <c r="AA49" s="139"/>
      <c r="AB49" s="138"/>
    </row>
    <row r="50" spans="1:28">
      <c r="A50" s="157"/>
      <c r="B50" s="152"/>
      <c r="C50" s="124">
        <f t="shared" si="2"/>
        <v>0</v>
      </c>
      <c r="D50" s="131"/>
      <c r="E50" s="146"/>
      <c r="F50" s="124">
        <f t="shared" si="3"/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46"/>
      <c r="W50" s="124">
        <f t="shared" si="1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 t="shared" si="2"/>
        <v>0</v>
      </c>
      <c r="D51" s="131"/>
      <c r="E51" s="157"/>
      <c r="F51" s="124">
        <f t="shared" si="3"/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57"/>
      <c r="W51" s="124">
        <f t="shared" si="1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>
        <f t="shared" si="2"/>
        <v>0</v>
      </c>
      <c r="D52" s="131"/>
      <c r="E52" s="146"/>
      <c r="F52" s="124">
        <f t="shared" si="3"/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46"/>
      <c r="W52" s="124">
        <f t="shared" si="1"/>
        <v>0</v>
      </c>
      <c r="X52" s="139"/>
      <c r="Y52" s="134"/>
      <c r="Z52" s="139"/>
      <c r="AA52" s="139"/>
      <c r="AB52" s="138"/>
    </row>
    <row r="53" spans="1:28">
      <c r="A53" s="157"/>
      <c r="B53" s="152"/>
      <c r="C53" s="124">
        <f t="shared" si="2"/>
        <v>0</v>
      </c>
      <c r="D53" s="131"/>
      <c r="E53" s="157"/>
      <c r="F53" s="124">
        <f t="shared" si="3"/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57"/>
      <c r="W53" s="124">
        <f t="shared" si="1"/>
        <v>0</v>
      </c>
      <c r="X53" s="139"/>
      <c r="Y53" s="134"/>
      <c r="Z53" s="139"/>
      <c r="AA53" s="139"/>
      <c r="AB53" s="138"/>
    </row>
    <row r="54" spans="1:28">
      <c r="A54" s="157"/>
      <c r="B54" s="158"/>
      <c r="C54" s="124">
        <f t="shared" si="2"/>
        <v>0</v>
      </c>
      <c r="D54" s="131"/>
      <c r="E54" s="132"/>
      <c r="F54" s="124">
        <f t="shared" si="3"/>
        <v>0</v>
      </c>
      <c r="G54" s="134"/>
      <c r="H54" s="134"/>
      <c r="I54" s="134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32"/>
      <c r="W54" s="124">
        <f t="shared" si="1"/>
        <v>0</v>
      </c>
      <c r="X54" s="139"/>
      <c r="Y54" s="134"/>
      <c r="Z54" s="139"/>
      <c r="AA54" s="139"/>
      <c r="AB54" s="138"/>
    </row>
    <row r="55" spans="1:28">
      <c r="A55" s="159"/>
      <c r="B55" s="160" t="s">
        <v>17</v>
      </c>
      <c r="C55" s="1535">
        <f>SUM(C15:C54)</f>
        <v>660000</v>
      </c>
      <c r="D55" s="1536"/>
      <c r="E55" s="1536"/>
      <c r="F55" s="1536">
        <f>SUM(F15:F54)</f>
        <v>660000</v>
      </c>
      <c r="G55" s="1536">
        <f t="shared" ref="G55:N55" si="4">SUM(G16:G54)</f>
        <v>0</v>
      </c>
      <c r="H55" s="1536">
        <f t="shared" si="4"/>
        <v>0</v>
      </c>
      <c r="I55" s="1536">
        <f t="shared" si="4"/>
        <v>294000</v>
      </c>
      <c r="J55" s="1536">
        <f t="shared" si="4"/>
        <v>0</v>
      </c>
      <c r="K55" s="1536">
        <f t="shared" si="4"/>
        <v>0</v>
      </c>
      <c r="L55" s="1536">
        <f>SUM(L15:L54)</f>
        <v>168000</v>
      </c>
      <c r="M55" s="1536">
        <f t="shared" si="4"/>
        <v>0</v>
      </c>
      <c r="N55" s="1536">
        <f t="shared" si="4"/>
        <v>14400</v>
      </c>
      <c r="O55" s="1536">
        <f>SUM(O14:O54)</f>
        <v>0</v>
      </c>
      <c r="P55" s="1536">
        <f>SUM(P14:P54)</f>
        <v>0</v>
      </c>
      <c r="Q55" s="1536">
        <f>SUM(Q14:Q54)</f>
        <v>0</v>
      </c>
      <c r="R55" s="1536">
        <f>SUM(R14:R54)</f>
        <v>0</v>
      </c>
      <c r="S55" s="1536">
        <f>SUM(S16:S54)</f>
        <v>0</v>
      </c>
      <c r="T55" s="1537">
        <f>W55-L55</f>
        <v>492000</v>
      </c>
      <c r="U55" s="1536"/>
      <c r="V55" s="1536"/>
      <c r="W55" s="1536">
        <f>SUM(W14:W54)</f>
        <v>660000</v>
      </c>
      <c r="X55" s="1536">
        <f>SUM(X16:X54)</f>
        <v>0</v>
      </c>
      <c r="Y55" s="1536">
        <f>SUM(Y16:Y54)</f>
        <v>0</v>
      </c>
      <c r="Z55" s="1536">
        <f>SUM(Z16:Z54)</f>
        <v>0</v>
      </c>
      <c r="AA55" s="1536">
        <v>0</v>
      </c>
      <c r="AB55" s="1536">
        <f>SUM(AB16:AB54)</f>
        <v>0</v>
      </c>
    </row>
    <row r="56" spans="1:28">
      <c r="A56" s="161"/>
      <c r="B56" s="162"/>
      <c r="F56" s="163"/>
      <c r="G56" s="163"/>
      <c r="H56" s="163"/>
      <c r="I56" s="163"/>
      <c r="J56" s="163"/>
      <c r="K56" s="163"/>
      <c r="L56" s="163"/>
      <c r="M56" s="163"/>
      <c r="N56" s="163"/>
      <c r="P56" s="163"/>
      <c r="Q56" s="67"/>
      <c r="R56" s="67"/>
      <c r="W56" s="163"/>
    </row>
    <row r="57" spans="1:28">
      <c r="A57" s="164"/>
      <c r="B57" s="162"/>
      <c r="F57" s="163"/>
      <c r="G57" s="163"/>
      <c r="H57" s="163"/>
      <c r="I57" s="163"/>
      <c r="J57" s="163"/>
      <c r="K57" s="163"/>
      <c r="L57" s="163"/>
      <c r="M57" s="163"/>
      <c r="N57" s="163"/>
      <c r="P57" s="163"/>
      <c r="Q57" s="67"/>
      <c r="R57" s="67"/>
      <c r="W57" s="163"/>
    </row>
    <row r="58" spans="1:28">
      <c r="F58" s="163"/>
      <c r="R58" s="67"/>
      <c r="W58" s="163"/>
    </row>
    <row r="59" spans="1:28">
      <c r="F59" s="163"/>
      <c r="R59" s="67"/>
      <c r="W59" s="163"/>
    </row>
    <row r="60" spans="1:28">
      <c r="R60" s="67"/>
    </row>
    <row r="61" spans="1:28">
      <c r="A61" s="67" t="s">
        <v>59</v>
      </c>
      <c r="F61" s="163"/>
      <c r="W61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67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CE71"/>
  <sheetViews>
    <sheetView showGridLines="0" workbookViewId="0">
      <selection activeCell="D24" sqref="D24"/>
    </sheetView>
  </sheetViews>
  <sheetFormatPr baseColWidth="10" defaultRowHeight="12"/>
  <cols>
    <col min="1" max="1" width="10.25" customWidth="1"/>
    <col min="2" max="2" width="35.375" customWidth="1"/>
    <col min="3" max="3" width="10.125" style="792" customWidth="1"/>
    <col min="4" max="4" width="10.375" style="792" customWidth="1"/>
    <col min="5" max="5" width="4.875" style="792" customWidth="1"/>
    <col min="6" max="9" width="10.25" style="792" customWidth="1"/>
    <col min="10" max="10" width="12" style="792" customWidth="1"/>
    <col min="11" max="11" width="10.25" style="792" customWidth="1"/>
    <col min="12" max="12" width="9" style="792" customWidth="1"/>
    <col min="13" max="13" width="9.75" style="792" customWidth="1"/>
    <col min="14" max="14" width="8.75" style="792" customWidth="1"/>
    <col min="15" max="15" width="6.5" style="792" customWidth="1"/>
    <col min="16" max="16" width="11" style="792"/>
    <col min="17" max="17" width="5.875" style="792" customWidth="1"/>
    <col min="18" max="18" width="11" style="792" customWidth="1"/>
    <col min="19" max="20" width="11" style="792"/>
    <col min="21" max="21" width="9" style="792" customWidth="1"/>
    <col min="22" max="22" width="4.875" style="792" customWidth="1"/>
    <col min="23" max="23" width="10.25" style="792" customWidth="1"/>
    <col min="24" max="28" width="10.875" style="792" customWidth="1"/>
    <col min="29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9" t="s">
        <v>716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247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201401079</v>
      </c>
      <c r="C5" s="216"/>
      <c r="D5" s="216"/>
      <c r="E5" s="216"/>
      <c r="F5" s="217"/>
      <c r="G5" s="217"/>
      <c r="H5" s="1722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14"/>
      <c r="C6" s="216"/>
      <c r="D6" s="216"/>
      <c r="E6" s="216"/>
      <c r="F6" s="78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804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2288"/>
      <c r="AD8" s="2288"/>
      <c r="AE8" s="2289"/>
      <c r="AF8" s="2289"/>
      <c r="AG8" s="2289"/>
      <c r="AH8" s="2289"/>
    </row>
    <row r="9" spans="1:83" s="804" customFormat="1" ht="8.25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2288"/>
      <c r="AD9" s="2288"/>
      <c r="AE9" s="2289"/>
      <c r="AF9" s="2289"/>
      <c r="AG9" s="2289"/>
      <c r="AH9" s="2289"/>
    </row>
    <row r="10" spans="1:83" s="804" customFormat="1" ht="8.25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2288"/>
      <c r="AD10" s="2288"/>
      <c r="AE10" s="2289"/>
      <c r="AF10" s="2289"/>
      <c r="AG10" s="2289"/>
      <c r="AH10" s="2289"/>
    </row>
    <row r="11" spans="1:83" s="804" customFormat="1" ht="8.25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2288"/>
      <c r="AD11" s="2288"/>
      <c r="AE11" s="2289"/>
      <c r="AF11" s="2289"/>
      <c r="AG11" s="2289"/>
      <c r="AH11" s="2289"/>
    </row>
    <row r="12" spans="1:83" s="804" customFormat="1" ht="8.25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2288"/>
      <c r="AD12" s="2288"/>
      <c r="AE12" s="2289"/>
      <c r="AF12" s="2289"/>
      <c r="AG12" s="2289"/>
      <c r="AH12" s="2289"/>
    </row>
    <row r="13" spans="1:83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571"/>
      <c r="B14" s="572"/>
      <c r="C14" s="1741"/>
      <c r="D14" s="1741"/>
      <c r="E14" s="1741"/>
      <c r="F14" s="1741"/>
      <c r="G14" s="1728"/>
      <c r="H14" s="1728"/>
      <c r="I14" s="1741"/>
      <c r="J14" s="1741"/>
      <c r="K14" s="1741"/>
      <c r="L14" s="1741"/>
      <c r="M14" s="1741"/>
      <c r="N14" s="1741"/>
      <c r="O14" s="1741"/>
      <c r="P14" s="1741"/>
      <c r="Q14" s="1741"/>
      <c r="R14" s="1741"/>
      <c r="S14" s="1741"/>
      <c r="T14" s="1741"/>
      <c r="U14" s="1741"/>
      <c r="V14" s="1741"/>
      <c r="W14" s="1741"/>
      <c r="X14" s="1741"/>
      <c r="Y14" s="1741"/>
      <c r="Z14" s="1741"/>
      <c r="AA14" s="1741"/>
      <c r="AB14" s="573"/>
      <c r="AC14" s="788"/>
      <c r="AD14" s="788"/>
      <c r="AE14" s="787"/>
      <c r="AF14" s="787"/>
      <c r="AG14" s="787"/>
      <c r="AH14" s="787"/>
    </row>
    <row r="15" spans="1:83" s="812" customFormat="1" ht="11.25">
      <c r="A15" s="810">
        <v>1</v>
      </c>
      <c r="B15" s="811" t="s">
        <v>372</v>
      </c>
      <c r="C15" s="1751"/>
      <c r="D15" s="502">
        <f>642000*1.2</f>
        <v>770400</v>
      </c>
      <c r="E15" s="511">
        <v>1</v>
      </c>
      <c r="F15" s="500">
        <f>D15*E15</f>
        <v>770400</v>
      </c>
      <c r="G15" s="500">
        <f>20040</f>
        <v>20040</v>
      </c>
      <c r="H15" s="500" t="s">
        <v>373</v>
      </c>
      <c r="I15" s="500">
        <f>W15</f>
        <v>770400</v>
      </c>
      <c r="J15" s="500">
        <f>0.3*I15</f>
        <v>231120</v>
      </c>
      <c r="K15" s="500"/>
      <c r="L15" s="500">
        <f>I15-J15+K15</f>
        <v>539280</v>
      </c>
      <c r="M15" s="500"/>
      <c r="N15" s="500">
        <f>G15</f>
        <v>20040</v>
      </c>
      <c r="O15" s="511"/>
      <c r="P15" s="500"/>
      <c r="Q15" s="502"/>
      <c r="R15" s="502"/>
      <c r="S15" s="502"/>
      <c r="T15" s="500">
        <f>F15-L15</f>
        <v>231120</v>
      </c>
      <c r="U15" s="502">
        <f>F15</f>
        <v>770400</v>
      </c>
      <c r="V15" s="511">
        <v>1</v>
      </c>
      <c r="W15" s="500">
        <f>U15*V15</f>
        <v>770400</v>
      </c>
      <c r="X15" s="500">
        <v>20040</v>
      </c>
      <c r="Y15" s="500">
        <v>20040</v>
      </c>
      <c r="Z15" s="500"/>
      <c r="AA15" s="502"/>
      <c r="AB15" s="500">
        <f>W15</f>
        <v>770400</v>
      </c>
      <c r="AC15" s="1768"/>
      <c r="AD15" s="1768"/>
      <c r="AE15" s="2277"/>
      <c r="AF15" s="2277"/>
      <c r="AG15" s="2277"/>
      <c r="AH15" s="2277"/>
    </row>
    <row r="16" spans="1:83" s="812" customFormat="1" ht="11.25">
      <c r="A16" s="813"/>
      <c r="B16" s="814"/>
      <c r="C16" s="1751"/>
      <c r="D16" s="2290"/>
      <c r="E16" s="511"/>
      <c r="F16" s="500"/>
      <c r="G16" s="2290"/>
      <c r="H16" s="2290"/>
      <c r="I16" s="500"/>
      <c r="J16" s="500"/>
      <c r="K16" s="2290"/>
      <c r="L16" s="500"/>
      <c r="M16" s="500"/>
      <c r="N16" s="500"/>
      <c r="O16" s="500"/>
      <c r="P16" s="500"/>
      <c r="Q16" s="500"/>
      <c r="R16" s="500"/>
      <c r="S16" s="500"/>
      <c r="T16" s="500"/>
      <c r="U16" s="500"/>
      <c r="V16" s="500"/>
      <c r="W16" s="500"/>
      <c r="X16" s="500"/>
      <c r="Y16" s="500"/>
      <c r="Z16" s="500"/>
      <c r="AA16" s="500"/>
      <c r="AB16" s="500"/>
      <c r="AC16" s="1768"/>
      <c r="AD16" s="1768"/>
      <c r="AE16" s="2277"/>
      <c r="AF16" s="2277"/>
      <c r="AG16" s="2277"/>
      <c r="AH16" s="2277"/>
    </row>
    <row r="17" spans="1:34" s="812" customFormat="1" ht="11.25">
      <c r="A17" s="813">
        <v>2</v>
      </c>
      <c r="B17" s="817" t="s">
        <v>425</v>
      </c>
      <c r="C17" s="1773"/>
      <c r="D17" s="500"/>
      <c r="E17" s="511"/>
      <c r="F17" s="500"/>
      <c r="G17" s="2290"/>
      <c r="H17" s="2290"/>
      <c r="I17" s="500"/>
      <c r="J17" s="500"/>
      <c r="K17" s="2290"/>
      <c r="L17" s="500"/>
      <c r="M17" s="500"/>
      <c r="N17" s="500"/>
      <c r="O17" s="500"/>
      <c r="P17" s="500"/>
      <c r="Q17" s="500"/>
      <c r="R17" s="500"/>
      <c r="S17" s="500"/>
      <c r="T17" s="500"/>
      <c r="U17" s="500"/>
      <c r="V17" s="500"/>
      <c r="W17" s="500"/>
      <c r="X17" s="500"/>
      <c r="Y17" s="500"/>
      <c r="Z17" s="500"/>
      <c r="AA17" s="500"/>
      <c r="AB17" s="500"/>
      <c r="AC17" s="1768"/>
      <c r="AD17" s="1768"/>
      <c r="AE17" s="2277"/>
      <c r="AF17" s="2277"/>
      <c r="AG17" s="2277"/>
      <c r="AH17" s="2277"/>
    </row>
    <row r="18" spans="1:34" s="812" customFormat="1" ht="11.25">
      <c r="A18" s="815"/>
      <c r="B18" s="816" t="s">
        <v>123</v>
      </c>
      <c r="C18" s="1751"/>
      <c r="D18" s="502">
        <f>1.2*237500</f>
        <v>285000</v>
      </c>
      <c r="E18" s="511">
        <v>1</v>
      </c>
      <c r="F18" s="500">
        <f>D18*E18</f>
        <v>285000</v>
      </c>
      <c r="G18" s="2386">
        <v>171373.33</v>
      </c>
      <c r="H18" s="2386" t="s">
        <v>772</v>
      </c>
      <c r="I18" s="500">
        <f t="shared" ref="I18:I21" si="0">W18</f>
        <v>285000</v>
      </c>
      <c r="J18" s="500">
        <f t="shared" ref="J18" si="1">0.3*I18</f>
        <v>85500</v>
      </c>
      <c r="K18" s="797"/>
      <c r="L18" s="500">
        <f>I18-J18+K18</f>
        <v>199500</v>
      </c>
      <c r="M18" s="500"/>
      <c r="N18" s="500">
        <f>0.9*G18</f>
        <v>154235.997</v>
      </c>
      <c r="O18" s="500"/>
      <c r="P18" s="500"/>
      <c r="Q18" s="500"/>
      <c r="R18" s="500">
        <f>+P18</f>
        <v>0</v>
      </c>
      <c r="S18" s="500">
        <f>+P18-R18</f>
        <v>0</v>
      </c>
      <c r="T18" s="500">
        <f>F18-L18</f>
        <v>85500</v>
      </c>
      <c r="U18" s="502">
        <f>F18</f>
        <v>285000</v>
      </c>
      <c r="V18" s="511">
        <v>1</v>
      </c>
      <c r="W18" s="500">
        <f>U18*V18</f>
        <v>285000</v>
      </c>
      <c r="X18" s="500"/>
      <c r="Y18" s="500"/>
      <c r="Z18" s="500"/>
      <c r="AA18" s="500"/>
      <c r="AB18" s="500">
        <f>W18</f>
        <v>285000</v>
      </c>
      <c r="AC18" s="1768"/>
      <c r="AD18" s="1768"/>
      <c r="AE18" s="2277"/>
      <c r="AF18" s="2277"/>
      <c r="AG18" s="2277"/>
      <c r="AH18" s="2277"/>
    </row>
    <row r="19" spans="1:34" s="812" customFormat="1" ht="11.25">
      <c r="A19" s="813"/>
      <c r="B19" s="816"/>
      <c r="C19" s="1751"/>
      <c r="D19" s="797"/>
      <c r="E19" s="511"/>
      <c r="F19" s="500"/>
      <c r="G19" s="797"/>
      <c r="H19" s="797"/>
      <c r="I19" s="500"/>
      <c r="J19" s="500"/>
      <c r="K19" s="797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1768"/>
      <c r="AD19" s="1768"/>
      <c r="AE19" s="2277"/>
      <c r="AF19" s="2277"/>
      <c r="AG19" s="2277"/>
      <c r="AH19" s="2277"/>
    </row>
    <row r="20" spans="1:34" s="812" customFormat="1" ht="11.25">
      <c r="A20" s="813">
        <v>3</v>
      </c>
      <c r="B20" s="811" t="s">
        <v>376</v>
      </c>
      <c r="C20" s="2277"/>
      <c r="D20" s="2291"/>
      <c r="E20" s="2291"/>
      <c r="F20" s="2292"/>
      <c r="G20" s="797"/>
      <c r="H20" s="797"/>
      <c r="I20" s="500"/>
      <c r="J20" s="500"/>
      <c r="K20" s="797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1768"/>
      <c r="AD20" s="1768"/>
      <c r="AE20" s="2277"/>
      <c r="AF20" s="2277"/>
      <c r="AG20" s="2277"/>
      <c r="AH20" s="2277"/>
    </row>
    <row r="21" spans="1:34" s="812" customFormat="1" ht="11.25">
      <c r="A21" s="815"/>
      <c r="B21" s="816" t="s">
        <v>123</v>
      </c>
      <c r="C21" s="1751"/>
      <c r="D21" s="502">
        <f>1.2*367500</f>
        <v>441000</v>
      </c>
      <c r="E21" s="511">
        <v>1</v>
      </c>
      <c r="F21" s="500">
        <f>D21*E21</f>
        <v>441000</v>
      </c>
      <c r="G21" s="797"/>
      <c r="H21" s="797"/>
      <c r="I21" s="500">
        <f t="shared" si="0"/>
        <v>441000</v>
      </c>
      <c r="J21" s="500">
        <f>0.25*I21</f>
        <v>110250</v>
      </c>
      <c r="K21" s="797"/>
      <c r="L21" s="500">
        <f>I21-J21+K21</f>
        <v>330750</v>
      </c>
      <c r="M21" s="500"/>
      <c r="N21" s="500"/>
      <c r="O21" s="500"/>
      <c r="P21" s="500"/>
      <c r="Q21" s="500"/>
      <c r="R21" s="500"/>
      <c r="S21" s="500">
        <f>+P21-R21</f>
        <v>0</v>
      </c>
      <c r="T21" s="500">
        <f>F21-L21</f>
        <v>110250</v>
      </c>
      <c r="U21" s="502">
        <f>F21</f>
        <v>441000</v>
      </c>
      <c r="V21" s="511">
        <v>1</v>
      </c>
      <c r="W21" s="500">
        <f>U21*V21</f>
        <v>441000</v>
      </c>
      <c r="X21" s="500"/>
      <c r="Y21" s="500"/>
      <c r="Z21" s="500"/>
      <c r="AA21" s="500"/>
      <c r="AB21" s="500">
        <f>W21</f>
        <v>441000</v>
      </c>
      <c r="AC21" s="1768"/>
      <c r="AD21" s="1768"/>
      <c r="AE21" s="2277"/>
      <c r="AF21" s="2277"/>
      <c r="AG21" s="2277"/>
      <c r="AH21" s="2277"/>
    </row>
    <row r="22" spans="1:34" s="812" customFormat="1" ht="11.25">
      <c r="A22" s="815"/>
      <c r="B22" s="811"/>
      <c r="C22" s="45"/>
      <c r="D22" s="797"/>
      <c r="E22" s="511"/>
      <c r="F22" s="500"/>
      <c r="G22" s="797"/>
      <c r="H22" s="797"/>
      <c r="I22" s="797"/>
      <c r="J22" s="797"/>
      <c r="K22" s="797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1768"/>
      <c r="AD22" s="1768"/>
      <c r="AE22" s="2277"/>
      <c r="AF22" s="2277"/>
      <c r="AG22" s="2277"/>
      <c r="AH22" s="2277"/>
    </row>
    <row r="23" spans="1:34" s="12" customFormat="1" ht="12.75">
      <c r="A23" s="28"/>
      <c r="B23" s="32"/>
      <c r="C23" s="2293"/>
      <c r="D23" s="2294"/>
      <c r="E23" s="2295"/>
      <c r="F23" s="2138"/>
      <c r="G23" s="797"/>
      <c r="H23" s="797"/>
      <c r="I23" s="797"/>
      <c r="J23" s="797"/>
      <c r="K23" s="797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788"/>
      <c r="AD23" s="788"/>
      <c r="AE23" s="787"/>
      <c r="AF23" s="787"/>
      <c r="AG23" s="787"/>
      <c r="AH23" s="787"/>
    </row>
    <row r="24" spans="1:34" s="12" customFormat="1" ht="12.75">
      <c r="A24" s="28"/>
      <c r="B24" s="32"/>
      <c r="C24" s="2293"/>
      <c r="D24" s="2294"/>
      <c r="E24" s="2295"/>
      <c r="F24" s="2138"/>
      <c r="G24" s="797"/>
      <c r="H24" s="797"/>
      <c r="I24" s="797"/>
      <c r="J24" s="797"/>
      <c r="K24" s="797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788"/>
      <c r="AD24" s="788"/>
      <c r="AE24" s="787"/>
      <c r="AF24" s="787"/>
      <c r="AG24" s="787"/>
      <c r="AH24" s="787"/>
    </row>
    <row r="25" spans="1:34" s="12" customFormat="1" ht="12.75">
      <c r="A25" s="28"/>
      <c r="B25" s="32"/>
      <c r="C25" s="2293"/>
      <c r="D25" s="2294"/>
      <c r="E25" s="2295"/>
      <c r="F25" s="2138"/>
      <c r="G25" s="797"/>
      <c r="H25" s="797"/>
      <c r="I25" s="797"/>
      <c r="J25" s="797"/>
      <c r="K25" s="797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788"/>
      <c r="AD25" s="788"/>
      <c r="AE25" s="787"/>
      <c r="AF25" s="787"/>
      <c r="AG25" s="787"/>
      <c r="AH25" s="787"/>
    </row>
    <row r="26" spans="1:34" s="12" customFormat="1" ht="12.75">
      <c r="A26" s="28"/>
      <c r="B26" s="32"/>
      <c r="C26" s="2293"/>
      <c r="D26" s="2294"/>
      <c r="E26" s="2295"/>
      <c r="F26" s="2138"/>
      <c r="G26" s="797"/>
      <c r="H26" s="797"/>
      <c r="I26" s="797"/>
      <c r="J26" s="797"/>
      <c r="K26" s="797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788"/>
      <c r="AD26" s="788"/>
      <c r="AE26" s="787"/>
      <c r="AF26" s="787"/>
      <c r="AG26" s="787"/>
      <c r="AH26" s="787"/>
    </row>
    <row r="27" spans="1:34" s="12" customFormat="1" ht="12.75">
      <c r="A27" s="28"/>
      <c r="B27" s="32"/>
      <c r="C27" s="2293"/>
      <c r="D27" s="2294"/>
      <c r="E27" s="2295"/>
      <c r="F27" s="2138"/>
      <c r="G27" s="797"/>
      <c r="H27" s="797"/>
      <c r="I27" s="797"/>
      <c r="J27" s="797"/>
      <c r="K27" s="797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788"/>
      <c r="AD27" s="788"/>
      <c r="AE27" s="787"/>
      <c r="AF27" s="787"/>
      <c r="AG27" s="787"/>
      <c r="AH27" s="787"/>
    </row>
    <row r="28" spans="1:34" s="12" customFormat="1" ht="12.75">
      <c r="A28" s="28"/>
      <c r="B28" s="32"/>
      <c r="C28" s="2293"/>
      <c r="D28" s="2294"/>
      <c r="E28" s="2295"/>
      <c r="F28" s="2138"/>
      <c r="G28" s="797"/>
      <c r="H28" s="797"/>
      <c r="I28" s="797"/>
      <c r="J28" s="797"/>
      <c r="K28" s="797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788"/>
      <c r="AD28" s="788"/>
      <c r="AE28" s="787"/>
      <c r="AF28" s="787"/>
      <c r="AG28" s="787"/>
      <c r="AH28" s="787"/>
    </row>
    <row r="29" spans="1:34" s="12" customFormat="1" ht="12.75">
      <c r="A29" s="28"/>
      <c r="B29" s="32"/>
      <c r="C29" s="2293"/>
      <c r="D29" s="2294"/>
      <c r="E29" s="2295"/>
      <c r="F29" s="2138"/>
      <c r="G29" s="797"/>
      <c r="H29" s="797"/>
      <c r="I29" s="797"/>
      <c r="J29" s="797"/>
      <c r="K29" s="797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788"/>
      <c r="AD29" s="788"/>
      <c r="AE29" s="787"/>
      <c r="AF29" s="787"/>
      <c r="AG29" s="787"/>
      <c r="AH29" s="787"/>
    </row>
    <row r="30" spans="1:34" s="12" customFormat="1" ht="12.75">
      <c r="A30" s="28"/>
      <c r="B30" s="32"/>
      <c r="C30" s="2293"/>
      <c r="D30" s="2294"/>
      <c r="E30" s="2295"/>
      <c r="F30" s="2138"/>
      <c r="G30" s="797"/>
      <c r="H30" s="797"/>
      <c r="I30" s="797"/>
      <c r="J30" s="797"/>
      <c r="K30" s="797"/>
      <c r="L30" s="500"/>
      <c r="M30" s="500"/>
      <c r="N30" s="500"/>
      <c r="O30" s="500"/>
      <c r="P30" s="500"/>
      <c r="Q30" s="500"/>
      <c r="R30" s="500"/>
      <c r="S30" s="500"/>
      <c r="T30" s="500"/>
      <c r="U30" s="500"/>
      <c r="V30" s="500"/>
      <c r="W30" s="500"/>
      <c r="X30" s="500"/>
      <c r="Y30" s="500"/>
      <c r="Z30" s="500"/>
      <c r="AA30" s="500"/>
      <c r="AB30" s="500"/>
      <c r="AC30" s="788"/>
      <c r="AD30" s="788"/>
      <c r="AE30" s="787"/>
      <c r="AF30" s="787"/>
      <c r="AG30" s="787"/>
      <c r="AH30" s="787"/>
    </row>
    <row r="31" spans="1:34" s="12" customFormat="1" ht="12.75">
      <c r="A31" s="28"/>
      <c r="B31" s="32"/>
      <c r="C31" s="2293"/>
      <c r="D31" s="2294"/>
      <c r="E31" s="2295"/>
      <c r="F31" s="2138"/>
      <c r="G31" s="797"/>
      <c r="H31" s="797"/>
      <c r="I31" s="797"/>
      <c r="J31" s="797"/>
      <c r="K31" s="797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0"/>
      <c r="X31" s="500"/>
      <c r="Y31" s="500"/>
      <c r="Z31" s="500"/>
      <c r="AA31" s="500"/>
      <c r="AB31" s="500"/>
      <c r="AC31" s="788"/>
      <c r="AD31" s="788"/>
      <c r="AE31" s="787"/>
      <c r="AF31" s="787"/>
      <c r="AG31" s="787"/>
      <c r="AH31" s="787"/>
    </row>
    <row r="32" spans="1:34" s="12" customFormat="1" ht="12.75">
      <c r="A32" s="28"/>
      <c r="B32" s="32"/>
      <c r="C32" s="2293"/>
      <c r="D32" s="2294"/>
      <c r="E32" s="2295"/>
      <c r="F32" s="2138"/>
      <c r="G32" s="797"/>
      <c r="H32" s="797"/>
      <c r="I32" s="797"/>
      <c r="J32" s="797"/>
      <c r="K32" s="797"/>
      <c r="L32" s="500"/>
      <c r="M32" s="500"/>
      <c r="N32" s="500"/>
      <c r="O32" s="500"/>
      <c r="P32" s="500"/>
      <c r="Q32" s="500"/>
      <c r="R32" s="500"/>
      <c r="S32" s="500"/>
      <c r="T32" s="500"/>
      <c r="U32" s="500"/>
      <c r="V32" s="500"/>
      <c r="W32" s="500"/>
      <c r="X32" s="500"/>
      <c r="Y32" s="500"/>
      <c r="Z32" s="500"/>
      <c r="AA32" s="500"/>
      <c r="AB32" s="500"/>
      <c r="AC32" s="788"/>
      <c r="AD32" s="788"/>
      <c r="AE32" s="787"/>
      <c r="AF32" s="787"/>
      <c r="AG32" s="787"/>
      <c r="AH32" s="787"/>
    </row>
    <row r="33" spans="1:34" s="12" customFormat="1" ht="12.75">
      <c r="A33" s="28"/>
      <c r="B33" s="32"/>
      <c r="C33" s="2293"/>
      <c r="D33" s="2294"/>
      <c r="E33" s="2295"/>
      <c r="F33" s="2138"/>
      <c r="G33" s="797"/>
      <c r="H33" s="797"/>
      <c r="I33" s="797"/>
      <c r="J33" s="797"/>
      <c r="K33" s="797"/>
      <c r="L33" s="500"/>
      <c r="M33" s="500"/>
      <c r="N33" s="500"/>
      <c r="O33" s="500"/>
      <c r="P33" s="500"/>
      <c r="Q33" s="500"/>
      <c r="R33" s="500"/>
      <c r="S33" s="500"/>
      <c r="T33" s="500"/>
      <c r="U33" s="500"/>
      <c r="V33" s="500"/>
      <c r="W33" s="500"/>
      <c r="X33" s="500"/>
      <c r="Y33" s="500"/>
      <c r="Z33" s="500"/>
      <c r="AA33" s="500"/>
      <c r="AB33" s="500"/>
      <c r="AC33" s="788"/>
      <c r="AD33" s="788"/>
      <c r="AE33" s="787"/>
      <c r="AF33" s="787"/>
      <c r="AG33" s="787"/>
      <c r="AH33" s="787"/>
    </row>
    <row r="34" spans="1:34" s="12" customFormat="1" ht="12.75">
      <c r="A34" s="28"/>
      <c r="B34" s="32"/>
      <c r="C34" s="2293"/>
      <c r="D34" s="2294"/>
      <c r="E34" s="2295"/>
      <c r="F34" s="2138"/>
      <c r="G34" s="797"/>
      <c r="H34" s="797"/>
      <c r="I34" s="797"/>
      <c r="J34" s="797"/>
      <c r="K34" s="797"/>
      <c r="L34" s="500"/>
      <c r="M34" s="500"/>
      <c r="N34" s="500"/>
      <c r="O34" s="500"/>
      <c r="P34" s="500"/>
      <c r="Q34" s="500"/>
      <c r="R34" s="500"/>
      <c r="S34" s="500"/>
      <c r="T34" s="500"/>
      <c r="U34" s="500"/>
      <c r="V34" s="500"/>
      <c r="W34" s="500"/>
      <c r="X34" s="500"/>
      <c r="Y34" s="500"/>
      <c r="Z34" s="500"/>
      <c r="AA34" s="500"/>
      <c r="AB34" s="500"/>
      <c r="AC34" s="788"/>
      <c r="AD34" s="788"/>
      <c r="AE34" s="787"/>
      <c r="AF34" s="787"/>
      <c r="AG34" s="787"/>
      <c r="AH34" s="787"/>
    </row>
    <row r="35" spans="1:34" s="12" customFormat="1" ht="12.75">
      <c r="A35" s="28"/>
      <c r="B35" s="32"/>
      <c r="C35" s="2293"/>
      <c r="D35" s="2294"/>
      <c r="E35" s="2295"/>
      <c r="F35" s="2138"/>
      <c r="G35" s="797"/>
      <c r="H35" s="797"/>
      <c r="I35" s="797"/>
      <c r="J35" s="797"/>
      <c r="K35" s="797"/>
      <c r="L35" s="500"/>
      <c r="M35" s="500"/>
      <c r="N35" s="500"/>
      <c r="O35" s="500"/>
      <c r="P35" s="500"/>
      <c r="Q35" s="500"/>
      <c r="R35" s="500"/>
      <c r="S35" s="500"/>
      <c r="T35" s="500"/>
      <c r="U35" s="500"/>
      <c r="V35" s="500"/>
      <c r="W35" s="500"/>
      <c r="X35" s="500"/>
      <c r="Y35" s="500"/>
      <c r="Z35" s="500"/>
      <c r="AA35" s="500"/>
      <c r="AB35" s="500"/>
      <c r="AC35" s="788"/>
      <c r="AD35" s="788"/>
      <c r="AE35" s="787"/>
      <c r="AF35" s="787"/>
      <c r="AG35" s="787"/>
      <c r="AH35" s="787"/>
    </row>
    <row r="36" spans="1:34" s="12" customFormat="1">
      <c r="A36" s="28"/>
      <c r="B36" s="29"/>
      <c r="C36" s="2296"/>
      <c r="D36" s="2294"/>
      <c r="E36" s="2297"/>
      <c r="F36" s="2298"/>
      <c r="G36" s="797"/>
      <c r="H36" s="797"/>
      <c r="I36" s="797"/>
      <c r="J36" s="797"/>
      <c r="K36" s="797"/>
      <c r="L36" s="500"/>
      <c r="M36" s="500"/>
      <c r="N36" s="500"/>
      <c r="O36" s="500"/>
      <c r="P36" s="500"/>
      <c r="Q36" s="500"/>
      <c r="R36" s="500"/>
      <c r="S36" s="500"/>
      <c r="T36" s="500"/>
      <c r="U36" s="500"/>
      <c r="V36" s="500"/>
      <c r="W36" s="500"/>
      <c r="X36" s="500"/>
      <c r="Y36" s="500"/>
      <c r="Z36" s="500"/>
      <c r="AA36" s="500"/>
      <c r="AB36" s="500"/>
      <c r="AC36" s="788"/>
      <c r="AD36" s="788"/>
      <c r="AE36" s="787"/>
      <c r="AF36" s="787"/>
      <c r="AG36" s="787"/>
      <c r="AH36" s="787"/>
    </row>
    <row r="37" spans="1:34" s="12" customFormat="1">
      <c r="A37" s="28"/>
      <c r="B37" s="29"/>
      <c r="C37" s="2296"/>
      <c r="D37" s="2294"/>
      <c r="E37" s="2297"/>
      <c r="F37" s="2298"/>
      <c r="G37" s="797"/>
      <c r="H37" s="797"/>
      <c r="I37" s="797"/>
      <c r="J37" s="797"/>
      <c r="K37" s="797"/>
      <c r="L37" s="500"/>
      <c r="M37" s="500"/>
      <c r="N37" s="500"/>
      <c r="O37" s="500"/>
      <c r="P37" s="500"/>
      <c r="Q37" s="500"/>
      <c r="R37" s="500"/>
      <c r="S37" s="500"/>
      <c r="T37" s="500"/>
      <c r="U37" s="500"/>
      <c r="V37" s="500"/>
      <c r="W37" s="500"/>
      <c r="X37" s="500"/>
      <c r="Y37" s="500"/>
      <c r="Z37" s="500"/>
      <c r="AA37" s="500"/>
      <c r="AB37" s="500"/>
      <c r="AC37" s="788"/>
      <c r="AD37" s="788"/>
      <c r="AE37" s="787"/>
      <c r="AF37" s="787"/>
      <c r="AG37" s="787"/>
      <c r="AH37" s="787"/>
    </row>
    <row r="38" spans="1:34" s="12" customFormat="1">
      <c r="A38" s="28"/>
      <c r="B38" s="29"/>
      <c r="C38" s="2296"/>
      <c r="D38" s="2294"/>
      <c r="E38" s="2297"/>
      <c r="F38" s="2298"/>
      <c r="G38" s="797"/>
      <c r="H38" s="797"/>
      <c r="I38" s="797"/>
      <c r="J38" s="797"/>
      <c r="K38" s="797"/>
      <c r="L38" s="500"/>
      <c r="M38" s="500"/>
      <c r="N38" s="500"/>
      <c r="O38" s="500"/>
      <c r="P38" s="500"/>
      <c r="Q38" s="500"/>
      <c r="R38" s="500"/>
      <c r="S38" s="500"/>
      <c r="T38" s="500"/>
      <c r="U38" s="500"/>
      <c r="V38" s="500"/>
      <c r="W38" s="500"/>
      <c r="X38" s="500"/>
      <c r="Y38" s="500"/>
      <c r="Z38" s="500"/>
      <c r="AA38" s="500"/>
      <c r="AB38" s="500"/>
      <c r="AC38" s="788"/>
      <c r="AD38" s="788"/>
      <c r="AE38" s="787"/>
      <c r="AF38" s="787"/>
      <c r="AG38" s="787"/>
      <c r="AH38" s="787"/>
    </row>
    <row r="39" spans="1:34" s="12" customFormat="1">
      <c r="A39" s="28"/>
      <c r="B39" s="29"/>
      <c r="C39" s="2296"/>
      <c r="D39" s="2294"/>
      <c r="E39" s="2297"/>
      <c r="F39" s="2298"/>
      <c r="G39" s="797"/>
      <c r="H39" s="797"/>
      <c r="I39" s="797"/>
      <c r="J39" s="797"/>
      <c r="K39" s="797"/>
      <c r="L39" s="500"/>
      <c r="M39" s="500"/>
      <c r="N39" s="500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0"/>
      <c r="AB39" s="500"/>
      <c r="AC39" s="788"/>
      <c r="AD39" s="788"/>
      <c r="AE39" s="787"/>
      <c r="AF39" s="787"/>
      <c r="AG39" s="787"/>
      <c r="AH39" s="787"/>
    </row>
    <row r="40" spans="1:34" s="12" customFormat="1">
      <c r="A40" s="28"/>
      <c r="B40" s="29"/>
      <c r="C40" s="2296"/>
      <c r="D40" s="2294"/>
      <c r="E40" s="2297"/>
      <c r="F40" s="2298"/>
      <c r="G40" s="797"/>
      <c r="H40" s="797"/>
      <c r="I40" s="797"/>
      <c r="J40" s="797"/>
      <c r="K40" s="797"/>
      <c r="L40" s="500"/>
      <c r="M40" s="500"/>
      <c r="N40" s="500"/>
      <c r="O40" s="500"/>
      <c r="P40" s="500"/>
      <c r="Q40" s="500"/>
      <c r="R40" s="500"/>
      <c r="S40" s="500"/>
      <c r="T40" s="500"/>
      <c r="U40" s="500"/>
      <c r="V40" s="500"/>
      <c r="W40" s="500"/>
      <c r="X40" s="500"/>
      <c r="Y40" s="500"/>
      <c r="Z40" s="500"/>
      <c r="AA40" s="500"/>
      <c r="AB40" s="500"/>
      <c r="AC40" s="788"/>
      <c r="AD40" s="788"/>
      <c r="AE40" s="787"/>
      <c r="AF40" s="787"/>
      <c r="AG40" s="787"/>
      <c r="AH40" s="787"/>
    </row>
    <row r="41" spans="1:34" s="12" customFormat="1">
      <c r="A41" s="28"/>
      <c r="B41" s="29"/>
      <c r="C41" s="2296"/>
      <c r="D41" s="2294"/>
      <c r="E41" s="2297"/>
      <c r="F41" s="2298"/>
      <c r="G41" s="797"/>
      <c r="H41" s="797"/>
      <c r="I41" s="797"/>
      <c r="J41" s="797"/>
      <c r="K41" s="797"/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0"/>
      <c r="X41" s="500"/>
      <c r="Y41" s="500"/>
      <c r="Z41" s="500"/>
      <c r="AA41" s="500"/>
      <c r="AB41" s="500"/>
      <c r="AC41" s="788"/>
      <c r="AD41" s="788"/>
      <c r="AE41" s="787"/>
      <c r="AF41" s="787"/>
      <c r="AG41" s="787"/>
      <c r="AH41" s="787"/>
    </row>
    <row r="42" spans="1:34" s="12" customFormat="1">
      <c r="A42" s="28"/>
      <c r="B42" s="29"/>
      <c r="C42" s="2296"/>
      <c r="D42" s="2294"/>
      <c r="E42" s="2297"/>
      <c r="F42" s="2298"/>
      <c r="G42" s="797"/>
      <c r="H42" s="797"/>
      <c r="I42" s="797"/>
      <c r="J42" s="797"/>
      <c r="K42" s="797"/>
      <c r="L42" s="500"/>
      <c r="M42" s="500"/>
      <c r="N42" s="500"/>
      <c r="O42" s="500"/>
      <c r="P42" s="500"/>
      <c r="Q42" s="500"/>
      <c r="R42" s="500"/>
      <c r="S42" s="500"/>
      <c r="T42" s="500"/>
      <c r="U42" s="500"/>
      <c r="V42" s="500"/>
      <c r="W42" s="500"/>
      <c r="X42" s="500"/>
      <c r="Y42" s="500"/>
      <c r="Z42" s="500"/>
      <c r="AA42" s="500"/>
      <c r="AB42" s="500"/>
      <c r="AC42" s="788"/>
      <c r="AD42" s="788"/>
      <c r="AE42" s="787"/>
      <c r="AF42" s="787"/>
      <c r="AG42" s="787"/>
      <c r="AH42" s="787"/>
    </row>
    <row r="43" spans="1:34" s="12" customFormat="1">
      <c r="A43" s="28"/>
      <c r="B43" s="29"/>
      <c r="C43" s="2296"/>
      <c r="D43" s="2294"/>
      <c r="E43" s="2297"/>
      <c r="F43" s="2298"/>
      <c r="G43" s="797"/>
      <c r="H43" s="797"/>
      <c r="I43" s="797"/>
      <c r="J43" s="797"/>
      <c r="K43" s="797"/>
      <c r="L43" s="500"/>
      <c r="M43" s="500"/>
      <c r="N43" s="500"/>
      <c r="O43" s="500"/>
      <c r="P43" s="500"/>
      <c r="Q43" s="500"/>
      <c r="R43" s="500"/>
      <c r="S43" s="500"/>
      <c r="T43" s="500"/>
      <c r="U43" s="500"/>
      <c r="V43" s="500"/>
      <c r="W43" s="500"/>
      <c r="X43" s="500"/>
      <c r="Y43" s="500"/>
      <c r="Z43" s="500"/>
      <c r="AA43" s="500"/>
      <c r="AB43" s="500"/>
      <c r="AC43" s="788"/>
      <c r="AD43" s="788"/>
      <c r="AE43" s="787"/>
      <c r="AF43" s="787"/>
      <c r="AG43" s="787"/>
      <c r="AH43" s="787"/>
    </row>
    <row r="44" spans="1:34" s="12" customFormat="1">
      <c r="A44" s="28"/>
      <c r="B44" s="29"/>
      <c r="C44" s="2296"/>
      <c r="D44" s="2298"/>
      <c r="E44" s="2297"/>
      <c r="F44" s="2298"/>
      <c r="G44" s="797"/>
      <c r="H44" s="797"/>
      <c r="I44" s="797"/>
      <c r="J44" s="797"/>
      <c r="K44" s="797"/>
      <c r="L44" s="500"/>
      <c r="M44" s="500"/>
      <c r="N44" s="500"/>
      <c r="O44" s="500"/>
      <c r="P44" s="500"/>
      <c r="Q44" s="500"/>
      <c r="R44" s="500"/>
      <c r="S44" s="500"/>
      <c r="T44" s="500"/>
      <c r="U44" s="500"/>
      <c r="V44" s="500"/>
      <c r="W44" s="500"/>
      <c r="X44" s="500"/>
      <c r="Y44" s="500"/>
      <c r="Z44" s="500"/>
      <c r="AA44" s="500"/>
      <c r="AB44" s="500"/>
      <c r="AC44" s="788"/>
      <c r="AD44" s="788"/>
      <c r="AE44" s="787"/>
      <c r="AF44" s="787"/>
      <c r="AG44" s="787"/>
      <c r="AH44" s="787"/>
    </row>
    <row r="45" spans="1:34" s="12" customFormat="1">
      <c r="A45" s="33"/>
      <c r="B45" s="30"/>
      <c r="C45" s="2293"/>
      <c r="D45" s="2294"/>
      <c r="E45" s="2297"/>
      <c r="F45" s="2294"/>
      <c r="G45" s="797"/>
      <c r="H45" s="797"/>
      <c r="I45" s="797"/>
      <c r="J45" s="797"/>
      <c r="K45" s="797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0"/>
      <c r="X45" s="500"/>
      <c r="Y45" s="500"/>
      <c r="Z45" s="500"/>
      <c r="AA45" s="500"/>
      <c r="AB45" s="500"/>
      <c r="AC45" s="788"/>
      <c r="AD45" s="788"/>
      <c r="AE45" s="787"/>
      <c r="AF45" s="787"/>
      <c r="AG45" s="787"/>
      <c r="AH45" s="787"/>
    </row>
    <row r="46" spans="1:34" s="12" customFormat="1">
      <c r="A46" s="28"/>
      <c r="B46" s="29"/>
      <c r="C46" s="2293"/>
      <c r="D46" s="2294"/>
      <c r="E46" s="2295"/>
      <c r="F46" s="2294"/>
      <c r="G46" s="797"/>
      <c r="H46" s="797"/>
      <c r="I46" s="797"/>
      <c r="J46" s="797"/>
      <c r="K46" s="797"/>
      <c r="L46" s="500"/>
      <c r="M46" s="500"/>
      <c r="N46" s="500"/>
      <c r="O46" s="500"/>
      <c r="P46" s="500"/>
      <c r="Q46" s="500"/>
      <c r="R46" s="500"/>
      <c r="S46" s="500"/>
      <c r="T46" s="500"/>
      <c r="U46" s="500"/>
      <c r="V46" s="500"/>
      <c r="W46" s="500"/>
      <c r="X46" s="500"/>
      <c r="Y46" s="500"/>
      <c r="Z46" s="500"/>
      <c r="AA46" s="500"/>
      <c r="AB46" s="500"/>
      <c r="AC46" s="788"/>
      <c r="AD46" s="788"/>
      <c r="AE46" s="787"/>
      <c r="AF46" s="787"/>
      <c r="AG46" s="787"/>
      <c r="AH46" s="787"/>
    </row>
    <row r="47" spans="1:34" s="12" customFormat="1">
      <c r="A47" s="33"/>
      <c r="B47" s="29"/>
      <c r="C47" s="2296"/>
      <c r="D47" s="2298"/>
      <c r="E47" s="2299"/>
      <c r="F47" s="2298"/>
      <c r="G47" s="797"/>
      <c r="H47" s="797"/>
      <c r="I47" s="797"/>
      <c r="J47" s="797"/>
      <c r="K47" s="797"/>
      <c r="L47" s="500"/>
      <c r="M47" s="500"/>
      <c r="N47" s="500"/>
      <c r="O47" s="500"/>
      <c r="P47" s="500"/>
      <c r="Q47" s="500"/>
      <c r="R47" s="500"/>
      <c r="S47" s="500"/>
      <c r="T47" s="500"/>
      <c r="U47" s="500"/>
      <c r="V47" s="500"/>
      <c r="W47" s="500"/>
      <c r="X47" s="500"/>
      <c r="Y47" s="500"/>
      <c r="Z47" s="500"/>
      <c r="AA47" s="500"/>
      <c r="AB47" s="500"/>
      <c r="AC47" s="788"/>
      <c r="AD47" s="788"/>
      <c r="AE47" s="787"/>
      <c r="AF47" s="787"/>
      <c r="AG47" s="787"/>
      <c r="AH47" s="787"/>
    </row>
    <row r="48" spans="1:34" s="12" customFormat="1">
      <c r="A48" s="34"/>
      <c r="B48" s="35"/>
      <c r="C48" s="45"/>
      <c r="D48" s="797"/>
      <c r="E48" s="797"/>
      <c r="F48" s="797"/>
      <c r="G48" s="797"/>
      <c r="H48" s="797"/>
      <c r="I48" s="797"/>
      <c r="J48" s="797"/>
      <c r="K48" s="797"/>
      <c r="L48" s="500"/>
      <c r="M48" s="500"/>
      <c r="N48" s="500"/>
      <c r="O48" s="500"/>
      <c r="P48" s="500"/>
      <c r="Q48" s="500"/>
      <c r="R48" s="500"/>
      <c r="S48" s="500"/>
      <c r="T48" s="500"/>
      <c r="U48" s="500"/>
      <c r="V48" s="500"/>
      <c r="W48" s="500"/>
      <c r="X48" s="500"/>
      <c r="Y48" s="500"/>
      <c r="Z48" s="500"/>
      <c r="AA48" s="500"/>
      <c r="AB48" s="500"/>
      <c r="AC48" s="788"/>
      <c r="AD48" s="788"/>
      <c r="AE48" s="787"/>
      <c r="AF48" s="787"/>
      <c r="AG48" s="787"/>
      <c r="AH48" s="787"/>
    </row>
    <row r="49" spans="1:34" s="12" customFormat="1">
      <c r="A49" s="34"/>
      <c r="B49" s="30"/>
      <c r="C49" s="45"/>
      <c r="D49" s="797"/>
      <c r="E49" s="2295"/>
      <c r="F49" s="797"/>
      <c r="G49" s="797"/>
      <c r="H49" s="797"/>
      <c r="I49" s="797"/>
      <c r="J49" s="797"/>
      <c r="K49" s="797"/>
      <c r="L49" s="500"/>
      <c r="M49" s="500"/>
      <c r="N49" s="500"/>
      <c r="O49" s="500"/>
      <c r="P49" s="500"/>
      <c r="Q49" s="500"/>
      <c r="R49" s="500"/>
      <c r="S49" s="500"/>
      <c r="T49" s="500"/>
      <c r="U49" s="500"/>
      <c r="V49" s="500"/>
      <c r="W49" s="500"/>
      <c r="X49" s="500"/>
      <c r="Y49" s="500"/>
      <c r="Z49" s="500"/>
      <c r="AA49" s="500"/>
      <c r="AB49" s="500"/>
      <c r="AC49" s="788"/>
      <c r="AD49" s="788"/>
      <c r="AE49" s="787"/>
      <c r="AF49" s="787"/>
      <c r="AG49" s="787"/>
      <c r="AH49" s="787"/>
    </row>
    <row r="50" spans="1:34" s="12" customFormat="1">
      <c r="A50" s="34"/>
      <c r="B50" s="30"/>
      <c r="C50" s="45"/>
      <c r="D50" s="797"/>
      <c r="E50" s="2295"/>
      <c r="F50" s="797"/>
      <c r="G50" s="797"/>
      <c r="H50" s="797"/>
      <c r="I50" s="797"/>
      <c r="J50" s="797"/>
      <c r="K50" s="797"/>
      <c r="L50" s="500"/>
      <c r="M50" s="500"/>
      <c r="N50" s="500"/>
      <c r="O50" s="500"/>
      <c r="P50" s="500"/>
      <c r="Q50" s="500"/>
      <c r="R50" s="500"/>
      <c r="S50" s="500"/>
      <c r="T50" s="500"/>
      <c r="U50" s="500"/>
      <c r="V50" s="500"/>
      <c r="W50" s="500"/>
      <c r="X50" s="500"/>
      <c r="Y50" s="500"/>
      <c r="Z50" s="500"/>
      <c r="AA50" s="500"/>
      <c r="AB50" s="500"/>
      <c r="AC50" s="788"/>
      <c r="AD50" s="788"/>
      <c r="AE50" s="787"/>
      <c r="AF50" s="787"/>
      <c r="AG50" s="787"/>
      <c r="AH50" s="787"/>
    </row>
    <row r="51" spans="1:34" s="12" customFormat="1">
      <c r="A51" s="34"/>
      <c r="B51" s="29"/>
      <c r="C51" s="45"/>
      <c r="D51" s="500"/>
      <c r="E51" s="1754"/>
      <c r="F51" s="1434"/>
      <c r="G51" s="500"/>
      <c r="H51" s="500"/>
      <c r="I51" s="500"/>
      <c r="J51" s="500"/>
      <c r="K51" s="500"/>
      <c r="L51" s="500"/>
      <c r="M51" s="500"/>
      <c r="N51" s="500"/>
      <c r="O51" s="500"/>
      <c r="P51" s="500"/>
      <c r="Q51" s="500"/>
      <c r="R51" s="500"/>
      <c r="S51" s="500"/>
      <c r="T51" s="500"/>
      <c r="U51" s="500"/>
      <c r="V51" s="500"/>
      <c r="W51" s="500"/>
      <c r="X51" s="500"/>
      <c r="Y51" s="500"/>
      <c r="Z51" s="500"/>
      <c r="AA51" s="500"/>
      <c r="AB51" s="500"/>
      <c r="AC51" s="788"/>
      <c r="AD51" s="788"/>
      <c r="AE51" s="787"/>
      <c r="AF51" s="787"/>
      <c r="AG51" s="787"/>
      <c r="AH51" s="787"/>
    </row>
    <row r="52" spans="1:34" s="12" customFormat="1">
      <c r="A52" s="37"/>
      <c r="B52" s="38"/>
      <c r="C52" s="45"/>
      <c r="D52" s="500"/>
      <c r="E52" s="500"/>
      <c r="F52" s="1434"/>
      <c r="G52" s="500"/>
      <c r="H52" s="500"/>
      <c r="I52" s="500"/>
      <c r="J52" s="500"/>
      <c r="K52" s="500"/>
      <c r="L52" s="500"/>
      <c r="M52" s="500"/>
      <c r="N52" s="500"/>
      <c r="O52" s="500"/>
      <c r="P52" s="500"/>
      <c r="Q52" s="500"/>
      <c r="R52" s="500"/>
      <c r="S52" s="500"/>
      <c r="T52" s="500"/>
      <c r="U52" s="500"/>
      <c r="V52" s="500"/>
      <c r="W52" s="500"/>
      <c r="X52" s="500"/>
      <c r="Y52" s="500"/>
      <c r="Z52" s="500"/>
      <c r="AA52" s="500"/>
      <c r="AB52" s="500"/>
      <c r="AC52" s="788"/>
      <c r="AD52" s="788"/>
      <c r="AE52" s="787"/>
      <c r="AF52" s="787"/>
      <c r="AG52" s="787"/>
      <c r="AH52" s="787"/>
    </row>
    <row r="53" spans="1:34" s="12" customFormat="1" ht="12.75">
      <c r="A53" s="574"/>
      <c r="B53" s="575"/>
      <c r="C53" s="1774"/>
      <c r="D53" s="2300"/>
      <c r="E53" s="2300"/>
      <c r="F53" s="2301"/>
      <c r="G53" s="2300"/>
      <c r="H53" s="2300"/>
      <c r="I53" s="2300"/>
      <c r="J53" s="2300"/>
      <c r="K53" s="2300"/>
      <c r="L53" s="2263"/>
      <c r="M53" s="2263"/>
      <c r="N53" s="2263"/>
      <c r="O53" s="2263"/>
      <c r="P53" s="2263"/>
      <c r="Q53" s="2263"/>
      <c r="R53" s="2263"/>
      <c r="S53" s="2263"/>
      <c r="T53" s="2263"/>
      <c r="U53" s="2263"/>
      <c r="V53" s="2263"/>
      <c r="W53" s="2263"/>
      <c r="X53" s="2263"/>
      <c r="Y53" s="2263"/>
      <c r="Z53" s="2263"/>
      <c r="AA53" s="2263"/>
      <c r="AB53" s="2263"/>
      <c r="AC53" s="788"/>
      <c r="AD53" s="788"/>
      <c r="AE53" s="787"/>
      <c r="AF53" s="787"/>
      <c r="AG53" s="787"/>
      <c r="AH53" s="787"/>
    </row>
    <row r="54" spans="1:34" s="807" customFormat="1" ht="12.75">
      <c r="A54" s="576"/>
      <c r="B54" s="576" t="s">
        <v>371</v>
      </c>
      <c r="C54" s="1778">
        <f>SUM(C15:C53)</f>
        <v>0</v>
      </c>
      <c r="D54" s="2263">
        <f>SUM(D15:D53)</f>
        <v>1496400</v>
      </c>
      <c r="E54" s="2263"/>
      <c r="F54" s="2263">
        <f t="shared" ref="F54:V54" si="2">SUM(F15:F53)</f>
        <v>1496400</v>
      </c>
      <c r="G54" s="2263">
        <f t="shared" si="2"/>
        <v>191413.33</v>
      </c>
      <c r="H54" s="2263">
        <f>SUM(H15:H53)</f>
        <v>0</v>
      </c>
      <c r="I54" s="2263">
        <f t="shared" si="2"/>
        <v>1496400</v>
      </c>
      <c r="J54" s="2263">
        <f t="shared" si="2"/>
        <v>426870</v>
      </c>
      <c r="K54" s="2263">
        <f t="shared" si="2"/>
        <v>0</v>
      </c>
      <c r="L54" s="2263">
        <f t="shared" si="2"/>
        <v>1069530</v>
      </c>
      <c r="M54" s="2263">
        <f t="shared" si="2"/>
        <v>0</v>
      </c>
      <c r="N54" s="2263">
        <f t="shared" si="2"/>
        <v>174275.997</v>
      </c>
      <c r="O54" s="2263">
        <f t="shared" si="2"/>
        <v>0</v>
      </c>
      <c r="P54" s="2263">
        <f t="shared" si="2"/>
        <v>0</v>
      </c>
      <c r="Q54" s="2263">
        <f t="shared" si="2"/>
        <v>0</v>
      </c>
      <c r="R54" s="2263">
        <f t="shared" si="2"/>
        <v>0</v>
      </c>
      <c r="S54" s="2263">
        <f t="shared" si="2"/>
        <v>0</v>
      </c>
      <c r="T54" s="374">
        <f>W54-L54</f>
        <v>426870</v>
      </c>
      <c r="U54" s="2263">
        <f>SUM(U15:U53)</f>
        <v>1496400</v>
      </c>
      <c r="V54" s="2263">
        <f t="shared" si="2"/>
        <v>3</v>
      </c>
      <c r="W54" s="2263">
        <f>SUM(W15:W53)</f>
        <v>1496400</v>
      </c>
      <c r="X54" s="2263">
        <f>SUM(X14:X53)</f>
        <v>20040</v>
      </c>
      <c r="Y54" s="2263">
        <f>SUM(Y14:Y53)</f>
        <v>20040</v>
      </c>
      <c r="Z54" s="2263">
        <f>SUM(Z14:Z53)</f>
        <v>0</v>
      </c>
      <c r="AA54" s="2263">
        <f>SUM(AA14:AA53)</f>
        <v>0</v>
      </c>
      <c r="AB54" s="2263">
        <f>SUM(AB15:AB53)</f>
        <v>1496400</v>
      </c>
      <c r="AC54" s="2302"/>
      <c r="AD54" s="2302"/>
      <c r="AE54" s="2303"/>
      <c r="AF54" s="2303"/>
      <c r="AG54" s="2303"/>
      <c r="AH54" s="2303"/>
    </row>
    <row r="55" spans="1:34" s="12" customFormat="1">
      <c r="A55" s="43"/>
      <c r="B55" s="44"/>
      <c r="C55" s="213"/>
      <c r="D55" s="213"/>
      <c r="E55" s="213"/>
      <c r="F55" s="1769"/>
      <c r="G55" s="1769"/>
      <c r="H55" s="1769"/>
      <c r="I55" s="1769"/>
      <c r="J55" s="1769"/>
      <c r="K55" s="1769"/>
      <c r="L55" s="1769"/>
      <c r="M55" s="1769"/>
      <c r="N55" s="1769"/>
      <c r="O55" s="213"/>
      <c r="P55" s="1769"/>
      <c r="Q55" s="213"/>
      <c r="R55" s="213"/>
      <c r="S55" s="788"/>
      <c r="T55" s="788"/>
      <c r="U55" s="213"/>
      <c r="V55" s="213"/>
      <c r="W55" s="1769"/>
      <c r="X55" s="212"/>
      <c r="Y55" s="212"/>
      <c r="Z55" s="212"/>
      <c r="AA55" s="212"/>
      <c r="AB55" s="212"/>
      <c r="AC55" s="788"/>
      <c r="AD55" s="788"/>
      <c r="AE55" s="787"/>
      <c r="AF55" s="787"/>
      <c r="AG55" s="787"/>
      <c r="AH55" s="787"/>
    </row>
    <row r="56" spans="1:34" s="12" customFormat="1">
      <c r="A56" s="43"/>
      <c r="B56" s="44"/>
      <c r="C56" s="213"/>
      <c r="D56" s="213"/>
      <c r="E56" s="213"/>
      <c r="F56" s="1769"/>
      <c r="G56" s="1769"/>
      <c r="H56" s="1769"/>
      <c r="I56" s="1769"/>
      <c r="J56" s="1769"/>
      <c r="K56" s="1769"/>
      <c r="L56" s="1769"/>
      <c r="M56" s="1769"/>
      <c r="N56" s="1769"/>
      <c r="O56" s="213"/>
      <c r="P56" s="1769"/>
      <c r="Q56" s="213"/>
      <c r="R56" s="213"/>
      <c r="S56" s="788"/>
      <c r="T56" s="788"/>
      <c r="U56" s="213"/>
      <c r="V56" s="213"/>
      <c r="W56" s="1769"/>
      <c r="X56" s="212"/>
      <c r="Y56" s="212"/>
      <c r="Z56" s="212"/>
      <c r="AA56" s="212"/>
      <c r="AB56" s="212"/>
      <c r="AC56" s="788"/>
      <c r="AD56" s="788"/>
      <c r="AE56" s="787"/>
      <c r="AF56" s="787"/>
      <c r="AG56" s="787"/>
      <c r="AH56" s="787"/>
    </row>
    <row r="57" spans="1:34" s="12" customFormat="1">
      <c r="A57" s="10"/>
      <c r="B57" s="454"/>
      <c r="C57" s="213"/>
      <c r="D57" s="213"/>
      <c r="E57" s="213"/>
      <c r="F57" s="1769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788"/>
      <c r="R57" s="213"/>
      <c r="S57" s="788"/>
      <c r="T57" s="788"/>
      <c r="U57" s="213"/>
      <c r="V57" s="213"/>
      <c r="W57" s="1769"/>
      <c r="X57" s="212"/>
      <c r="Y57" s="212"/>
      <c r="Z57" s="212"/>
      <c r="AA57" s="212"/>
      <c r="AB57" s="212"/>
      <c r="AC57" s="788"/>
      <c r="AD57" s="788"/>
      <c r="AE57" s="787"/>
      <c r="AF57" s="787"/>
      <c r="AG57" s="787"/>
      <c r="AH57" s="787"/>
    </row>
    <row r="58" spans="1:34" s="12" customFormat="1">
      <c r="A58" s="10"/>
      <c r="B58" s="454"/>
      <c r="C58" s="213"/>
      <c r="D58" s="213"/>
      <c r="E58" s="213"/>
      <c r="F58" s="1769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788"/>
      <c r="R58" s="213"/>
      <c r="S58" s="788"/>
      <c r="T58" s="788"/>
      <c r="U58" s="213"/>
      <c r="V58" s="213"/>
      <c r="W58" s="1769"/>
      <c r="X58" s="212"/>
      <c r="Y58" s="212"/>
      <c r="Z58" s="212"/>
      <c r="AA58" s="212"/>
      <c r="AB58" s="212"/>
      <c r="AC58" s="788"/>
      <c r="AD58" s="788"/>
      <c r="AE58" s="787"/>
      <c r="AF58" s="787"/>
      <c r="AG58" s="787"/>
      <c r="AH58" s="787"/>
    </row>
    <row r="59" spans="1:34" s="12" customFormat="1">
      <c r="A59" s="10"/>
      <c r="B59" s="454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788"/>
      <c r="R59" s="213"/>
      <c r="S59" s="788"/>
      <c r="T59" s="788"/>
      <c r="U59" s="213"/>
      <c r="V59" s="213"/>
      <c r="W59" s="213"/>
      <c r="X59" s="212"/>
      <c r="Y59" s="212"/>
      <c r="Z59" s="212"/>
      <c r="AA59" s="212"/>
      <c r="AB59" s="212"/>
      <c r="AC59" s="788"/>
      <c r="AD59" s="788"/>
      <c r="AE59" s="787"/>
      <c r="AF59" s="787"/>
      <c r="AG59" s="787"/>
      <c r="AH59" s="787"/>
    </row>
    <row r="60" spans="1:34" s="12" customFormat="1">
      <c r="A60" s="10" t="s">
        <v>59</v>
      </c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788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/>
      <c r="B61" s="454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788"/>
      <c r="S61" s="788"/>
      <c r="T61" s="788"/>
      <c r="U61" s="213"/>
      <c r="V61" s="213"/>
      <c r="W61" s="213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788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</sheetData>
  <mergeCells count="7">
    <mergeCell ref="AB8:AB12"/>
    <mergeCell ref="E1:F1"/>
    <mergeCell ref="U8:W9"/>
    <mergeCell ref="X8:X12"/>
    <mergeCell ref="Y8:Y12"/>
    <mergeCell ref="Z8:Z12"/>
    <mergeCell ref="AA8:AA12"/>
  </mergeCells>
  <phoneticPr fontId="0" type="noConversion"/>
  <conditionalFormatting sqref="T54">
    <cfRule type="cellIs" dxfId="66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pageSetUpPr fitToPage="1"/>
  </sheetPr>
  <dimension ref="A1:CE72"/>
  <sheetViews>
    <sheetView showGridLines="0" workbookViewId="0"/>
  </sheetViews>
  <sheetFormatPr baseColWidth="10" defaultRowHeight="12"/>
  <cols>
    <col min="1" max="1" width="10.25" customWidth="1"/>
    <col min="2" max="2" width="35.375" customWidth="1"/>
    <col min="3" max="3" width="10.125" style="792" customWidth="1"/>
    <col min="4" max="4" width="10.375" style="792" customWidth="1"/>
    <col min="5" max="5" width="4.875" style="792" customWidth="1"/>
    <col min="6" max="9" width="10.25" style="792" customWidth="1"/>
    <col min="10" max="10" width="12" style="792" customWidth="1"/>
    <col min="11" max="11" width="10.25" style="792" customWidth="1"/>
    <col min="12" max="12" width="9" style="792" customWidth="1"/>
    <col min="13" max="13" width="9.75" style="792" customWidth="1"/>
    <col min="14" max="14" width="8.75" style="792" customWidth="1"/>
    <col min="15" max="15" width="6.5" style="792" customWidth="1"/>
    <col min="16" max="16" width="11" style="792"/>
    <col min="17" max="17" width="5.875" style="792" customWidth="1"/>
    <col min="18" max="18" width="11" style="792" customWidth="1"/>
    <col min="19" max="20" width="11" style="792"/>
    <col min="21" max="21" width="9" style="792" customWidth="1"/>
    <col min="22" max="22" width="4.875" style="792" customWidth="1"/>
    <col min="23" max="23" width="10.25" style="792" customWidth="1"/>
    <col min="24" max="28" width="10.875" style="792" customWidth="1"/>
    <col min="29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15" t="s">
        <v>717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247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201400966</v>
      </c>
      <c r="C5" s="216"/>
      <c r="D5" s="216"/>
      <c r="E5" s="216"/>
      <c r="F5" s="217"/>
      <c r="G5" s="217"/>
      <c r="H5" s="1722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7"/>
      <c r="AF8" s="787"/>
      <c r="AG8" s="787"/>
      <c r="AH8" s="787"/>
    </row>
    <row r="9" spans="1:83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7"/>
      <c r="AF9" s="787"/>
      <c r="AG9" s="787"/>
      <c r="AH9" s="787"/>
    </row>
    <row r="10" spans="1:83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7"/>
      <c r="AF10" s="787"/>
      <c r="AG10" s="787"/>
      <c r="AH10" s="787"/>
    </row>
    <row r="11" spans="1:83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7"/>
      <c r="AF11" s="787"/>
      <c r="AG11" s="787"/>
      <c r="AH11" s="787"/>
    </row>
    <row r="12" spans="1:83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7"/>
      <c r="AF12" s="787"/>
      <c r="AG12" s="787"/>
      <c r="AH12" s="787"/>
    </row>
    <row r="13" spans="1:83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571"/>
      <c r="B14" s="572"/>
      <c r="C14" s="1741"/>
      <c r="D14" s="1741"/>
      <c r="E14" s="1741"/>
      <c r="F14" s="1741"/>
      <c r="G14" s="1728"/>
      <c r="H14" s="1728"/>
      <c r="I14" s="1741"/>
      <c r="J14" s="1741"/>
      <c r="K14" s="1741"/>
      <c r="L14" s="1741"/>
      <c r="M14" s="1741"/>
      <c r="N14" s="1741"/>
      <c r="O14" s="1741"/>
      <c r="P14" s="1741"/>
      <c r="Q14" s="1741"/>
      <c r="R14" s="1741"/>
      <c r="S14" s="1741"/>
      <c r="T14" s="1741"/>
      <c r="U14" s="1741"/>
      <c r="V14" s="1741"/>
      <c r="W14" s="1741"/>
      <c r="X14" s="1741"/>
      <c r="Y14" s="1741"/>
      <c r="Z14" s="1741"/>
      <c r="AA14" s="1741"/>
      <c r="AB14" s="573"/>
      <c r="AC14" s="788"/>
      <c r="AD14" s="788"/>
      <c r="AE14" s="787"/>
      <c r="AF14" s="787"/>
      <c r="AG14" s="787"/>
      <c r="AH14" s="787"/>
    </row>
    <row r="15" spans="1:83" s="12" customFormat="1" ht="12.75">
      <c r="A15" s="2405">
        <v>1</v>
      </c>
      <c r="B15" s="811" t="s">
        <v>372</v>
      </c>
      <c r="C15" s="1751"/>
      <c r="D15" s="1751"/>
      <c r="E15" s="1752"/>
      <c r="F15" s="886"/>
      <c r="G15" s="886"/>
      <c r="H15" s="886"/>
      <c r="I15" s="886"/>
      <c r="J15" s="886"/>
      <c r="K15" s="886"/>
      <c r="L15" s="886"/>
      <c r="M15" s="886"/>
      <c r="N15" s="886"/>
      <c r="O15" s="1752"/>
      <c r="P15" s="886"/>
      <c r="Q15" s="1751"/>
      <c r="R15" s="1751"/>
      <c r="S15" s="1751"/>
      <c r="T15" s="1751"/>
      <c r="U15" s="1751"/>
      <c r="V15" s="1752"/>
      <c r="W15" s="886"/>
      <c r="X15" s="886"/>
      <c r="Y15" s="886"/>
      <c r="Z15" s="886"/>
      <c r="AA15" s="1751"/>
      <c r="AB15" s="824"/>
      <c r="AC15" s="788"/>
      <c r="AD15" s="788"/>
      <c r="AE15" s="787"/>
      <c r="AF15" s="787"/>
      <c r="AG15" s="787"/>
      <c r="AH15" s="787"/>
    </row>
    <row r="16" spans="1:83" s="12" customFormat="1" ht="12.75">
      <c r="A16" s="2405"/>
      <c r="B16" s="816" t="s">
        <v>123</v>
      </c>
      <c r="C16" s="1751"/>
      <c r="D16" s="502">
        <f>1.2*426000</f>
        <v>511200</v>
      </c>
      <c r="E16" s="511">
        <v>1</v>
      </c>
      <c r="F16" s="500">
        <f>D16*E16</f>
        <v>511200</v>
      </c>
      <c r="G16" s="500">
        <f>10680</f>
        <v>10680</v>
      </c>
      <c r="H16" s="500" t="s">
        <v>373</v>
      </c>
      <c r="I16" s="797">
        <f>U16</f>
        <v>511200</v>
      </c>
      <c r="J16" s="797"/>
      <c r="K16" s="500"/>
      <c r="L16" s="500">
        <f>I16-J16+K16</f>
        <v>511200</v>
      </c>
      <c r="M16" s="500"/>
      <c r="N16" s="500">
        <f>G16</f>
        <v>10680</v>
      </c>
      <c r="O16" s="2329">
        <v>0.9</v>
      </c>
      <c r="P16" s="2330">
        <v>460080</v>
      </c>
      <c r="Q16" s="502"/>
      <c r="R16" s="502"/>
      <c r="S16" s="502"/>
      <c r="T16" s="500">
        <f>U16-L16</f>
        <v>0</v>
      </c>
      <c r="U16" s="502">
        <f>1.2*426000</f>
        <v>511200</v>
      </c>
      <c r="V16" s="500">
        <v>1</v>
      </c>
      <c r="W16" s="500">
        <f>+U16*V16</f>
        <v>511200</v>
      </c>
      <c r="X16" s="500">
        <v>10680</v>
      </c>
      <c r="Y16" s="500">
        <v>10680</v>
      </c>
      <c r="Z16" s="500"/>
      <c r="AA16" s="502"/>
      <c r="AB16" s="500">
        <f>W16</f>
        <v>511200</v>
      </c>
      <c r="AC16" s="788"/>
      <c r="AD16" s="788"/>
      <c r="AE16" s="787"/>
      <c r="AF16" s="787"/>
      <c r="AG16" s="787"/>
      <c r="AH16" s="787"/>
    </row>
    <row r="17" spans="1:34" s="12" customFormat="1" ht="12.75">
      <c r="A17" s="813"/>
      <c r="B17" s="814"/>
      <c r="C17" s="1751"/>
      <c r="D17" s="1795"/>
      <c r="E17" s="511"/>
      <c r="F17" s="500"/>
      <c r="G17" s="103">
        <f>6800.4*11.2*1.5</f>
        <v>114246.72</v>
      </c>
      <c r="H17" s="500" t="s">
        <v>772</v>
      </c>
      <c r="I17" s="797"/>
      <c r="J17" s="797"/>
      <c r="K17" s="500"/>
      <c r="L17" s="500"/>
      <c r="M17" s="500"/>
      <c r="N17" s="500">
        <f>G17</f>
        <v>114246.72</v>
      </c>
      <c r="O17" s="2330"/>
      <c r="P17" s="2330"/>
      <c r="Q17" s="500"/>
      <c r="R17" s="500"/>
      <c r="S17" s="500"/>
      <c r="T17" s="500"/>
      <c r="U17" s="1795"/>
      <c r="V17" s="500"/>
      <c r="W17" s="500"/>
      <c r="X17" s="500"/>
      <c r="Y17" s="500"/>
      <c r="Z17" s="500"/>
      <c r="AA17" s="500"/>
      <c r="AB17" s="500"/>
      <c r="AC17" s="788"/>
      <c r="AD17" s="788"/>
      <c r="AE17" s="787"/>
      <c r="AF17" s="787"/>
      <c r="AG17" s="787"/>
      <c r="AH17" s="787"/>
    </row>
    <row r="18" spans="1:34" s="12" customFormat="1" ht="33.75">
      <c r="A18" s="813">
        <v>2</v>
      </c>
      <c r="B18" s="817" t="s">
        <v>426</v>
      </c>
      <c r="C18" s="1773"/>
      <c r="D18" s="2265"/>
      <c r="E18" s="511"/>
      <c r="F18" s="500"/>
      <c r="G18" s="500"/>
      <c r="H18" s="500"/>
      <c r="I18" s="797"/>
      <c r="J18" s="797"/>
      <c r="K18" s="500"/>
      <c r="L18" s="500"/>
      <c r="M18" s="500"/>
      <c r="N18" s="500"/>
      <c r="O18" s="2330"/>
      <c r="P18" s="2330"/>
      <c r="Q18" s="500"/>
      <c r="R18" s="500"/>
      <c r="S18" s="500"/>
      <c r="T18" s="500"/>
      <c r="U18" s="1795"/>
      <c r="V18" s="500"/>
      <c r="W18" s="500"/>
      <c r="X18" s="500"/>
      <c r="Y18" s="500"/>
      <c r="Z18" s="500"/>
      <c r="AA18" s="500"/>
      <c r="AB18" s="500"/>
      <c r="AC18" s="788"/>
      <c r="AD18" s="788"/>
      <c r="AE18" s="787"/>
      <c r="AF18" s="787"/>
      <c r="AG18" s="787"/>
      <c r="AH18" s="787"/>
    </row>
    <row r="19" spans="1:34" s="12" customFormat="1" ht="12.75">
      <c r="A19" s="815"/>
      <c r="B19" s="816" t="s">
        <v>123</v>
      </c>
      <c r="C19" s="1751"/>
      <c r="D19" s="500">
        <f>1.2*599000</f>
        <v>718800</v>
      </c>
      <c r="E19" s="511">
        <v>1</v>
      </c>
      <c r="F19" s="500">
        <f>D19*E19</f>
        <v>718800</v>
      </c>
      <c r="G19" s="797"/>
      <c r="H19" s="797"/>
      <c r="I19" s="797">
        <f>U19</f>
        <v>375000</v>
      </c>
      <c r="J19" s="797"/>
      <c r="K19" s="500"/>
      <c r="L19" s="500">
        <f>I19-J19+K19</f>
        <v>375000</v>
      </c>
      <c r="M19" s="500"/>
      <c r="N19" s="500"/>
      <c r="O19" s="2330">
        <v>0.9</v>
      </c>
      <c r="P19" s="2330">
        <v>646920</v>
      </c>
      <c r="Q19" s="500"/>
      <c r="R19" s="2330"/>
      <c r="S19" s="500">
        <f>+P19-R19</f>
        <v>646920</v>
      </c>
      <c r="T19" s="500">
        <f>U19-L19</f>
        <v>0</v>
      </c>
      <c r="U19" s="2309">
        <f>1.2*599000-1.2*286500</f>
        <v>375000</v>
      </c>
      <c r="V19" s="500">
        <v>1</v>
      </c>
      <c r="W19" s="500">
        <f>+U19*V19</f>
        <v>375000</v>
      </c>
      <c r="X19" s="500"/>
      <c r="Y19" s="500"/>
      <c r="Z19" s="500"/>
      <c r="AA19" s="500"/>
      <c r="AB19" s="500">
        <f>W19</f>
        <v>375000</v>
      </c>
      <c r="AC19" s="788"/>
      <c r="AD19" s="788"/>
      <c r="AE19" s="787"/>
      <c r="AF19" s="787"/>
      <c r="AG19" s="787"/>
      <c r="AH19" s="787"/>
    </row>
    <row r="20" spans="1:34" s="12" customFormat="1" ht="12.75">
      <c r="A20" s="813"/>
      <c r="B20" s="816"/>
      <c r="C20" s="1751"/>
      <c r="D20" s="1795"/>
      <c r="E20" s="511"/>
      <c r="F20" s="500"/>
      <c r="G20" s="797"/>
      <c r="H20" s="797"/>
      <c r="I20" s="797"/>
      <c r="J20" s="797"/>
      <c r="K20" s="797"/>
      <c r="L20" s="500"/>
      <c r="M20" s="500"/>
      <c r="N20" s="500"/>
      <c r="O20" s="2330"/>
      <c r="P20" s="2330"/>
      <c r="Q20" s="500"/>
      <c r="R20" s="500"/>
      <c r="S20" s="500"/>
      <c r="T20" s="500"/>
      <c r="U20" s="1795"/>
      <c r="V20" s="500"/>
      <c r="W20" s="500"/>
      <c r="X20" s="500"/>
      <c r="Y20" s="500"/>
      <c r="Z20" s="500"/>
      <c r="AA20" s="500"/>
      <c r="AB20" s="500"/>
      <c r="AC20" s="788"/>
      <c r="AD20" s="788"/>
      <c r="AE20" s="787"/>
      <c r="AF20" s="787"/>
      <c r="AG20" s="787"/>
      <c r="AH20" s="787"/>
    </row>
    <row r="21" spans="1:34" s="12" customFormat="1" ht="12.75">
      <c r="A21" s="813">
        <v>3</v>
      </c>
      <c r="B21" s="811" t="s">
        <v>376</v>
      </c>
      <c r="C21" s="2277"/>
      <c r="D21" s="2264"/>
      <c r="E21" s="2264"/>
      <c r="F21" s="2265"/>
      <c r="G21" s="797"/>
      <c r="H21" s="797"/>
      <c r="I21" s="797"/>
      <c r="J21" s="797"/>
      <c r="K21" s="797"/>
      <c r="L21" s="500"/>
      <c r="M21" s="500"/>
      <c r="N21" s="500"/>
      <c r="O21" s="2330"/>
      <c r="P21" s="2330"/>
      <c r="Q21" s="500"/>
      <c r="R21" s="500"/>
      <c r="S21" s="500"/>
      <c r="T21" s="500"/>
      <c r="U21" s="1795"/>
      <c r="V21" s="500"/>
      <c r="W21" s="500"/>
      <c r="X21" s="500"/>
      <c r="Y21" s="500"/>
      <c r="Z21" s="500"/>
      <c r="AA21" s="500"/>
      <c r="AB21" s="500"/>
      <c r="AC21" s="788"/>
      <c r="AD21" s="788"/>
      <c r="AE21" s="787"/>
      <c r="AF21" s="787"/>
      <c r="AG21" s="787"/>
      <c r="AH21" s="787"/>
    </row>
    <row r="22" spans="1:34" s="12" customFormat="1" ht="12.75">
      <c r="A22" s="815"/>
      <c r="B22" s="816" t="s">
        <v>123</v>
      </c>
      <c r="C22" s="1751"/>
      <c r="D22" s="500">
        <f>1.2*125000</f>
        <v>150000</v>
      </c>
      <c r="E22" s="511">
        <v>1</v>
      </c>
      <c r="F22" s="500">
        <f>D22*E22</f>
        <v>150000</v>
      </c>
      <c r="G22" s="797"/>
      <c r="H22" s="797"/>
      <c r="I22" s="797">
        <f>U22</f>
        <v>150000</v>
      </c>
      <c r="J22" s="797"/>
      <c r="K22" s="797"/>
      <c r="L22" s="500">
        <f>I22-J22+K22</f>
        <v>150000</v>
      </c>
      <c r="M22" s="500"/>
      <c r="N22" s="500"/>
      <c r="O22" s="2330">
        <v>0.9</v>
      </c>
      <c r="P22" s="2330">
        <v>135000</v>
      </c>
      <c r="Q22" s="500"/>
      <c r="R22" s="500"/>
      <c r="S22" s="500">
        <f>+P22-R22</f>
        <v>135000</v>
      </c>
      <c r="T22" s="500">
        <f>U22-L22</f>
        <v>0</v>
      </c>
      <c r="U22" s="500">
        <f>1.2*125000</f>
        <v>150000</v>
      </c>
      <c r="V22" s="500">
        <v>1</v>
      </c>
      <c r="W22" s="500">
        <f>+U22*V22</f>
        <v>150000</v>
      </c>
      <c r="X22" s="500"/>
      <c r="Y22" s="500"/>
      <c r="Z22" s="500"/>
      <c r="AA22" s="500"/>
      <c r="AB22" s="500">
        <f>W22</f>
        <v>150000</v>
      </c>
      <c r="AC22" s="788"/>
      <c r="AD22" s="788"/>
      <c r="AE22" s="787"/>
      <c r="AF22" s="787"/>
      <c r="AG22" s="787"/>
      <c r="AH22" s="787"/>
    </row>
    <row r="23" spans="1:34" s="12" customFormat="1" ht="12.75">
      <c r="A23" s="815"/>
      <c r="B23" s="811"/>
      <c r="C23" s="45"/>
      <c r="D23" s="45"/>
      <c r="E23" s="511"/>
      <c r="F23" s="500"/>
      <c r="G23" s="45"/>
      <c r="H23" s="45"/>
      <c r="I23" s="797"/>
      <c r="J23" s="45"/>
      <c r="K23" s="45"/>
      <c r="L23" s="500"/>
      <c r="M23" s="886"/>
      <c r="N23" s="886"/>
      <c r="O23" s="886"/>
      <c r="P23" s="886"/>
      <c r="Q23" s="886"/>
      <c r="R23" s="886"/>
      <c r="S23" s="886"/>
      <c r="T23" s="886"/>
      <c r="U23" s="886"/>
      <c r="V23" s="886"/>
      <c r="W23" s="500"/>
      <c r="X23" s="886"/>
      <c r="Y23" s="886"/>
      <c r="Z23" s="886"/>
      <c r="AA23" s="886"/>
      <c r="AB23" s="500"/>
      <c r="AC23" s="788"/>
      <c r="AD23" s="788"/>
      <c r="AE23" s="787"/>
      <c r="AF23" s="787"/>
      <c r="AG23" s="787"/>
      <c r="AH23" s="787"/>
    </row>
    <row r="24" spans="1:34" s="12" customFormat="1" ht="12.75">
      <c r="A24" s="815"/>
      <c r="B24" s="811"/>
      <c r="C24" s="45"/>
      <c r="D24" s="45"/>
      <c r="E24" s="511"/>
      <c r="F24" s="500"/>
      <c r="G24" s="45"/>
      <c r="H24" s="45"/>
      <c r="I24" s="797"/>
      <c r="J24" s="45"/>
      <c r="K24" s="45"/>
      <c r="L24" s="500"/>
      <c r="M24" s="886"/>
      <c r="N24" s="886"/>
      <c r="O24" s="886"/>
      <c r="P24" s="886"/>
      <c r="Q24" s="886"/>
      <c r="R24" s="886"/>
      <c r="S24" s="886"/>
      <c r="T24" s="886"/>
      <c r="U24" s="886"/>
      <c r="V24" s="886"/>
      <c r="W24" s="500"/>
      <c r="X24" s="886"/>
      <c r="Y24" s="886"/>
      <c r="Z24" s="886"/>
      <c r="AA24" s="886"/>
      <c r="AB24" s="500"/>
      <c r="AC24" s="788"/>
      <c r="AD24" s="788"/>
      <c r="AE24" s="787"/>
      <c r="AF24" s="787"/>
      <c r="AG24" s="787"/>
      <c r="AH24" s="787"/>
    </row>
    <row r="25" spans="1:34" s="12" customFormat="1" ht="12.75">
      <c r="A25" s="815"/>
      <c r="B25" s="811" t="s">
        <v>337</v>
      </c>
      <c r="C25" s="45"/>
      <c r="D25" s="45">
        <v>138000</v>
      </c>
      <c r="E25" s="511">
        <v>1</v>
      </c>
      <c r="F25" s="500">
        <f t="shared" ref="F25" si="0">D25*E25</f>
        <v>138000</v>
      </c>
      <c r="G25" s="45"/>
      <c r="H25" s="45"/>
      <c r="I25" s="797">
        <f t="shared" ref="I25" si="1">U25</f>
        <v>138000</v>
      </c>
      <c r="J25" s="45"/>
      <c r="K25" s="45"/>
      <c r="L25" s="500">
        <f t="shared" ref="L25" si="2">I25-J25+K25</f>
        <v>138000</v>
      </c>
      <c r="M25" s="886"/>
      <c r="N25" s="886"/>
      <c r="O25" s="886"/>
      <c r="P25" s="886"/>
      <c r="Q25" s="886"/>
      <c r="R25" s="886"/>
      <c r="S25" s="886"/>
      <c r="T25" s="886"/>
      <c r="U25" s="886">
        <v>138000</v>
      </c>
      <c r="V25" s="886">
        <v>1</v>
      </c>
      <c r="W25" s="500">
        <f t="shared" ref="W25" si="3">+U25*V25</f>
        <v>138000</v>
      </c>
      <c r="X25" s="886"/>
      <c r="Y25" s="886"/>
      <c r="Z25" s="886"/>
      <c r="AA25" s="886"/>
      <c r="AB25" s="500">
        <f t="shared" ref="AB25" si="4">W25</f>
        <v>138000</v>
      </c>
      <c r="AC25" s="788"/>
      <c r="AD25" s="788"/>
      <c r="AE25" s="787"/>
      <c r="AF25" s="787"/>
      <c r="AG25" s="787"/>
      <c r="AH25" s="787"/>
    </row>
    <row r="26" spans="1:34" s="12" customFormat="1" ht="12.75">
      <c r="A26" s="815"/>
      <c r="B26" s="811"/>
      <c r="C26" s="45"/>
      <c r="D26" s="45"/>
      <c r="E26" s="1752"/>
      <c r="F26" s="886"/>
      <c r="G26" s="45"/>
      <c r="H26" s="45"/>
      <c r="I26" s="45"/>
      <c r="J26" s="45"/>
      <c r="K26" s="45"/>
      <c r="L26" s="886"/>
      <c r="M26" s="886"/>
      <c r="N26" s="886"/>
      <c r="O26" s="886"/>
      <c r="P26" s="886"/>
      <c r="Q26" s="886"/>
      <c r="R26" s="886"/>
      <c r="S26" s="886"/>
      <c r="T26" s="886"/>
      <c r="U26" s="886"/>
      <c r="V26" s="886"/>
      <c r="W26" s="886"/>
      <c r="X26" s="886"/>
      <c r="Y26" s="886"/>
      <c r="Z26" s="886"/>
      <c r="AA26" s="886"/>
      <c r="AB26" s="886"/>
      <c r="AC26" s="788"/>
      <c r="AD26" s="788"/>
      <c r="AE26" s="787"/>
      <c r="AF26" s="787"/>
      <c r="AG26" s="787"/>
      <c r="AH26" s="787"/>
    </row>
    <row r="27" spans="1:34" s="12" customFormat="1" ht="12.75">
      <c r="A27" s="815"/>
      <c r="B27" s="811"/>
      <c r="C27" s="45"/>
      <c r="D27" s="45"/>
      <c r="E27" s="1752"/>
      <c r="F27" s="886"/>
      <c r="G27" s="45"/>
      <c r="H27" s="45"/>
      <c r="I27" s="45"/>
      <c r="J27" s="45"/>
      <c r="K27" s="45"/>
      <c r="L27" s="886"/>
      <c r="M27" s="886"/>
      <c r="N27" s="886"/>
      <c r="O27" s="886"/>
      <c r="P27" s="886"/>
      <c r="Q27" s="886"/>
      <c r="R27" s="886"/>
      <c r="S27" s="886"/>
      <c r="T27" s="886"/>
      <c r="U27" s="886"/>
      <c r="V27" s="886"/>
      <c r="W27" s="886"/>
      <c r="X27" s="886"/>
      <c r="Y27" s="886"/>
      <c r="Z27" s="886"/>
      <c r="AA27" s="886"/>
      <c r="AB27" s="886"/>
      <c r="AC27" s="788"/>
      <c r="AD27" s="788"/>
      <c r="AE27" s="787"/>
      <c r="AF27" s="787"/>
      <c r="AG27" s="787"/>
      <c r="AH27" s="787"/>
    </row>
    <row r="28" spans="1:34" s="12" customFormat="1" ht="12.75">
      <c r="A28" s="815"/>
      <c r="B28" s="811"/>
      <c r="C28" s="45"/>
      <c r="D28" s="45"/>
      <c r="E28" s="1752"/>
      <c r="F28" s="886"/>
      <c r="G28" s="45"/>
      <c r="H28" s="45"/>
      <c r="I28" s="45"/>
      <c r="J28" s="45"/>
      <c r="K28" s="45"/>
      <c r="L28" s="886"/>
      <c r="M28" s="886"/>
      <c r="N28" s="886"/>
      <c r="O28" s="886"/>
      <c r="P28" s="886"/>
      <c r="Q28" s="886"/>
      <c r="R28" s="886"/>
      <c r="S28" s="886"/>
      <c r="T28" s="886"/>
      <c r="U28" s="886"/>
      <c r="V28" s="886"/>
      <c r="W28" s="886"/>
      <c r="X28" s="886"/>
      <c r="Y28" s="886"/>
      <c r="Z28" s="886"/>
      <c r="AA28" s="886"/>
      <c r="AB28" s="886"/>
      <c r="AC28" s="788"/>
      <c r="AD28" s="788"/>
      <c r="AE28" s="787"/>
      <c r="AF28" s="787"/>
      <c r="AG28" s="787"/>
      <c r="AH28" s="787"/>
    </row>
    <row r="29" spans="1:34" s="12" customFormat="1" ht="12.75">
      <c r="A29" s="815"/>
      <c r="B29" s="811"/>
      <c r="C29" s="45"/>
      <c r="D29" s="45"/>
      <c r="E29" s="1752"/>
      <c r="F29" s="886"/>
      <c r="G29" s="45"/>
      <c r="H29" s="45"/>
      <c r="I29" s="45"/>
      <c r="J29" s="45"/>
      <c r="K29" s="45"/>
      <c r="L29" s="886"/>
      <c r="M29" s="886"/>
      <c r="N29" s="886"/>
      <c r="O29" s="886"/>
      <c r="P29" s="886"/>
      <c r="Q29" s="886"/>
      <c r="R29" s="886"/>
      <c r="S29" s="886"/>
      <c r="T29" s="886"/>
      <c r="U29" s="886"/>
      <c r="V29" s="886"/>
      <c r="W29" s="886"/>
      <c r="X29" s="886"/>
      <c r="Y29" s="886"/>
      <c r="Z29" s="886"/>
      <c r="AA29" s="886"/>
      <c r="AB29" s="886"/>
      <c r="AC29" s="788"/>
      <c r="AD29" s="788"/>
      <c r="AE29" s="787"/>
      <c r="AF29" s="787"/>
      <c r="AG29" s="787"/>
      <c r="AH29" s="787"/>
    </row>
    <row r="30" spans="1:34" s="12" customFormat="1" ht="12.75">
      <c r="A30" s="815"/>
      <c r="B30" s="811"/>
      <c r="C30" s="45"/>
      <c r="D30" s="45"/>
      <c r="E30" s="1752"/>
      <c r="F30" s="886"/>
      <c r="G30" s="45"/>
      <c r="H30" s="45"/>
      <c r="I30" s="45"/>
      <c r="J30" s="45"/>
      <c r="K30" s="45"/>
      <c r="L30" s="886"/>
      <c r="M30" s="886"/>
      <c r="N30" s="886"/>
      <c r="O30" s="886"/>
      <c r="P30" s="886"/>
      <c r="Q30" s="886"/>
      <c r="R30" s="886"/>
      <c r="S30" s="886"/>
      <c r="T30" s="886"/>
      <c r="U30" s="886"/>
      <c r="V30" s="886"/>
      <c r="W30" s="886"/>
      <c r="X30" s="886"/>
      <c r="Y30" s="886"/>
      <c r="Z30" s="886"/>
      <c r="AA30" s="886"/>
      <c r="AB30" s="886"/>
      <c r="AC30" s="788"/>
      <c r="AD30" s="788"/>
      <c r="AE30" s="787"/>
      <c r="AF30" s="787"/>
      <c r="AG30" s="787"/>
      <c r="AH30" s="787"/>
    </row>
    <row r="31" spans="1:34" s="12" customFormat="1" ht="12.75">
      <c r="A31" s="815"/>
      <c r="B31" s="811"/>
      <c r="C31" s="45"/>
      <c r="D31" s="45"/>
      <c r="E31" s="1752"/>
      <c r="F31" s="886"/>
      <c r="G31" s="45"/>
      <c r="H31" s="45"/>
      <c r="I31" s="45"/>
      <c r="J31" s="45"/>
      <c r="K31" s="45"/>
      <c r="L31" s="886"/>
      <c r="M31" s="886"/>
      <c r="N31" s="886"/>
      <c r="O31" s="886"/>
      <c r="P31" s="886"/>
      <c r="Q31" s="886"/>
      <c r="R31" s="886"/>
      <c r="S31" s="886"/>
      <c r="T31" s="886"/>
      <c r="U31" s="886"/>
      <c r="V31" s="886"/>
      <c r="W31" s="886"/>
      <c r="X31" s="886"/>
      <c r="Y31" s="886"/>
      <c r="Z31" s="886"/>
      <c r="AA31" s="886"/>
      <c r="AB31" s="886"/>
      <c r="AC31" s="788"/>
      <c r="AD31" s="788"/>
      <c r="AE31" s="787"/>
      <c r="AF31" s="787"/>
      <c r="AG31" s="787"/>
      <c r="AH31" s="787"/>
    </row>
    <row r="32" spans="1:34" s="12" customFormat="1" ht="12.75">
      <c r="A32" s="815"/>
      <c r="B32" s="811"/>
      <c r="C32" s="45"/>
      <c r="D32" s="45"/>
      <c r="E32" s="1752"/>
      <c r="F32" s="886"/>
      <c r="G32" s="45"/>
      <c r="H32" s="45"/>
      <c r="I32" s="45"/>
      <c r="J32" s="45"/>
      <c r="K32" s="45"/>
      <c r="L32" s="886"/>
      <c r="M32" s="886"/>
      <c r="N32" s="886"/>
      <c r="O32" s="886"/>
      <c r="P32" s="886"/>
      <c r="Q32" s="886"/>
      <c r="R32" s="886"/>
      <c r="S32" s="886"/>
      <c r="T32" s="886"/>
      <c r="U32" s="886"/>
      <c r="V32" s="886"/>
      <c r="W32" s="886"/>
      <c r="X32" s="886"/>
      <c r="Y32" s="886"/>
      <c r="Z32" s="886"/>
      <c r="AA32" s="886"/>
      <c r="AB32" s="886"/>
      <c r="AC32" s="788"/>
      <c r="AD32" s="788"/>
      <c r="AE32" s="787"/>
      <c r="AF32" s="787"/>
      <c r="AG32" s="787"/>
      <c r="AH32" s="787"/>
    </row>
    <row r="33" spans="1:34" s="12" customFormat="1" ht="12.75">
      <c r="A33" s="815"/>
      <c r="B33" s="811"/>
      <c r="C33" s="45"/>
      <c r="D33" s="45"/>
      <c r="E33" s="1752"/>
      <c r="F33" s="886"/>
      <c r="G33" s="45"/>
      <c r="H33" s="45"/>
      <c r="I33" s="45"/>
      <c r="J33" s="45"/>
      <c r="K33" s="45"/>
      <c r="L33" s="886"/>
      <c r="M33" s="886"/>
      <c r="N33" s="886"/>
      <c r="O33" s="886"/>
      <c r="P33" s="886"/>
      <c r="Q33" s="886"/>
      <c r="R33" s="886"/>
      <c r="S33" s="886"/>
      <c r="T33" s="886"/>
      <c r="U33" s="886"/>
      <c r="V33" s="886"/>
      <c r="W33" s="886"/>
      <c r="X33" s="886"/>
      <c r="Y33" s="886"/>
      <c r="Z33" s="886"/>
      <c r="AA33" s="886"/>
      <c r="AB33" s="886"/>
      <c r="AC33" s="788"/>
      <c r="AD33" s="788"/>
      <c r="AE33" s="787"/>
      <c r="AF33" s="787"/>
      <c r="AG33" s="787"/>
      <c r="AH33" s="787"/>
    </row>
    <row r="34" spans="1:34" s="12" customFormat="1" ht="12.75">
      <c r="A34" s="815"/>
      <c r="B34" s="811"/>
      <c r="C34" s="45"/>
      <c r="D34" s="45"/>
      <c r="E34" s="1752"/>
      <c r="F34" s="886"/>
      <c r="G34" s="45"/>
      <c r="H34" s="45"/>
      <c r="I34" s="45"/>
      <c r="J34" s="45"/>
      <c r="K34" s="45"/>
      <c r="L34" s="886"/>
      <c r="M34" s="886"/>
      <c r="N34" s="886"/>
      <c r="O34" s="886"/>
      <c r="P34" s="886"/>
      <c r="Q34" s="886"/>
      <c r="R34" s="886"/>
      <c r="S34" s="886"/>
      <c r="T34" s="886"/>
      <c r="U34" s="886"/>
      <c r="V34" s="886"/>
      <c r="W34" s="886"/>
      <c r="X34" s="886"/>
      <c r="Y34" s="886"/>
      <c r="Z34" s="886"/>
      <c r="AA34" s="886"/>
      <c r="AB34" s="886"/>
      <c r="AC34" s="788"/>
      <c r="AD34" s="788"/>
      <c r="AE34" s="787"/>
      <c r="AF34" s="787"/>
      <c r="AG34" s="787"/>
      <c r="AH34" s="787"/>
    </row>
    <row r="35" spans="1:34" s="12" customFormat="1" ht="12.75">
      <c r="A35" s="815"/>
      <c r="B35" s="811"/>
      <c r="C35" s="45"/>
      <c r="D35" s="45"/>
      <c r="E35" s="1752"/>
      <c r="F35" s="886"/>
      <c r="G35" s="45"/>
      <c r="H35" s="45"/>
      <c r="I35" s="45"/>
      <c r="J35" s="45"/>
      <c r="K35" s="45"/>
      <c r="L35" s="886"/>
      <c r="M35" s="886"/>
      <c r="N35" s="886"/>
      <c r="O35" s="886"/>
      <c r="P35" s="886"/>
      <c r="Q35" s="886"/>
      <c r="R35" s="886"/>
      <c r="S35" s="886"/>
      <c r="T35" s="886"/>
      <c r="U35" s="886"/>
      <c r="V35" s="886"/>
      <c r="W35" s="886"/>
      <c r="X35" s="886"/>
      <c r="Y35" s="886"/>
      <c r="Z35" s="886"/>
      <c r="AA35" s="886"/>
      <c r="AB35" s="886"/>
      <c r="AC35" s="788"/>
      <c r="AD35" s="788"/>
      <c r="AE35" s="787"/>
      <c r="AF35" s="787"/>
      <c r="AG35" s="787"/>
      <c r="AH35" s="787"/>
    </row>
    <row r="36" spans="1:34" s="12" customFormat="1" ht="12.75">
      <c r="A36" s="815"/>
      <c r="B36" s="811"/>
      <c r="C36" s="45"/>
      <c r="D36" s="45"/>
      <c r="E36" s="1752"/>
      <c r="F36" s="886"/>
      <c r="G36" s="45"/>
      <c r="H36" s="45"/>
      <c r="I36" s="45"/>
      <c r="J36" s="45"/>
      <c r="K36" s="45"/>
      <c r="L36" s="886"/>
      <c r="M36" s="886"/>
      <c r="N36" s="886"/>
      <c r="O36" s="886"/>
      <c r="P36" s="886"/>
      <c r="Q36" s="886"/>
      <c r="R36" s="886"/>
      <c r="S36" s="886"/>
      <c r="T36" s="886"/>
      <c r="U36" s="886"/>
      <c r="V36" s="886"/>
      <c r="W36" s="886"/>
      <c r="X36" s="886"/>
      <c r="Y36" s="886"/>
      <c r="Z36" s="886"/>
      <c r="AA36" s="886"/>
      <c r="AB36" s="886"/>
      <c r="AC36" s="788"/>
      <c r="AD36" s="788"/>
      <c r="AE36" s="787"/>
      <c r="AF36" s="787"/>
      <c r="AG36" s="787"/>
      <c r="AH36" s="787"/>
    </row>
    <row r="37" spans="1:34" s="12" customFormat="1" ht="12.75">
      <c r="A37" s="815"/>
      <c r="B37" s="814"/>
      <c r="C37" s="1760"/>
      <c r="D37" s="45"/>
      <c r="E37" s="1761"/>
      <c r="F37" s="1760"/>
      <c r="G37" s="45"/>
      <c r="H37" s="45"/>
      <c r="I37" s="45"/>
      <c r="J37" s="45"/>
      <c r="K37" s="45"/>
      <c r="L37" s="886"/>
      <c r="M37" s="886"/>
      <c r="N37" s="886"/>
      <c r="O37" s="886"/>
      <c r="P37" s="886"/>
      <c r="Q37" s="886"/>
      <c r="R37" s="886"/>
      <c r="S37" s="886"/>
      <c r="T37" s="886"/>
      <c r="U37" s="886"/>
      <c r="V37" s="886"/>
      <c r="W37" s="886"/>
      <c r="X37" s="886"/>
      <c r="Y37" s="886"/>
      <c r="Z37" s="886"/>
      <c r="AA37" s="886"/>
      <c r="AB37" s="886"/>
      <c r="AC37" s="788"/>
      <c r="AD37" s="788"/>
      <c r="AE37" s="787"/>
      <c r="AF37" s="787"/>
      <c r="AG37" s="787"/>
      <c r="AH37" s="787"/>
    </row>
    <row r="38" spans="1:34" s="12" customFormat="1" ht="12.75">
      <c r="A38" s="815"/>
      <c r="B38" s="814"/>
      <c r="C38" s="1760"/>
      <c r="D38" s="45"/>
      <c r="E38" s="1761"/>
      <c r="F38" s="1760"/>
      <c r="G38" s="45"/>
      <c r="H38" s="45"/>
      <c r="I38" s="45"/>
      <c r="J38" s="45"/>
      <c r="K38" s="45"/>
      <c r="L38" s="886"/>
      <c r="M38" s="886"/>
      <c r="N38" s="886"/>
      <c r="O38" s="886"/>
      <c r="P38" s="886"/>
      <c r="Q38" s="886"/>
      <c r="R38" s="886"/>
      <c r="S38" s="886"/>
      <c r="T38" s="886"/>
      <c r="U38" s="886"/>
      <c r="V38" s="886"/>
      <c r="W38" s="886"/>
      <c r="X38" s="886"/>
      <c r="Y38" s="886"/>
      <c r="Z38" s="886"/>
      <c r="AA38" s="886"/>
      <c r="AB38" s="886"/>
      <c r="AC38" s="788"/>
      <c r="AD38" s="788"/>
      <c r="AE38" s="787"/>
      <c r="AF38" s="787"/>
      <c r="AG38" s="787"/>
      <c r="AH38" s="787"/>
    </row>
    <row r="39" spans="1:34" s="12" customFormat="1" ht="12.75">
      <c r="A39" s="815"/>
      <c r="B39" s="814"/>
      <c r="C39" s="1760"/>
      <c r="D39" s="45"/>
      <c r="E39" s="1761"/>
      <c r="F39" s="1760"/>
      <c r="G39" s="45"/>
      <c r="H39" s="45"/>
      <c r="I39" s="45"/>
      <c r="J39" s="45"/>
      <c r="K39" s="45"/>
      <c r="L39" s="886"/>
      <c r="M39" s="886"/>
      <c r="N39" s="886"/>
      <c r="O39" s="886"/>
      <c r="P39" s="886"/>
      <c r="Q39" s="886"/>
      <c r="R39" s="886"/>
      <c r="S39" s="886"/>
      <c r="T39" s="886"/>
      <c r="U39" s="886"/>
      <c r="V39" s="886"/>
      <c r="W39" s="886"/>
      <c r="X39" s="886"/>
      <c r="Y39" s="886"/>
      <c r="Z39" s="886"/>
      <c r="AA39" s="886"/>
      <c r="AB39" s="886"/>
      <c r="AC39" s="788"/>
      <c r="AD39" s="788"/>
      <c r="AE39" s="787"/>
      <c r="AF39" s="787"/>
      <c r="AG39" s="787"/>
      <c r="AH39" s="787"/>
    </row>
    <row r="40" spans="1:34" s="12" customFormat="1" ht="12.75">
      <c r="A40" s="815"/>
      <c r="B40" s="814"/>
      <c r="C40" s="1760"/>
      <c r="D40" s="45"/>
      <c r="E40" s="1761"/>
      <c r="F40" s="1760"/>
      <c r="G40" s="45"/>
      <c r="H40" s="45"/>
      <c r="I40" s="45"/>
      <c r="J40" s="45"/>
      <c r="K40" s="45"/>
      <c r="L40" s="886"/>
      <c r="M40" s="886"/>
      <c r="N40" s="886"/>
      <c r="O40" s="886"/>
      <c r="P40" s="886"/>
      <c r="Q40" s="886"/>
      <c r="R40" s="886"/>
      <c r="S40" s="886"/>
      <c r="T40" s="886"/>
      <c r="U40" s="886"/>
      <c r="V40" s="886"/>
      <c r="W40" s="886"/>
      <c r="X40" s="886"/>
      <c r="Y40" s="886"/>
      <c r="Z40" s="886"/>
      <c r="AA40" s="886"/>
      <c r="AB40" s="886"/>
      <c r="AC40" s="788"/>
      <c r="AD40" s="788"/>
      <c r="AE40" s="787"/>
      <c r="AF40" s="787"/>
      <c r="AG40" s="787"/>
      <c r="AH40" s="787"/>
    </row>
    <row r="41" spans="1:34" s="12" customFormat="1" ht="12.75">
      <c r="A41" s="815"/>
      <c r="B41" s="814"/>
      <c r="C41" s="1760"/>
      <c r="D41" s="45"/>
      <c r="E41" s="1761"/>
      <c r="F41" s="1760"/>
      <c r="G41" s="45"/>
      <c r="H41" s="45"/>
      <c r="I41" s="45"/>
      <c r="J41" s="45"/>
      <c r="K41" s="45"/>
      <c r="L41" s="886"/>
      <c r="M41" s="886"/>
      <c r="N41" s="886"/>
      <c r="O41" s="886"/>
      <c r="P41" s="886"/>
      <c r="Q41" s="886"/>
      <c r="R41" s="886"/>
      <c r="S41" s="886"/>
      <c r="T41" s="886"/>
      <c r="U41" s="886"/>
      <c r="V41" s="886"/>
      <c r="W41" s="886"/>
      <c r="X41" s="886"/>
      <c r="Y41" s="886"/>
      <c r="Z41" s="886"/>
      <c r="AA41" s="886"/>
      <c r="AB41" s="886"/>
      <c r="AC41" s="788"/>
      <c r="AD41" s="788"/>
      <c r="AE41" s="787"/>
      <c r="AF41" s="787"/>
      <c r="AG41" s="787"/>
      <c r="AH41" s="787"/>
    </row>
    <row r="42" spans="1:34" s="12" customFormat="1" ht="12.75">
      <c r="A42" s="815"/>
      <c r="B42" s="814"/>
      <c r="C42" s="1760"/>
      <c r="D42" s="45"/>
      <c r="E42" s="1761"/>
      <c r="F42" s="1760"/>
      <c r="G42" s="45"/>
      <c r="H42" s="45"/>
      <c r="I42" s="45"/>
      <c r="J42" s="45"/>
      <c r="K42" s="45"/>
      <c r="L42" s="886"/>
      <c r="M42" s="886"/>
      <c r="N42" s="886"/>
      <c r="O42" s="886"/>
      <c r="P42" s="886"/>
      <c r="Q42" s="886"/>
      <c r="R42" s="886"/>
      <c r="S42" s="886"/>
      <c r="T42" s="886"/>
      <c r="U42" s="886"/>
      <c r="V42" s="886"/>
      <c r="W42" s="886"/>
      <c r="X42" s="886"/>
      <c r="Y42" s="886"/>
      <c r="Z42" s="886"/>
      <c r="AA42" s="886"/>
      <c r="AB42" s="886"/>
      <c r="AC42" s="788"/>
      <c r="AD42" s="788"/>
      <c r="AE42" s="787"/>
      <c r="AF42" s="787"/>
      <c r="AG42" s="787"/>
      <c r="AH42" s="787"/>
    </row>
    <row r="43" spans="1:34" s="12" customFormat="1" ht="12.75">
      <c r="A43" s="815"/>
      <c r="B43" s="814"/>
      <c r="C43" s="1760"/>
      <c r="D43" s="45"/>
      <c r="E43" s="1761"/>
      <c r="F43" s="1760"/>
      <c r="G43" s="45"/>
      <c r="H43" s="45"/>
      <c r="I43" s="45"/>
      <c r="J43" s="45"/>
      <c r="K43" s="45"/>
      <c r="L43" s="886"/>
      <c r="M43" s="886"/>
      <c r="N43" s="886"/>
      <c r="O43" s="886"/>
      <c r="P43" s="886"/>
      <c r="Q43" s="886"/>
      <c r="R43" s="886"/>
      <c r="S43" s="886"/>
      <c r="T43" s="886"/>
      <c r="U43" s="886"/>
      <c r="V43" s="886"/>
      <c r="W43" s="886"/>
      <c r="X43" s="886"/>
      <c r="Y43" s="886"/>
      <c r="Z43" s="886"/>
      <c r="AA43" s="886"/>
      <c r="AB43" s="886"/>
      <c r="AC43" s="788"/>
      <c r="AD43" s="788"/>
      <c r="AE43" s="787"/>
      <c r="AF43" s="787"/>
      <c r="AG43" s="787"/>
      <c r="AH43" s="787"/>
    </row>
    <row r="44" spans="1:34" s="12" customFormat="1" ht="12.75">
      <c r="A44" s="815"/>
      <c r="B44" s="814"/>
      <c r="C44" s="1760"/>
      <c r="D44" s="45"/>
      <c r="E44" s="1761"/>
      <c r="F44" s="1760"/>
      <c r="G44" s="45"/>
      <c r="H44" s="45"/>
      <c r="I44" s="45"/>
      <c r="J44" s="45"/>
      <c r="K44" s="45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788"/>
      <c r="AD44" s="788"/>
      <c r="AE44" s="787"/>
      <c r="AF44" s="787"/>
      <c r="AG44" s="787"/>
      <c r="AH44" s="787"/>
    </row>
    <row r="45" spans="1:34" s="12" customFormat="1" ht="12.75">
      <c r="A45" s="815"/>
      <c r="B45" s="814"/>
      <c r="C45" s="1760"/>
      <c r="D45" s="1760"/>
      <c r="E45" s="1761"/>
      <c r="F45" s="1760"/>
      <c r="G45" s="45"/>
      <c r="H45" s="45"/>
      <c r="I45" s="45"/>
      <c r="J45" s="45"/>
      <c r="K45" s="45"/>
      <c r="L45" s="886"/>
      <c r="M45" s="886"/>
      <c r="N45" s="886"/>
      <c r="O45" s="886"/>
      <c r="P45" s="886"/>
      <c r="Q45" s="886"/>
      <c r="R45" s="886"/>
      <c r="S45" s="886"/>
      <c r="T45" s="886"/>
      <c r="U45" s="886"/>
      <c r="V45" s="886"/>
      <c r="W45" s="886"/>
      <c r="X45" s="886"/>
      <c r="Y45" s="886"/>
      <c r="Z45" s="886"/>
      <c r="AA45" s="886"/>
      <c r="AB45" s="886"/>
      <c r="AC45" s="788"/>
      <c r="AD45" s="788"/>
      <c r="AE45" s="787"/>
      <c r="AF45" s="787"/>
      <c r="AG45" s="787"/>
      <c r="AH45" s="787"/>
    </row>
    <row r="46" spans="1:34" s="12" customFormat="1" ht="12.75">
      <c r="A46" s="821"/>
      <c r="B46" s="817"/>
      <c r="C46" s="45"/>
      <c r="D46" s="45"/>
      <c r="E46" s="1761"/>
      <c r="F46" s="45"/>
      <c r="G46" s="45"/>
      <c r="H46" s="45"/>
      <c r="I46" s="45"/>
      <c r="J46" s="45"/>
      <c r="K46" s="45"/>
      <c r="L46" s="886"/>
      <c r="M46" s="886"/>
      <c r="N46" s="886"/>
      <c r="O46" s="886"/>
      <c r="P46" s="886"/>
      <c r="Q46" s="886"/>
      <c r="R46" s="886"/>
      <c r="S46" s="886"/>
      <c r="T46" s="886"/>
      <c r="U46" s="886"/>
      <c r="V46" s="886"/>
      <c r="W46" s="886"/>
      <c r="X46" s="886"/>
      <c r="Y46" s="886"/>
      <c r="Z46" s="886"/>
      <c r="AA46" s="886"/>
      <c r="AB46" s="886"/>
      <c r="AC46" s="788"/>
      <c r="AD46" s="788"/>
      <c r="AE46" s="787"/>
      <c r="AF46" s="787"/>
      <c r="AG46" s="787"/>
      <c r="AH46" s="787"/>
    </row>
    <row r="47" spans="1:34" s="12" customFormat="1" ht="12.75">
      <c r="A47" s="815"/>
      <c r="B47" s="814"/>
      <c r="C47" s="45"/>
      <c r="D47" s="45"/>
      <c r="E47" s="1752"/>
      <c r="F47" s="45"/>
      <c r="G47" s="45"/>
      <c r="H47" s="45"/>
      <c r="I47" s="45"/>
      <c r="J47" s="45"/>
      <c r="K47" s="45"/>
      <c r="L47" s="886"/>
      <c r="M47" s="886"/>
      <c r="N47" s="886"/>
      <c r="O47" s="886"/>
      <c r="P47" s="886"/>
      <c r="Q47" s="886"/>
      <c r="R47" s="886"/>
      <c r="S47" s="886"/>
      <c r="T47" s="886"/>
      <c r="U47" s="886"/>
      <c r="V47" s="886"/>
      <c r="W47" s="886"/>
      <c r="X47" s="886"/>
      <c r="Y47" s="886"/>
      <c r="Z47" s="886"/>
      <c r="AA47" s="886"/>
      <c r="AB47" s="886"/>
      <c r="AC47" s="788"/>
      <c r="AD47" s="788"/>
      <c r="AE47" s="787"/>
      <c r="AF47" s="787"/>
      <c r="AG47" s="787"/>
      <c r="AH47" s="787"/>
    </row>
    <row r="48" spans="1:34" s="12" customFormat="1" ht="12.75">
      <c r="A48" s="821"/>
      <c r="B48" s="814"/>
      <c r="C48" s="1760"/>
      <c r="D48" s="1760"/>
      <c r="E48" s="1762"/>
      <c r="F48" s="1760"/>
      <c r="G48" s="45"/>
      <c r="H48" s="45"/>
      <c r="I48" s="45"/>
      <c r="J48" s="45"/>
      <c r="K48" s="45"/>
      <c r="L48" s="886"/>
      <c r="M48" s="886"/>
      <c r="N48" s="886"/>
      <c r="O48" s="886"/>
      <c r="P48" s="886"/>
      <c r="Q48" s="886"/>
      <c r="R48" s="886"/>
      <c r="S48" s="886"/>
      <c r="T48" s="886"/>
      <c r="U48" s="886"/>
      <c r="V48" s="886"/>
      <c r="W48" s="886"/>
      <c r="X48" s="886"/>
      <c r="Y48" s="886"/>
      <c r="Z48" s="886"/>
      <c r="AA48" s="886"/>
      <c r="AB48" s="886"/>
      <c r="AC48" s="788"/>
      <c r="AD48" s="788"/>
      <c r="AE48" s="787"/>
      <c r="AF48" s="787"/>
      <c r="AG48" s="787"/>
      <c r="AH48" s="787"/>
    </row>
    <row r="49" spans="1:34" s="12" customFormat="1" ht="12.75">
      <c r="A49" s="815"/>
      <c r="B49" s="817"/>
      <c r="C49" s="45"/>
      <c r="D49" s="45"/>
      <c r="E49" s="45"/>
      <c r="F49" s="45"/>
      <c r="G49" s="45"/>
      <c r="H49" s="45"/>
      <c r="I49" s="45"/>
      <c r="J49" s="45"/>
      <c r="K49" s="45"/>
      <c r="L49" s="886"/>
      <c r="M49" s="886"/>
      <c r="N49" s="886"/>
      <c r="O49" s="886"/>
      <c r="P49" s="886"/>
      <c r="Q49" s="886"/>
      <c r="R49" s="886"/>
      <c r="S49" s="886"/>
      <c r="T49" s="886"/>
      <c r="U49" s="886"/>
      <c r="V49" s="886"/>
      <c r="W49" s="886"/>
      <c r="X49" s="886"/>
      <c r="Y49" s="886"/>
      <c r="Z49" s="886"/>
      <c r="AA49" s="886"/>
      <c r="AB49" s="886"/>
      <c r="AC49" s="788"/>
      <c r="AD49" s="788"/>
      <c r="AE49" s="787"/>
      <c r="AF49" s="787"/>
      <c r="AG49" s="787"/>
      <c r="AH49" s="787"/>
    </row>
    <row r="50" spans="1:34" s="12" customFormat="1" ht="12.75">
      <c r="A50" s="815"/>
      <c r="B50" s="817"/>
      <c r="C50" s="45"/>
      <c r="D50" s="45"/>
      <c r="E50" s="1752"/>
      <c r="F50" s="45"/>
      <c r="G50" s="45"/>
      <c r="H50" s="45"/>
      <c r="I50" s="45"/>
      <c r="J50" s="45"/>
      <c r="K50" s="45"/>
      <c r="L50" s="886"/>
      <c r="M50" s="886"/>
      <c r="N50" s="886"/>
      <c r="O50" s="886"/>
      <c r="P50" s="886"/>
      <c r="Q50" s="886"/>
      <c r="R50" s="886"/>
      <c r="S50" s="886"/>
      <c r="T50" s="886"/>
      <c r="U50" s="886"/>
      <c r="V50" s="886"/>
      <c r="W50" s="886"/>
      <c r="X50" s="886"/>
      <c r="Y50" s="886"/>
      <c r="Z50" s="886"/>
      <c r="AA50" s="886"/>
      <c r="AB50" s="886"/>
      <c r="AC50" s="788"/>
      <c r="AD50" s="788"/>
      <c r="AE50" s="787"/>
      <c r="AF50" s="787"/>
      <c r="AG50" s="787"/>
      <c r="AH50" s="787"/>
    </row>
    <row r="51" spans="1:34" s="12" customFormat="1" ht="12.75">
      <c r="A51" s="815"/>
      <c r="B51" s="817"/>
      <c r="C51" s="45"/>
      <c r="D51" s="45"/>
      <c r="E51" s="1752"/>
      <c r="F51" s="45"/>
      <c r="G51" s="45"/>
      <c r="H51" s="45"/>
      <c r="I51" s="45"/>
      <c r="J51" s="45"/>
      <c r="K51" s="45"/>
      <c r="L51" s="886"/>
      <c r="M51" s="886"/>
      <c r="N51" s="886"/>
      <c r="O51" s="886"/>
      <c r="P51" s="886"/>
      <c r="Q51" s="886"/>
      <c r="R51" s="886"/>
      <c r="S51" s="886"/>
      <c r="T51" s="886"/>
      <c r="U51" s="886"/>
      <c r="V51" s="886"/>
      <c r="W51" s="886"/>
      <c r="X51" s="886"/>
      <c r="Y51" s="886"/>
      <c r="Z51" s="886"/>
      <c r="AA51" s="886"/>
      <c r="AB51" s="886"/>
      <c r="AC51" s="788"/>
      <c r="AD51" s="788"/>
      <c r="AE51" s="787"/>
      <c r="AF51" s="787"/>
      <c r="AG51" s="787"/>
      <c r="AH51" s="787"/>
    </row>
    <row r="52" spans="1:34" s="12" customFormat="1" ht="12.75">
      <c r="A52" s="815"/>
      <c r="B52" s="814"/>
      <c r="C52" s="45"/>
      <c r="D52" s="886"/>
      <c r="E52" s="1762"/>
      <c r="F52" s="1760"/>
      <c r="G52" s="886"/>
      <c r="H52" s="886"/>
      <c r="I52" s="886"/>
      <c r="J52" s="886"/>
      <c r="K52" s="886"/>
      <c r="L52" s="886"/>
      <c r="M52" s="886"/>
      <c r="N52" s="886"/>
      <c r="O52" s="886"/>
      <c r="P52" s="886"/>
      <c r="Q52" s="886"/>
      <c r="R52" s="886"/>
      <c r="S52" s="886"/>
      <c r="T52" s="886"/>
      <c r="U52" s="886"/>
      <c r="V52" s="886"/>
      <c r="W52" s="886"/>
      <c r="X52" s="886"/>
      <c r="Y52" s="886"/>
      <c r="Z52" s="886"/>
      <c r="AA52" s="886"/>
      <c r="AB52" s="886"/>
      <c r="AC52" s="788"/>
      <c r="AD52" s="788"/>
      <c r="AE52" s="787"/>
      <c r="AF52" s="787"/>
      <c r="AG52" s="787"/>
      <c r="AH52" s="787"/>
    </row>
    <row r="53" spans="1:34" s="12" customFormat="1" ht="12.75">
      <c r="A53" s="821"/>
      <c r="B53" s="822"/>
      <c r="C53" s="45"/>
      <c r="D53" s="886"/>
      <c r="E53" s="886"/>
      <c r="F53" s="1760"/>
      <c r="G53" s="886"/>
      <c r="H53" s="886"/>
      <c r="I53" s="886"/>
      <c r="J53" s="886"/>
      <c r="K53" s="886"/>
      <c r="L53" s="886"/>
      <c r="M53" s="886"/>
      <c r="N53" s="886"/>
      <c r="O53" s="886"/>
      <c r="P53" s="886"/>
      <c r="Q53" s="886"/>
      <c r="R53" s="886"/>
      <c r="S53" s="886"/>
      <c r="T53" s="886"/>
      <c r="U53" s="886"/>
      <c r="V53" s="886"/>
      <c r="W53" s="886"/>
      <c r="X53" s="886"/>
      <c r="Y53" s="886"/>
      <c r="Z53" s="886"/>
      <c r="AA53" s="886"/>
      <c r="AB53" s="886"/>
      <c r="AC53" s="788"/>
      <c r="AD53" s="788"/>
      <c r="AE53" s="787"/>
      <c r="AF53" s="787"/>
      <c r="AG53" s="787"/>
      <c r="AH53" s="787"/>
    </row>
    <row r="54" spans="1:34" s="12" customFormat="1" ht="12.75">
      <c r="A54" s="574"/>
      <c r="B54" s="575"/>
      <c r="C54" s="1774"/>
      <c r="D54" s="1775"/>
      <c r="E54" s="1775"/>
      <c r="F54" s="1776"/>
      <c r="G54" s="1777"/>
      <c r="H54" s="1777"/>
      <c r="I54" s="1777"/>
      <c r="J54" s="1777"/>
      <c r="K54" s="1777"/>
      <c r="L54" s="1778"/>
      <c r="M54" s="1778"/>
      <c r="N54" s="1778"/>
      <c r="O54" s="1778"/>
      <c r="P54" s="1778"/>
      <c r="Q54" s="1778"/>
      <c r="R54" s="1778"/>
      <c r="S54" s="1778"/>
      <c r="T54" s="1778"/>
      <c r="U54" s="1778"/>
      <c r="V54" s="1778"/>
      <c r="W54" s="1778"/>
      <c r="X54" s="1778"/>
      <c r="Y54" s="1778"/>
      <c r="Z54" s="1778"/>
      <c r="AA54" s="1778"/>
      <c r="AB54" s="1778"/>
      <c r="AC54" s="788"/>
      <c r="AD54" s="788"/>
      <c r="AE54" s="787"/>
      <c r="AF54" s="787"/>
      <c r="AG54" s="787"/>
      <c r="AH54" s="787"/>
    </row>
    <row r="55" spans="1:34" s="12" customFormat="1" ht="12.75">
      <c r="A55" s="576"/>
      <c r="B55" s="576" t="s">
        <v>371</v>
      </c>
      <c r="C55" s="1778">
        <f>SUM(C15:C54)</f>
        <v>0</v>
      </c>
      <c r="D55" s="1778">
        <f>SUM(D15:D54)</f>
        <v>1518000</v>
      </c>
      <c r="E55" s="1778"/>
      <c r="F55" s="1778">
        <f t="shared" ref="F55:V55" si="5">SUM(F15:F54)</f>
        <v>1518000</v>
      </c>
      <c r="G55" s="1778">
        <f t="shared" si="5"/>
        <v>124926.72</v>
      </c>
      <c r="H55" s="1778">
        <f t="shared" si="5"/>
        <v>0</v>
      </c>
      <c r="I55" s="1778">
        <f>SUM(I15:I54)</f>
        <v>1174200</v>
      </c>
      <c r="J55" s="1778">
        <f t="shared" si="5"/>
        <v>0</v>
      </c>
      <c r="K55" s="1778">
        <f t="shared" si="5"/>
        <v>0</v>
      </c>
      <c r="L55" s="1778">
        <f t="shared" si="5"/>
        <v>1174200</v>
      </c>
      <c r="M55" s="1778">
        <f t="shared" si="5"/>
        <v>0</v>
      </c>
      <c r="N55" s="1778">
        <f t="shared" si="5"/>
        <v>124926.72</v>
      </c>
      <c r="O55" s="1778">
        <f t="shared" si="5"/>
        <v>2.7</v>
      </c>
      <c r="P55" s="1778">
        <f t="shared" si="5"/>
        <v>1242000</v>
      </c>
      <c r="Q55" s="1778">
        <f t="shared" si="5"/>
        <v>0</v>
      </c>
      <c r="R55" s="1778">
        <f t="shared" si="5"/>
        <v>0</v>
      </c>
      <c r="S55" s="1778">
        <f t="shared" si="5"/>
        <v>781920</v>
      </c>
      <c r="T55" s="374">
        <f>W55-L55</f>
        <v>0</v>
      </c>
      <c r="U55" s="1778">
        <f>SUM(U15:U54)</f>
        <v>1174200</v>
      </c>
      <c r="V55" s="1778">
        <f t="shared" si="5"/>
        <v>4</v>
      </c>
      <c r="W55" s="1778">
        <f>SUM(W15:W54)</f>
        <v>1174200</v>
      </c>
      <c r="X55" s="1778">
        <f>SUM(X14:X54)</f>
        <v>10680</v>
      </c>
      <c r="Y55" s="1778">
        <f>SUM(Y14:Y54)</f>
        <v>10680</v>
      </c>
      <c r="Z55" s="1778">
        <f>SUM(Z14:Z54)</f>
        <v>0</v>
      </c>
      <c r="AA55" s="1778">
        <f>SUM(AA14:AA54)</f>
        <v>0</v>
      </c>
      <c r="AB55" s="1778">
        <f>SUM(AB15:AB54)</f>
        <v>1174200</v>
      </c>
      <c r="AC55" s="788"/>
      <c r="AD55" s="788"/>
      <c r="AE55" s="787"/>
      <c r="AF55" s="787"/>
      <c r="AG55" s="787"/>
      <c r="AH55" s="787"/>
    </row>
    <row r="56" spans="1:34" s="12" customFormat="1">
      <c r="A56" s="43"/>
      <c r="B56" s="44"/>
      <c r="C56" s="213"/>
      <c r="D56" s="213"/>
      <c r="E56" s="213"/>
      <c r="F56" s="1769"/>
      <c r="G56" s="1769"/>
      <c r="H56" s="1769"/>
      <c r="I56" s="1769"/>
      <c r="J56" s="1769"/>
      <c r="K56" s="1769"/>
      <c r="L56" s="1769"/>
      <c r="M56" s="1769"/>
      <c r="N56" s="1769"/>
      <c r="O56" s="213"/>
      <c r="P56" s="1769"/>
      <c r="Q56" s="213"/>
      <c r="R56" s="213"/>
      <c r="S56" s="788"/>
      <c r="T56" s="788"/>
      <c r="U56" s="213"/>
      <c r="V56" s="213"/>
      <c r="W56" s="1769"/>
      <c r="X56" s="212"/>
      <c r="Y56" s="212"/>
      <c r="Z56" s="212"/>
      <c r="AA56" s="212"/>
      <c r="AB56" s="652"/>
      <c r="AC56" s="788"/>
      <c r="AD56" s="788"/>
      <c r="AE56" s="787"/>
      <c r="AF56" s="787"/>
      <c r="AG56" s="787"/>
      <c r="AH56" s="787"/>
    </row>
    <row r="57" spans="1:34" s="12" customFormat="1">
      <c r="A57" s="43"/>
      <c r="B57" s="44"/>
      <c r="C57" s="213"/>
      <c r="D57" s="213"/>
      <c r="E57" s="213"/>
      <c r="F57" s="1769"/>
      <c r="G57" s="1769"/>
      <c r="H57" s="1769"/>
      <c r="I57" s="1769"/>
      <c r="J57" s="1769"/>
      <c r="K57" s="1769"/>
      <c r="L57" s="1769"/>
      <c r="M57" s="1769"/>
      <c r="N57" s="1769"/>
      <c r="O57" s="213"/>
      <c r="P57" s="1769"/>
      <c r="Q57" s="213"/>
      <c r="R57" s="213"/>
      <c r="S57" s="788"/>
      <c r="T57" s="788"/>
      <c r="U57" s="213"/>
      <c r="V57" s="213"/>
      <c r="W57" s="1769"/>
      <c r="X57" s="212"/>
      <c r="Y57" s="212"/>
      <c r="Z57" s="212"/>
      <c r="AA57" s="212"/>
      <c r="AB57" s="212"/>
      <c r="AC57" s="788"/>
      <c r="AD57" s="788"/>
      <c r="AE57" s="787"/>
      <c r="AF57" s="787"/>
      <c r="AG57" s="787"/>
      <c r="AH57" s="787"/>
    </row>
    <row r="58" spans="1:34" s="12" customFormat="1">
      <c r="A58" s="10"/>
      <c r="B58" s="454"/>
      <c r="C58" s="213"/>
      <c r="D58" s="213"/>
      <c r="E58" s="213"/>
      <c r="F58" s="1769"/>
      <c r="G58" s="213"/>
      <c r="H58" s="213"/>
      <c r="I58" s="213"/>
      <c r="J58" s="213"/>
      <c r="K58" s="213"/>
      <c r="L58" s="213"/>
      <c r="M58" s="213"/>
      <c r="N58" s="213"/>
      <c r="O58" s="213"/>
      <c r="P58" s="213"/>
      <c r="Q58" s="788"/>
      <c r="R58" s="213"/>
      <c r="S58" s="788"/>
      <c r="T58" s="788"/>
      <c r="U58" s="213"/>
      <c r="V58" s="213"/>
      <c r="W58" s="1769"/>
      <c r="X58" s="212"/>
      <c r="Y58" s="212"/>
      <c r="Z58" s="212"/>
      <c r="AA58" s="212"/>
      <c r="AB58" s="212"/>
      <c r="AC58" s="788"/>
      <c r="AD58" s="788"/>
      <c r="AE58" s="787"/>
      <c r="AF58" s="787"/>
      <c r="AG58" s="787"/>
      <c r="AH58" s="787"/>
    </row>
    <row r="59" spans="1:34" s="12" customFormat="1">
      <c r="A59" s="10"/>
      <c r="B59" s="454"/>
      <c r="C59" s="213"/>
      <c r="D59" s="213"/>
      <c r="E59" s="213"/>
      <c r="F59" s="1769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788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7"/>
      <c r="AF59" s="787"/>
      <c r="AG59" s="787"/>
      <c r="AH59" s="787"/>
    </row>
    <row r="60" spans="1:34" s="12" customFormat="1">
      <c r="A60" s="10"/>
      <c r="B60" s="454"/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213"/>
      <c r="S60" s="788"/>
      <c r="T60" s="788"/>
      <c r="U60" s="213"/>
      <c r="V60" s="213"/>
      <c r="W60" s="213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 t="s">
        <v>59</v>
      </c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788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788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7"/>
      <c r="AF72" s="787"/>
      <c r="AG72" s="787"/>
      <c r="AH72" s="787"/>
    </row>
  </sheetData>
  <mergeCells count="8">
    <mergeCell ref="AB8:AB12"/>
    <mergeCell ref="A15:A16"/>
    <mergeCell ref="E1:F1"/>
    <mergeCell ref="U8:W9"/>
    <mergeCell ref="X8:X12"/>
    <mergeCell ref="Y8:Y12"/>
    <mergeCell ref="Z8:Z12"/>
    <mergeCell ref="AA8:AA12"/>
  </mergeCells>
  <phoneticPr fontId="0" type="noConversion"/>
  <conditionalFormatting sqref="T55">
    <cfRule type="cellIs" dxfId="65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5" orientation="landscape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9">
    <pageSetUpPr fitToPage="1"/>
  </sheetPr>
  <dimension ref="A1:AE75"/>
  <sheetViews>
    <sheetView showGridLines="0" showZeros="0" view="pageBreakPreview" topLeftCell="L4" zoomScaleNormal="100" workbookViewId="0">
      <selection activeCell="L23" sqref="L23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449</v>
      </c>
      <c r="C2" s="826"/>
      <c r="D2" s="826"/>
      <c r="E2" s="827"/>
      <c r="F2" s="826"/>
      <c r="G2" s="826"/>
      <c r="H2" s="826"/>
      <c r="I2" s="826"/>
      <c r="J2" s="826"/>
      <c r="K2" s="826"/>
      <c r="L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448</v>
      </c>
      <c r="H3" s="828"/>
      <c r="I3" s="828"/>
      <c r="J3" s="828"/>
      <c r="K3" s="828"/>
      <c r="L3" s="828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829" t="s">
        <v>61</v>
      </c>
      <c r="B4" s="306" t="s">
        <v>447</v>
      </c>
      <c r="C4" s="1325"/>
      <c r="D4" s="1325"/>
      <c r="E4" s="2150"/>
      <c r="F4" s="1324"/>
      <c r="G4" s="825"/>
      <c r="H4" s="825"/>
      <c r="I4" s="825"/>
      <c r="J4" s="825"/>
      <c r="K4" s="825"/>
      <c r="L4" s="825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201400652</v>
      </c>
      <c r="C5" s="828"/>
      <c r="D5" s="828"/>
      <c r="E5" s="831"/>
      <c r="F5" s="825"/>
      <c r="G5" s="825"/>
      <c r="H5" s="826"/>
      <c r="I5" s="826"/>
      <c r="J5" s="825"/>
      <c r="K5" s="832"/>
      <c r="L5" s="825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/>
      <c r="C6" s="828"/>
      <c r="D6" s="828"/>
      <c r="E6" s="831"/>
      <c r="F6" s="825"/>
      <c r="G6" s="825"/>
      <c r="H6" s="833"/>
      <c r="I6" s="834"/>
      <c r="J6" s="835"/>
      <c r="K6" s="829"/>
      <c r="L6" s="82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393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324"/>
      <c r="B13" s="324" t="s">
        <v>35</v>
      </c>
      <c r="C13" s="325" t="s">
        <v>36</v>
      </c>
      <c r="D13" s="325"/>
      <c r="E13" s="348"/>
      <c r="F13" s="326" t="s">
        <v>37</v>
      </c>
      <c r="G13" s="326" t="s">
        <v>38</v>
      </c>
      <c r="H13" s="326" t="s">
        <v>39</v>
      </c>
      <c r="I13" s="326" t="s">
        <v>40</v>
      </c>
      <c r="J13" s="326" t="s">
        <v>41</v>
      </c>
      <c r="K13" s="326" t="s">
        <v>42</v>
      </c>
      <c r="L13" s="326" t="s">
        <v>43</v>
      </c>
      <c r="M13" s="326" t="s">
        <v>44</v>
      </c>
      <c r="N13" s="326" t="s">
        <v>45</v>
      </c>
      <c r="O13" s="325"/>
      <c r="P13" s="326" t="s">
        <v>37</v>
      </c>
      <c r="Q13" s="325" t="s">
        <v>46</v>
      </c>
      <c r="R13" s="325"/>
      <c r="S13" s="327" t="s">
        <v>47</v>
      </c>
      <c r="T13" s="328" t="s">
        <v>48</v>
      </c>
      <c r="U13" s="325"/>
      <c r="V13" s="325"/>
      <c r="W13" s="326" t="s">
        <v>37</v>
      </c>
      <c r="X13" s="328" t="s">
        <v>86</v>
      </c>
      <c r="Y13" s="328"/>
      <c r="Z13" s="328"/>
      <c r="AA13" s="328"/>
      <c r="AB13" s="328"/>
    </row>
    <row r="14" spans="1:31" ht="15.75" customHeight="1">
      <c r="A14" s="349"/>
      <c r="B14" s="350"/>
      <c r="C14" s="351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354"/>
      <c r="B15" s="355"/>
      <c r="C15" s="145"/>
      <c r="D15" s="335"/>
      <c r="E15" s="356"/>
      <c r="F15" s="188">
        <f>D15*E15</f>
        <v>0</v>
      </c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>
        <f>U15*V15</f>
        <v>0</v>
      </c>
      <c r="X15" s="136"/>
      <c r="Y15" s="136"/>
      <c r="Z15" s="136"/>
      <c r="AA15" s="136"/>
      <c r="AB15" s="136">
        <v>0</v>
      </c>
    </row>
    <row r="16" spans="1:31">
      <c r="A16" s="178">
        <v>1</v>
      </c>
      <c r="B16" s="366" t="s">
        <v>446</v>
      </c>
      <c r="C16" s="124">
        <f>F16</f>
        <v>96000</v>
      </c>
      <c r="D16" s="124">
        <f>5760000/60</f>
        <v>96000</v>
      </c>
      <c r="E16" s="357">
        <v>1</v>
      </c>
      <c r="F16" s="124">
        <f>D16*E16</f>
        <v>96000</v>
      </c>
      <c r="G16" s="143"/>
      <c r="H16" s="143"/>
      <c r="I16" s="187">
        <v>97768.359816268465</v>
      </c>
      <c r="J16" s="143"/>
      <c r="K16" s="143"/>
      <c r="L16" s="1497">
        <v>97768.359816268465</v>
      </c>
      <c r="M16" s="143"/>
      <c r="N16" s="143">
        <f>G16</f>
        <v>0</v>
      </c>
      <c r="O16" s="143">
        <f>+P16/D16</f>
        <v>1.0184204147527964</v>
      </c>
      <c r="P16" s="124">
        <v>97768.35981626845</v>
      </c>
      <c r="Q16" s="358"/>
      <c r="R16" s="124"/>
      <c r="S16" s="143">
        <f t="shared" ref="S16:S19" si="0">+P16-R16</f>
        <v>97768.35981626845</v>
      </c>
      <c r="T16" s="143"/>
      <c r="U16" s="124">
        <v>96000</v>
      </c>
      <c r="V16" s="357">
        <v>1</v>
      </c>
      <c r="W16" s="124">
        <f t="shared" ref="W16:W23" si="1">V16*U16</f>
        <v>96000</v>
      </c>
      <c r="X16" s="143">
        <v>97768.359816268465</v>
      </c>
      <c r="Y16" s="143"/>
      <c r="Z16" s="143">
        <v>97768.35981626845</v>
      </c>
      <c r="AA16" s="143"/>
      <c r="AB16" s="143">
        <v>96000</v>
      </c>
    </row>
    <row r="17" spans="1:31">
      <c r="A17" s="178"/>
      <c r="B17" s="366"/>
      <c r="C17" s="124"/>
      <c r="D17" s="124"/>
      <c r="E17" s="357"/>
      <c r="F17" s="124"/>
      <c r="G17" s="143"/>
      <c r="H17" s="143"/>
      <c r="I17" s="187">
        <v>0</v>
      </c>
      <c r="J17" s="143"/>
      <c r="K17" s="143">
        <f>+K16/1.2</f>
        <v>0</v>
      </c>
      <c r="L17" s="143">
        <v>0</v>
      </c>
      <c r="M17" s="143">
        <f>+M16/1.2</f>
        <v>0</v>
      </c>
      <c r="N17" s="143">
        <f>+N16/1.2</f>
        <v>0</v>
      </c>
      <c r="O17" s="143"/>
      <c r="Q17" s="141"/>
      <c r="R17" s="124"/>
      <c r="S17" s="143">
        <f t="shared" si="0"/>
        <v>0</v>
      </c>
      <c r="T17" s="143"/>
      <c r="U17" s="124">
        <v>0</v>
      </c>
      <c r="V17" s="190"/>
      <c r="W17" s="124">
        <f t="shared" si="1"/>
        <v>0</v>
      </c>
      <c r="X17" s="143">
        <v>0</v>
      </c>
      <c r="Y17" s="143"/>
      <c r="Z17" s="143"/>
      <c r="AA17" s="143"/>
      <c r="AB17" s="143">
        <v>0</v>
      </c>
      <c r="AC17" s="305"/>
      <c r="AD17" s="305"/>
      <c r="AE17" s="305"/>
    </row>
    <row r="18" spans="1:31">
      <c r="A18" s="178">
        <v>3</v>
      </c>
      <c r="B18" s="366" t="s">
        <v>445</v>
      </c>
      <c r="C18" s="124">
        <f>F18</f>
        <v>63000</v>
      </c>
      <c r="D18" s="124">
        <f>3780000/60</f>
        <v>63000</v>
      </c>
      <c r="E18" s="357">
        <v>1</v>
      </c>
      <c r="F18" s="124">
        <f>D18*E18</f>
        <v>63000</v>
      </c>
      <c r="G18" s="143"/>
      <c r="H18" s="143"/>
      <c r="I18" s="187">
        <v>64160.486129426165</v>
      </c>
      <c r="J18" s="143"/>
      <c r="K18" s="143"/>
      <c r="L18" s="1497">
        <v>64160.486129426165</v>
      </c>
      <c r="M18" s="143"/>
      <c r="N18" s="143"/>
      <c r="O18" s="143">
        <f t="shared" ref="O18:O23" si="2">+P18/D18</f>
        <v>1.0184204147527962</v>
      </c>
      <c r="P18" s="143">
        <v>64160.486129426165</v>
      </c>
      <c r="Q18" s="141"/>
      <c r="R18" s="143"/>
      <c r="S18" s="143">
        <f t="shared" si="0"/>
        <v>64160.486129426165</v>
      </c>
      <c r="T18" s="143"/>
      <c r="U18" s="124">
        <v>63000</v>
      </c>
      <c r="V18" s="190">
        <v>1</v>
      </c>
      <c r="W18" s="124">
        <f t="shared" si="1"/>
        <v>63000</v>
      </c>
      <c r="X18" s="143">
        <v>64160.486129426165</v>
      </c>
      <c r="Y18" s="143"/>
      <c r="Z18" s="143">
        <v>64160.486129426165</v>
      </c>
      <c r="AA18" s="143"/>
      <c r="AB18" s="143">
        <v>63000</v>
      </c>
      <c r="AC18" s="305"/>
      <c r="AD18" s="305"/>
      <c r="AE18" s="305"/>
    </row>
    <row r="19" spans="1:31">
      <c r="A19" s="178"/>
      <c r="B19" s="366"/>
      <c r="C19" s="124"/>
      <c r="D19" s="124"/>
      <c r="E19" s="357"/>
      <c r="F19" s="124"/>
      <c r="G19" s="143"/>
      <c r="H19" s="143"/>
      <c r="I19" s="187">
        <v>0</v>
      </c>
      <c r="J19" s="143"/>
      <c r="K19" s="143"/>
      <c r="L19" s="143">
        <v>0</v>
      </c>
      <c r="M19" s="143"/>
      <c r="N19" s="143"/>
      <c r="O19" s="143"/>
      <c r="Q19" s="141"/>
      <c r="R19" s="143"/>
      <c r="S19" s="143">
        <f t="shared" si="0"/>
        <v>0</v>
      </c>
      <c r="T19" s="143"/>
      <c r="U19" s="124">
        <v>0</v>
      </c>
      <c r="V19" s="190"/>
      <c r="W19" s="124">
        <f t="shared" si="1"/>
        <v>0</v>
      </c>
      <c r="X19" s="143">
        <v>0</v>
      </c>
      <c r="Y19" s="143"/>
      <c r="Z19" s="143"/>
      <c r="AA19" s="143"/>
      <c r="AB19" s="143">
        <v>0</v>
      </c>
      <c r="AC19" s="305"/>
      <c r="AD19" s="305"/>
      <c r="AE19" s="305"/>
    </row>
    <row r="20" spans="1:31">
      <c r="A20" s="178">
        <v>20</v>
      </c>
      <c r="B20" s="366" t="s">
        <v>444</v>
      </c>
      <c r="C20" s="124">
        <f>F20</f>
        <v>40000</v>
      </c>
      <c r="D20" s="124">
        <f>2400000/60</f>
        <v>40000</v>
      </c>
      <c r="E20" s="357">
        <v>1</v>
      </c>
      <c r="F20" s="124">
        <f>D20*E20</f>
        <v>40000</v>
      </c>
      <c r="G20" s="143"/>
      <c r="H20" s="143"/>
      <c r="I20" s="187">
        <v>40736.816590111848</v>
      </c>
      <c r="J20" s="143"/>
      <c r="K20" s="143"/>
      <c r="L20" s="1497">
        <v>40736.816590111848</v>
      </c>
      <c r="M20" s="143"/>
      <c r="N20" s="143"/>
      <c r="O20" s="143">
        <f t="shared" si="2"/>
        <v>1.0184204147527962</v>
      </c>
      <c r="P20" s="143">
        <v>40736.816590111848</v>
      </c>
      <c r="Q20" s="141"/>
      <c r="R20" s="124"/>
      <c r="S20" s="143">
        <f>+P20-R20</f>
        <v>40736.816590111848</v>
      </c>
      <c r="T20" s="143"/>
      <c r="U20" s="124">
        <v>40000</v>
      </c>
      <c r="V20" s="190">
        <v>1</v>
      </c>
      <c r="W20" s="124">
        <f t="shared" si="1"/>
        <v>40000</v>
      </c>
      <c r="X20" s="143">
        <v>40736.816590111848</v>
      </c>
      <c r="Y20" s="143"/>
      <c r="Z20" s="143">
        <v>40736.816590111848</v>
      </c>
      <c r="AA20" s="143"/>
      <c r="AB20" s="143">
        <v>40000</v>
      </c>
      <c r="AC20" s="305"/>
      <c r="AD20" s="305"/>
      <c r="AE20" s="305"/>
    </row>
    <row r="21" spans="1:31" ht="12.75" customHeight="1">
      <c r="A21" s="354"/>
      <c r="B21" s="366"/>
      <c r="C21" s="124"/>
      <c r="D21" s="124"/>
      <c r="E21" s="357"/>
      <c r="F21" s="124"/>
      <c r="G21" s="143"/>
      <c r="H21" s="143"/>
      <c r="I21" s="187">
        <v>0</v>
      </c>
      <c r="J21" s="143"/>
      <c r="K21" s="143"/>
      <c r="L21" s="143">
        <v>0</v>
      </c>
      <c r="M21" s="143"/>
      <c r="N21" s="143"/>
      <c r="O21" s="143"/>
      <c r="P21" s="143"/>
      <c r="Q21" s="141"/>
      <c r="R21" s="124"/>
      <c r="S21" s="143">
        <f t="shared" ref="S21:S23" si="3">+P21-R21</f>
        <v>0</v>
      </c>
      <c r="T21" s="143"/>
      <c r="U21" s="124">
        <v>0</v>
      </c>
      <c r="V21" s="190"/>
      <c r="W21" s="124">
        <f t="shared" si="1"/>
        <v>0</v>
      </c>
      <c r="X21" s="143">
        <v>0</v>
      </c>
      <c r="Y21" s="143"/>
      <c r="Z21" s="143"/>
      <c r="AA21" s="143"/>
      <c r="AB21" s="143">
        <v>0</v>
      </c>
      <c r="AC21" s="305"/>
      <c r="AD21" s="305"/>
      <c r="AE21" s="305"/>
    </row>
    <row r="22" spans="1:31">
      <c r="A22" s="178"/>
      <c r="B22" s="366"/>
      <c r="C22" s="124"/>
      <c r="D22" s="124"/>
      <c r="E22" s="357"/>
      <c r="F22" s="124"/>
      <c r="G22" s="143"/>
      <c r="H22" s="143"/>
      <c r="I22" s="187">
        <v>0</v>
      </c>
      <c r="J22" s="143"/>
      <c r="K22" s="143"/>
      <c r="L22" s="143">
        <v>0</v>
      </c>
      <c r="M22" s="143"/>
      <c r="N22" s="143"/>
      <c r="O22" s="143"/>
      <c r="Q22" s="141"/>
      <c r="R22" s="143"/>
      <c r="S22" s="143">
        <f t="shared" si="3"/>
        <v>0</v>
      </c>
      <c r="T22" s="143"/>
      <c r="U22" s="124">
        <v>0</v>
      </c>
      <c r="V22" s="190"/>
      <c r="W22" s="124">
        <f t="shared" si="1"/>
        <v>0</v>
      </c>
      <c r="X22" s="143">
        <v>0</v>
      </c>
      <c r="Y22" s="143"/>
      <c r="Z22" s="143"/>
      <c r="AA22" s="143"/>
      <c r="AB22" s="143">
        <v>0</v>
      </c>
      <c r="AC22" s="305"/>
      <c r="AD22" s="305"/>
      <c r="AE22" s="305"/>
    </row>
    <row r="23" spans="1:31">
      <c r="A23" s="178">
        <v>22</v>
      </c>
      <c r="B23" s="366" t="s">
        <v>443</v>
      </c>
      <c r="C23" s="124">
        <f>F23</f>
        <v>2500</v>
      </c>
      <c r="D23" s="124">
        <f>150000/60</f>
        <v>2500</v>
      </c>
      <c r="E23" s="357">
        <v>1</v>
      </c>
      <c r="F23" s="124">
        <f>D23*E23</f>
        <v>2500</v>
      </c>
      <c r="G23" s="143"/>
      <c r="H23" s="143"/>
      <c r="I23" s="187">
        <v>2546.0510368819905</v>
      </c>
      <c r="J23" s="143"/>
      <c r="K23" s="143"/>
      <c r="L23" s="1497">
        <v>2546.0510368819905</v>
      </c>
      <c r="M23" s="143"/>
      <c r="N23" s="143"/>
      <c r="O23" s="143">
        <f t="shared" si="2"/>
        <v>1.0184204147527962</v>
      </c>
      <c r="P23" s="143">
        <v>2546.0510368819905</v>
      </c>
      <c r="Q23" s="141"/>
      <c r="R23" s="143"/>
      <c r="S23" s="143">
        <f t="shared" si="3"/>
        <v>2546.0510368819905</v>
      </c>
      <c r="T23" s="143"/>
      <c r="U23" s="124">
        <v>2500</v>
      </c>
      <c r="V23" s="190">
        <v>1</v>
      </c>
      <c r="W23" s="124">
        <f t="shared" si="1"/>
        <v>2500</v>
      </c>
      <c r="X23" s="143">
        <v>2546.0510368819905</v>
      </c>
      <c r="Y23" s="143"/>
      <c r="Z23" s="143">
        <v>2546.0510368819905</v>
      </c>
      <c r="AA23" s="143"/>
      <c r="AB23" s="143">
        <v>2500</v>
      </c>
      <c r="AC23" s="305"/>
      <c r="AD23" s="305"/>
      <c r="AE23" s="305"/>
    </row>
    <row r="24" spans="1:31">
      <c r="A24" s="178"/>
      <c r="B24" s="366"/>
      <c r="C24" s="124"/>
      <c r="D24" s="124"/>
      <c r="E24" s="357"/>
      <c r="F24" s="124"/>
      <c r="G24" s="143"/>
      <c r="H24" s="143"/>
      <c r="I24" s="143"/>
      <c r="J24" s="143"/>
      <c r="K24" s="143"/>
      <c r="L24" s="143">
        <f t="shared" ref="L24:L43" si="4">+I24+J24-K24</f>
        <v>0</v>
      </c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>
        <f>C24</f>
        <v>0</v>
      </c>
      <c r="AC24" s="305"/>
      <c r="AD24" s="305"/>
      <c r="AE24" s="305"/>
    </row>
    <row r="25" spans="1:31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>
        <f t="shared" si="4"/>
        <v>0</v>
      </c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>
        <f>C25</f>
        <v>0</v>
      </c>
      <c r="AC25" s="305"/>
      <c r="AD25" s="305"/>
      <c r="AE25" s="305"/>
    </row>
    <row r="26" spans="1:31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>
        <f t="shared" si="4"/>
        <v>0</v>
      </c>
      <c r="M26" s="143"/>
      <c r="N26" s="143"/>
      <c r="O26" s="143"/>
      <c r="P26" s="143"/>
      <c r="Q26" s="337"/>
      <c r="R26" s="143"/>
      <c r="S26" s="143"/>
      <c r="T26" s="143"/>
      <c r="U26" s="143"/>
      <c r="V26" s="356"/>
      <c r="W26" s="124"/>
      <c r="X26" s="143"/>
      <c r="Y26" s="143"/>
      <c r="Z26" s="143"/>
      <c r="AA26" s="143"/>
      <c r="AB26" s="143"/>
      <c r="AC26" s="305"/>
      <c r="AD26" s="305"/>
      <c r="AE26" s="305"/>
    </row>
    <row r="27" spans="1:31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>
        <f t="shared" si="4"/>
        <v>0</v>
      </c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  <c r="AC27" s="305"/>
      <c r="AD27" s="305"/>
      <c r="AE27" s="305"/>
    </row>
    <row r="28" spans="1:31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>
        <f t="shared" si="4"/>
        <v>0</v>
      </c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  <c r="AC28" s="305"/>
      <c r="AD28" s="305"/>
      <c r="AE28" s="305"/>
    </row>
    <row r="29" spans="1:31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>
        <f t="shared" si="4"/>
        <v>0</v>
      </c>
      <c r="M29" s="124"/>
      <c r="N29" s="124"/>
      <c r="O29" s="124"/>
      <c r="P29" s="143"/>
      <c r="Q29" s="184"/>
      <c r="R29" s="143"/>
      <c r="S29" s="143"/>
      <c r="T29" s="338"/>
      <c r="U29" s="143"/>
      <c r="V29" s="190"/>
      <c r="W29" s="124"/>
      <c r="X29" s="338"/>
      <c r="Y29" s="338"/>
      <c r="Z29" s="338"/>
      <c r="AA29" s="338"/>
      <c r="AB29" s="338"/>
      <c r="AC29" s="305"/>
      <c r="AD29" s="305"/>
      <c r="AE29" s="305"/>
    </row>
    <row r="30" spans="1:31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>
        <f t="shared" si="4"/>
        <v>0</v>
      </c>
      <c r="M30" s="124"/>
      <c r="N30" s="124"/>
      <c r="O30" s="124"/>
      <c r="P30" s="124"/>
      <c r="Q30" s="184"/>
      <c r="R30" s="143"/>
      <c r="S30" s="143"/>
      <c r="T30" s="338"/>
      <c r="U30" s="124"/>
      <c r="V30" s="190"/>
      <c r="W30" s="124"/>
      <c r="X30" s="338"/>
      <c r="Y30" s="338"/>
      <c r="Z30" s="338"/>
      <c r="AA30" s="338"/>
      <c r="AB30" s="338"/>
      <c r="AC30" s="305"/>
      <c r="AD30" s="305"/>
      <c r="AE30" s="305"/>
    </row>
    <row r="31" spans="1:31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si="4"/>
        <v>0</v>
      </c>
      <c r="M31" s="124"/>
      <c r="N31" s="124"/>
      <c r="O31" s="124"/>
      <c r="P31" s="124"/>
      <c r="Q31" s="184"/>
      <c r="R31" s="143"/>
      <c r="S31" s="143"/>
      <c r="T31" s="338"/>
      <c r="U31" s="124"/>
      <c r="V31" s="190"/>
      <c r="W31" s="124"/>
      <c r="X31" s="338"/>
      <c r="Y31" s="338"/>
      <c r="Z31" s="338"/>
      <c r="AA31" s="338"/>
      <c r="AB31" s="338"/>
      <c r="AC31" s="305"/>
      <c r="AD31" s="305"/>
      <c r="AE31" s="305"/>
    </row>
    <row r="32" spans="1:31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4"/>
        <v>0</v>
      </c>
      <c r="M32" s="124"/>
      <c r="N32" s="124"/>
      <c r="O32" s="124"/>
      <c r="P32" s="124"/>
      <c r="Q32" s="184"/>
      <c r="R32" s="143"/>
      <c r="S32" s="143"/>
      <c r="T32" s="338"/>
      <c r="U32" s="124"/>
      <c r="V32" s="190"/>
      <c r="W32" s="124"/>
      <c r="X32" s="338"/>
      <c r="Y32" s="338"/>
      <c r="Z32" s="338"/>
      <c r="AA32" s="338"/>
      <c r="AB32" s="338"/>
      <c r="AC32" s="305"/>
      <c r="AD32" s="305"/>
      <c r="AE32" s="305"/>
    </row>
    <row r="33" spans="1:31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4"/>
        <v>0</v>
      </c>
      <c r="M33" s="124"/>
      <c r="N33" s="124"/>
      <c r="O33" s="124"/>
      <c r="P33" s="124"/>
      <c r="Q33" s="184"/>
      <c r="R33" s="143"/>
      <c r="S33" s="143"/>
      <c r="T33" s="338"/>
      <c r="U33" s="124"/>
      <c r="V33" s="190"/>
      <c r="W33" s="124"/>
      <c r="X33" s="338"/>
      <c r="Y33" s="338"/>
      <c r="Z33" s="338"/>
      <c r="AA33" s="338"/>
      <c r="AB33" s="338"/>
      <c r="AC33" s="305"/>
      <c r="AD33" s="305"/>
      <c r="AE33" s="305"/>
    </row>
    <row r="34" spans="1:31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4"/>
        <v>0</v>
      </c>
      <c r="M34" s="124"/>
      <c r="N34" s="124"/>
      <c r="O34" s="124"/>
      <c r="P34" s="143"/>
      <c r="Q34" s="124"/>
      <c r="R34" s="143"/>
      <c r="S34" s="143"/>
      <c r="T34" s="338"/>
      <c r="U34" s="124"/>
      <c r="V34" s="356"/>
      <c r="W34" s="124"/>
      <c r="X34" s="338"/>
      <c r="Y34" s="338"/>
      <c r="Z34" s="338"/>
      <c r="AA34" s="338"/>
      <c r="AB34" s="338"/>
      <c r="AC34" s="305"/>
      <c r="AD34" s="305"/>
      <c r="AE34" s="305"/>
    </row>
    <row r="35" spans="1:31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4"/>
        <v>0</v>
      </c>
      <c r="M35" s="124"/>
      <c r="N35" s="124"/>
      <c r="O35" s="124"/>
      <c r="P35" s="143"/>
      <c r="Q35" s="124"/>
      <c r="R35" s="143"/>
      <c r="S35" s="143"/>
      <c r="T35" s="338"/>
      <c r="U35" s="124"/>
      <c r="V35" s="356"/>
      <c r="W35" s="124"/>
      <c r="X35" s="338"/>
      <c r="Y35" s="338"/>
      <c r="Z35" s="338"/>
      <c r="AA35" s="338"/>
      <c r="AB35" s="338"/>
      <c r="AC35" s="305"/>
      <c r="AD35" s="305"/>
      <c r="AE35" s="305"/>
    </row>
    <row r="36" spans="1:31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4"/>
        <v>0</v>
      </c>
      <c r="M36" s="124"/>
      <c r="N36" s="124"/>
      <c r="O36" s="124"/>
      <c r="P36" s="143"/>
      <c r="Q36" s="124"/>
      <c r="R36" s="143"/>
      <c r="S36" s="143"/>
      <c r="T36" s="338"/>
      <c r="U36" s="124"/>
      <c r="V36" s="356"/>
      <c r="W36" s="124"/>
      <c r="X36" s="338"/>
      <c r="Y36" s="338"/>
      <c r="Z36" s="338"/>
      <c r="AA36" s="338"/>
      <c r="AB36" s="338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4"/>
        <v>0</v>
      </c>
      <c r="M37" s="124"/>
      <c r="N37" s="124"/>
      <c r="O37" s="124"/>
      <c r="P37" s="143"/>
      <c r="Q37" s="124"/>
      <c r="R37" s="143"/>
      <c r="S37" s="143"/>
      <c r="T37" s="338"/>
      <c r="U37" s="124"/>
      <c r="V37" s="357"/>
      <c r="W37" s="124"/>
      <c r="X37" s="338"/>
      <c r="Y37" s="338"/>
      <c r="Z37" s="338"/>
      <c r="AA37" s="338"/>
      <c r="AB37" s="338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4"/>
        <v>0</v>
      </c>
      <c r="M38" s="124"/>
      <c r="N38" s="124"/>
      <c r="O38" s="124"/>
      <c r="P38" s="143"/>
      <c r="Q38" s="124"/>
      <c r="R38" s="143"/>
      <c r="S38" s="143"/>
      <c r="T38" s="338"/>
      <c r="U38" s="124"/>
      <c r="V38" s="357"/>
      <c r="W38" s="124"/>
      <c r="X38" s="338"/>
      <c r="Y38" s="338"/>
      <c r="Z38" s="338"/>
      <c r="AA38" s="338"/>
      <c r="AB38" s="338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4"/>
        <v>0</v>
      </c>
      <c r="M39" s="124"/>
      <c r="N39" s="124"/>
      <c r="O39" s="124"/>
      <c r="P39" s="143"/>
      <c r="Q39" s="124"/>
      <c r="R39" s="143"/>
      <c r="S39" s="143"/>
      <c r="T39" s="338"/>
      <c r="U39" s="124"/>
      <c r="V39" s="357"/>
      <c r="W39" s="124"/>
      <c r="X39" s="338"/>
      <c r="Y39" s="338"/>
      <c r="Z39" s="338"/>
      <c r="AA39" s="338"/>
      <c r="AB39" s="338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4"/>
        <v>0</v>
      </c>
      <c r="M40" s="124"/>
      <c r="N40" s="124"/>
      <c r="O40" s="124"/>
      <c r="P40" s="143"/>
      <c r="Q40" s="124"/>
      <c r="R40" s="143"/>
      <c r="S40" s="143"/>
      <c r="T40" s="338"/>
      <c r="U40" s="124"/>
      <c r="V40" s="357"/>
      <c r="W40" s="124"/>
      <c r="X40" s="338"/>
      <c r="Y40" s="338"/>
      <c r="Z40" s="338"/>
      <c r="AA40" s="338"/>
      <c r="AB40" s="338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4"/>
        <v>0</v>
      </c>
      <c r="M41" s="124"/>
      <c r="N41" s="124"/>
      <c r="O41" s="124"/>
      <c r="P41" s="143"/>
      <c r="Q41" s="124"/>
      <c r="R41" s="143"/>
      <c r="S41" s="143"/>
      <c r="T41" s="338"/>
      <c r="U41" s="124"/>
      <c r="V41" s="357"/>
      <c r="W41" s="124"/>
      <c r="X41" s="338"/>
      <c r="Y41" s="338"/>
      <c r="Z41" s="338"/>
      <c r="AA41" s="338"/>
      <c r="AB41" s="338"/>
      <c r="AC41" s="305"/>
      <c r="AD41" s="305"/>
      <c r="AE41" s="305"/>
    </row>
    <row r="42" spans="1:31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4"/>
        <v>0</v>
      </c>
      <c r="M42" s="124"/>
      <c r="N42" s="124"/>
      <c r="O42" s="124"/>
      <c r="P42" s="143"/>
      <c r="Q42" s="124"/>
      <c r="R42" s="143"/>
      <c r="S42" s="143"/>
      <c r="T42" s="338"/>
      <c r="U42" s="124"/>
      <c r="V42" s="357"/>
      <c r="W42" s="124"/>
      <c r="X42" s="338"/>
      <c r="Y42" s="338"/>
      <c r="Z42" s="338"/>
      <c r="AA42" s="338"/>
      <c r="AB42" s="338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4"/>
        <v>0</v>
      </c>
      <c r="M43" s="124"/>
      <c r="N43" s="124"/>
      <c r="O43" s="124"/>
      <c r="P43" s="143"/>
      <c r="Q43" s="124"/>
      <c r="R43" s="143"/>
      <c r="S43" s="143"/>
      <c r="T43" s="338"/>
      <c r="U43" s="124"/>
      <c r="V43" s="357"/>
      <c r="W43" s="124"/>
      <c r="X43" s="338"/>
      <c r="Y43" s="338"/>
      <c r="Z43" s="338"/>
      <c r="AA43" s="338"/>
      <c r="AB43" s="338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338"/>
      <c r="U44" s="124"/>
      <c r="V44" s="357"/>
      <c r="W44" s="124"/>
      <c r="X44" s="338"/>
      <c r="Y44" s="338"/>
      <c r="Z44" s="338"/>
      <c r="AA44" s="338"/>
      <c r="AB44" s="338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5">+I46+J46-K46</f>
        <v>0</v>
      </c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5"/>
        <v>0</v>
      </c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  <c r="AC47" s="305"/>
      <c r="AD47" s="305"/>
      <c r="AE47" s="305"/>
    </row>
    <row r="48" spans="1:31" ht="15.75">
      <c r="A48" s="364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5"/>
        <v>0</v>
      </c>
      <c r="M48" s="124"/>
      <c r="N48" s="124"/>
      <c r="O48" s="124"/>
      <c r="P48" s="143"/>
      <c r="Q48" s="124"/>
      <c r="R48" s="143"/>
      <c r="S48" s="143"/>
      <c r="T48" s="338"/>
      <c r="U48" s="124"/>
      <c r="V48" s="190"/>
      <c r="W48" s="124"/>
      <c r="X48" s="338"/>
      <c r="Y48" s="338"/>
      <c r="Z48" s="338"/>
      <c r="AA48" s="338"/>
      <c r="AB48" s="338"/>
      <c r="AC48" s="305"/>
      <c r="AD48" s="305"/>
      <c r="AE48" s="305"/>
    </row>
    <row r="49" spans="1:31">
      <c r="A49" s="178"/>
      <c r="B49" s="365"/>
      <c r="C49" s="124"/>
      <c r="D49" s="124"/>
      <c r="E49" s="190"/>
      <c r="F49" s="124"/>
      <c r="G49" s="188"/>
      <c r="H49" s="188"/>
      <c r="I49" s="188"/>
      <c r="J49" s="188"/>
      <c r="K49" s="188"/>
      <c r="L49" s="143">
        <f t="shared" si="5"/>
        <v>0</v>
      </c>
      <c r="M49" s="188"/>
      <c r="N49" s="188"/>
      <c r="O49" s="188"/>
      <c r="P49" s="143">
        <f>O49*D49</f>
        <v>0</v>
      </c>
      <c r="Q49" s="188"/>
      <c r="R49" s="143">
        <f>Q49*D49</f>
        <v>0</v>
      </c>
      <c r="S49" s="143">
        <f>+P49-R49</f>
        <v>0</v>
      </c>
      <c r="T49" s="338"/>
      <c r="U49" s="124"/>
      <c r="V49" s="190"/>
      <c r="W49" s="124"/>
      <c r="X49" s="338">
        <f>+N49-W49</f>
        <v>0</v>
      </c>
      <c r="Y49" s="338"/>
      <c r="Z49" s="338"/>
      <c r="AA49" s="338"/>
      <c r="AB49" s="338"/>
      <c r="AC49" s="305"/>
      <c r="AD49" s="305"/>
      <c r="AE49" s="305"/>
    </row>
    <row r="50" spans="1:31">
      <c r="A50" s="178"/>
      <c r="B50" s="366"/>
      <c r="C50" s="124"/>
      <c r="D50" s="124"/>
      <c r="E50" s="190"/>
      <c r="F50" s="124"/>
      <c r="G50" s="188"/>
      <c r="H50" s="188"/>
      <c r="I50" s="188"/>
      <c r="J50" s="188"/>
      <c r="K50" s="188"/>
      <c r="L50" s="143">
        <f t="shared" si="5"/>
        <v>0</v>
      </c>
      <c r="M50" s="188"/>
      <c r="N50" s="188"/>
      <c r="O50" s="188"/>
      <c r="P50" s="143"/>
      <c r="Q50" s="188"/>
      <c r="R50" s="143"/>
      <c r="S50" s="143"/>
      <c r="T50" s="338"/>
      <c r="U50" s="124"/>
      <c r="V50" s="190"/>
      <c r="W50" s="124"/>
      <c r="X50" s="338"/>
      <c r="Y50" s="338"/>
      <c r="Z50" s="338"/>
      <c r="AA50" s="338"/>
      <c r="AB50" s="338"/>
      <c r="AC50" s="305"/>
      <c r="AD50" s="305"/>
      <c r="AE50" s="305"/>
    </row>
    <row r="51" spans="1:31">
      <c r="A51" s="178"/>
      <c r="B51" s="367"/>
      <c r="C51" s="305"/>
      <c r="D51" s="368"/>
      <c r="E51" s="369"/>
      <c r="F51" s="305"/>
      <c r="G51" s="188"/>
      <c r="H51" s="188"/>
      <c r="I51" s="188"/>
      <c r="J51" s="188"/>
      <c r="K51" s="188"/>
      <c r="L51" s="143">
        <f t="shared" si="5"/>
        <v>0</v>
      </c>
      <c r="M51" s="188"/>
      <c r="N51" s="188"/>
      <c r="O51" s="188"/>
      <c r="P51" s="143"/>
      <c r="Q51" s="188"/>
      <c r="R51" s="143"/>
      <c r="S51" s="143"/>
      <c r="T51" s="338"/>
      <c r="U51" s="368"/>
      <c r="V51" s="369"/>
      <c r="W51" s="305"/>
      <c r="X51" s="338"/>
      <c r="Y51" s="338"/>
      <c r="Z51" s="338"/>
      <c r="AA51" s="338"/>
      <c r="AB51" s="338"/>
      <c r="AC51" s="305"/>
      <c r="AD51" s="305"/>
      <c r="AE51" s="305"/>
    </row>
    <row r="52" spans="1:31">
      <c r="A52" s="178"/>
      <c r="B52" s="168"/>
      <c r="C52" s="124"/>
      <c r="D52" s="124"/>
      <c r="E52" s="190"/>
      <c r="F52" s="124"/>
      <c r="G52" s="188"/>
      <c r="H52" s="188"/>
      <c r="I52" s="188"/>
      <c r="J52" s="188"/>
      <c r="K52" s="188"/>
      <c r="L52" s="143">
        <f t="shared" si="5"/>
        <v>0</v>
      </c>
      <c r="M52" s="188"/>
      <c r="N52" s="188"/>
      <c r="O52" s="188"/>
      <c r="P52" s="143"/>
      <c r="Q52" s="188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  <c r="AC52" s="305"/>
      <c r="AD52" s="305"/>
      <c r="AE52" s="305"/>
    </row>
    <row r="53" spans="1:31">
      <c r="A53" s="370"/>
      <c r="B53" s="189"/>
      <c r="C53" s="124"/>
      <c r="D53" s="124"/>
      <c r="E53" s="190"/>
      <c r="F53" s="124"/>
      <c r="G53" s="188"/>
      <c r="H53" s="188"/>
      <c r="I53" s="188"/>
      <c r="J53" s="188"/>
      <c r="K53" s="188"/>
      <c r="L53" s="143"/>
      <c r="M53" s="188"/>
      <c r="N53" s="188"/>
      <c r="O53" s="188"/>
      <c r="P53" s="143"/>
      <c r="Q53" s="188"/>
      <c r="R53" s="143"/>
      <c r="S53" s="143"/>
      <c r="T53" s="338"/>
      <c r="U53" s="124"/>
      <c r="V53" s="190"/>
      <c r="W53" s="124"/>
      <c r="X53" s="338"/>
      <c r="Y53" s="338"/>
      <c r="Z53" s="338"/>
      <c r="AA53" s="338"/>
      <c r="AB53" s="338"/>
      <c r="AC53" s="305"/>
      <c r="AD53" s="305"/>
      <c r="AE53" s="305"/>
    </row>
    <row r="54" spans="1:31">
      <c r="A54" s="370"/>
      <c r="B54" s="371"/>
      <c r="C54" s="124"/>
      <c r="D54" s="124"/>
      <c r="E54" s="190"/>
      <c r="F54" s="124"/>
      <c r="G54" s="188"/>
      <c r="H54" s="188"/>
      <c r="I54" s="188"/>
      <c r="J54" s="188"/>
      <c r="K54" s="188"/>
      <c r="L54" s="143">
        <f>+I54+J54-K54</f>
        <v>0</v>
      </c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  <c r="AC54" s="305"/>
      <c r="AD54" s="305"/>
      <c r="AE54" s="305"/>
    </row>
    <row r="55" spans="1:31">
      <c r="A55" s="178"/>
      <c r="B55" s="142"/>
      <c r="C55" s="124"/>
      <c r="D55" s="124"/>
      <c r="E55" s="190"/>
      <c r="F55" s="124"/>
      <c r="G55" s="188"/>
      <c r="H55" s="188"/>
      <c r="I55" s="188"/>
      <c r="J55" s="188"/>
      <c r="K55" s="188"/>
      <c r="L55" s="143">
        <f>+I55+J55-K55</f>
        <v>0</v>
      </c>
      <c r="M55" s="188"/>
      <c r="N55" s="188"/>
      <c r="O55" s="188"/>
      <c r="P55" s="143"/>
      <c r="Q55" s="188"/>
      <c r="R55" s="143"/>
      <c r="S55" s="143"/>
      <c r="T55" s="338"/>
      <c r="U55" s="124"/>
      <c r="V55" s="190"/>
      <c r="W55" s="124"/>
      <c r="X55" s="338"/>
      <c r="Y55" s="338"/>
      <c r="Z55" s="338"/>
      <c r="AA55" s="338"/>
      <c r="AB55" s="338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>
        <f>+I56+J56-K56</f>
        <v>0</v>
      </c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>
        <f>U56*V56</f>
        <v>0</v>
      </c>
      <c r="X56" s="338"/>
      <c r="Y56" s="338"/>
      <c r="Z56" s="338"/>
      <c r="AA56" s="338"/>
      <c r="AB56" s="338"/>
      <c r="AC56" s="305"/>
      <c r="AD56" s="305"/>
      <c r="AE56" s="305"/>
    </row>
    <row r="57" spans="1:31">
      <c r="A57" s="339" t="s">
        <v>97</v>
      </c>
      <c r="B57" s="340" t="s">
        <v>17</v>
      </c>
      <c r="C57" s="372">
        <f>SUM(C16:C56)</f>
        <v>201500</v>
      </c>
      <c r="D57" s="372"/>
      <c r="E57" s="373"/>
      <c r="F57" s="372">
        <f>SUM(F16:F56)</f>
        <v>201500</v>
      </c>
      <c r="G57" s="372">
        <f t="shared" ref="G57:N57" si="6">SUM(G15:G56)</f>
        <v>0</v>
      </c>
      <c r="H57" s="372">
        <f t="shared" si="6"/>
        <v>0</v>
      </c>
      <c r="I57" s="372">
        <f t="shared" si="6"/>
        <v>205211.71357268846</v>
      </c>
      <c r="J57" s="372">
        <f t="shared" si="6"/>
        <v>0</v>
      </c>
      <c r="K57" s="372">
        <f t="shared" si="6"/>
        <v>0</v>
      </c>
      <c r="L57" s="372">
        <f t="shared" si="6"/>
        <v>205211.71357268846</v>
      </c>
      <c r="M57" s="372">
        <f t="shared" si="6"/>
        <v>0</v>
      </c>
      <c r="N57" s="372">
        <f t="shared" si="6"/>
        <v>0</v>
      </c>
      <c r="O57" s="372"/>
      <c r="P57" s="372">
        <f>SUM(P15:P56)</f>
        <v>205211.71357268843</v>
      </c>
      <c r="Q57" s="372"/>
      <c r="R57" s="372">
        <f>SUM(R15:R56)</f>
        <v>0</v>
      </c>
      <c r="S57" s="372">
        <f>SUM(S15:S56)</f>
        <v>205211.71357268843</v>
      </c>
      <c r="T57" s="374">
        <f>W57-L57</f>
        <v>-3711.713572688459</v>
      </c>
      <c r="U57" s="372"/>
      <c r="V57" s="372"/>
      <c r="W57" s="372">
        <f>SUM(W16:W56)</f>
        <v>201500</v>
      </c>
      <c r="X57" s="372">
        <f>SUM(X15:X56)</f>
        <v>205211.71357268846</v>
      </c>
      <c r="Y57" s="372">
        <f>SUM(Y15:Y56)</f>
        <v>0</v>
      </c>
      <c r="Z57" s="372">
        <f>SUM(Z15:Z56)</f>
        <v>205211.71357268843</v>
      </c>
      <c r="AA57" s="372">
        <f>SUM(AA15:AA56)</f>
        <v>0</v>
      </c>
      <c r="AB57" s="372">
        <f>SUM(AB15:AB56)</f>
        <v>201500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AC61" s="305"/>
      <c r="AD61" s="305"/>
      <c r="AE61" s="305"/>
    </row>
    <row r="62" spans="1:31">
      <c r="R62" s="304"/>
      <c r="AC62" s="305"/>
      <c r="AD62" s="305"/>
      <c r="AE62" s="305"/>
    </row>
    <row r="63" spans="1:31">
      <c r="A63" s="304" t="s">
        <v>59</v>
      </c>
      <c r="F63" s="343"/>
      <c r="W63" s="343"/>
      <c r="AC63" s="305"/>
      <c r="AD63" s="305"/>
      <c r="AE63" s="305"/>
    </row>
    <row r="75" spans="2:2" s="305" customFormat="1">
      <c r="B75" s="304" t="s">
        <v>126</v>
      </c>
    </row>
  </sheetData>
  <mergeCells count="6">
    <mergeCell ref="E1:F1"/>
    <mergeCell ref="AB8:AB12"/>
    <mergeCell ref="X8:X12"/>
    <mergeCell ref="Y8:Y12"/>
    <mergeCell ref="Z8:Z12"/>
    <mergeCell ref="AA8:AA12"/>
  </mergeCells>
  <conditionalFormatting sqref="U8:W9 X8:AB12">
    <cfRule type="cellIs" dxfId="64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5" orientation="landscape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1">
    <pageSetUpPr fitToPage="1"/>
  </sheetPr>
  <dimension ref="A1:CC62"/>
  <sheetViews>
    <sheetView showGridLines="0" showZeros="0" view="pageBreakPreview" zoomScaleNormal="100" workbookViewId="0">
      <selection activeCell="G15" sqref="G15"/>
    </sheetView>
  </sheetViews>
  <sheetFormatPr baseColWidth="10" defaultRowHeight="12.75"/>
  <cols>
    <col min="1" max="1" width="10.25" style="67" customWidth="1"/>
    <col min="2" max="2" width="33.5" style="67" customWidth="1"/>
    <col min="3" max="3" width="10.5" style="67" customWidth="1"/>
    <col min="4" max="4" width="10.375" style="67" customWidth="1"/>
    <col min="5" max="5" width="2.5" style="67" bestFit="1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7.25" style="67" bestFit="1" customWidth="1"/>
    <col min="23" max="23" width="10.25" style="67" customWidth="1"/>
    <col min="24" max="28" width="10.875" style="68" customWidth="1"/>
    <col min="29" max="30" width="11" style="68"/>
    <col min="31" max="256" width="11" style="384"/>
    <col min="257" max="257" width="10.25" style="384" customWidth="1"/>
    <col min="258" max="258" width="33.5" style="384" customWidth="1"/>
    <col min="259" max="259" width="10.5" style="384" customWidth="1"/>
    <col min="260" max="260" width="10.375" style="384" customWidth="1"/>
    <col min="261" max="261" width="2.5" style="384" bestFit="1" customWidth="1"/>
    <col min="262" max="265" width="10.25" style="384" customWidth="1"/>
    <col min="266" max="266" width="12" style="384" customWidth="1"/>
    <col min="267" max="267" width="10.25" style="384" customWidth="1"/>
    <col min="268" max="268" width="9" style="384" customWidth="1"/>
    <col min="269" max="269" width="9.75" style="384" customWidth="1"/>
    <col min="270" max="270" width="8.75" style="384" customWidth="1"/>
    <col min="271" max="271" width="6.5" style="384" customWidth="1"/>
    <col min="272" max="272" width="11" style="384"/>
    <col min="273" max="273" width="5.875" style="384" customWidth="1"/>
    <col min="274" max="275" width="11" style="384"/>
    <col min="276" max="276" width="10.875" style="384" customWidth="1"/>
    <col min="277" max="277" width="9" style="384" customWidth="1"/>
    <col min="278" max="278" width="4.875" style="384" customWidth="1"/>
    <col min="279" max="279" width="10.25" style="384" customWidth="1"/>
    <col min="280" max="284" width="10.875" style="384" customWidth="1"/>
    <col min="285" max="512" width="11" style="384"/>
    <col min="513" max="513" width="10.25" style="384" customWidth="1"/>
    <col min="514" max="514" width="33.5" style="384" customWidth="1"/>
    <col min="515" max="515" width="10.5" style="384" customWidth="1"/>
    <col min="516" max="516" width="10.375" style="384" customWidth="1"/>
    <col min="517" max="517" width="2.5" style="384" bestFit="1" customWidth="1"/>
    <col min="518" max="521" width="10.25" style="384" customWidth="1"/>
    <col min="522" max="522" width="12" style="384" customWidth="1"/>
    <col min="523" max="523" width="10.25" style="384" customWidth="1"/>
    <col min="524" max="524" width="9" style="384" customWidth="1"/>
    <col min="525" max="525" width="9.75" style="384" customWidth="1"/>
    <col min="526" max="526" width="8.75" style="384" customWidth="1"/>
    <col min="527" max="527" width="6.5" style="384" customWidth="1"/>
    <col min="528" max="528" width="11" style="384"/>
    <col min="529" max="529" width="5.875" style="384" customWidth="1"/>
    <col min="530" max="531" width="11" style="384"/>
    <col min="532" max="532" width="10.875" style="384" customWidth="1"/>
    <col min="533" max="533" width="9" style="384" customWidth="1"/>
    <col min="534" max="534" width="4.875" style="384" customWidth="1"/>
    <col min="535" max="535" width="10.25" style="384" customWidth="1"/>
    <col min="536" max="540" width="10.875" style="384" customWidth="1"/>
    <col min="541" max="768" width="11" style="384"/>
    <col min="769" max="769" width="10.25" style="384" customWidth="1"/>
    <col min="770" max="770" width="33.5" style="384" customWidth="1"/>
    <col min="771" max="771" width="10.5" style="384" customWidth="1"/>
    <col min="772" max="772" width="10.375" style="384" customWidth="1"/>
    <col min="773" max="773" width="2.5" style="384" bestFit="1" customWidth="1"/>
    <col min="774" max="777" width="10.25" style="384" customWidth="1"/>
    <col min="778" max="778" width="12" style="384" customWidth="1"/>
    <col min="779" max="779" width="10.25" style="384" customWidth="1"/>
    <col min="780" max="780" width="9" style="384" customWidth="1"/>
    <col min="781" max="781" width="9.75" style="384" customWidth="1"/>
    <col min="782" max="782" width="8.75" style="384" customWidth="1"/>
    <col min="783" max="783" width="6.5" style="384" customWidth="1"/>
    <col min="784" max="784" width="11" style="384"/>
    <col min="785" max="785" width="5.875" style="384" customWidth="1"/>
    <col min="786" max="787" width="11" style="384"/>
    <col min="788" max="788" width="10.875" style="384" customWidth="1"/>
    <col min="789" max="789" width="9" style="384" customWidth="1"/>
    <col min="790" max="790" width="4.875" style="384" customWidth="1"/>
    <col min="791" max="791" width="10.25" style="384" customWidth="1"/>
    <col min="792" max="796" width="10.875" style="384" customWidth="1"/>
    <col min="797" max="1024" width="11" style="384"/>
    <col min="1025" max="1025" width="10.25" style="384" customWidth="1"/>
    <col min="1026" max="1026" width="33.5" style="384" customWidth="1"/>
    <col min="1027" max="1027" width="10.5" style="384" customWidth="1"/>
    <col min="1028" max="1028" width="10.375" style="384" customWidth="1"/>
    <col min="1029" max="1029" width="2.5" style="384" bestFit="1" customWidth="1"/>
    <col min="1030" max="1033" width="10.25" style="384" customWidth="1"/>
    <col min="1034" max="1034" width="12" style="384" customWidth="1"/>
    <col min="1035" max="1035" width="10.25" style="384" customWidth="1"/>
    <col min="1036" max="1036" width="9" style="384" customWidth="1"/>
    <col min="1037" max="1037" width="9.75" style="384" customWidth="1"/>
    <col min="1038" max="1038" width="8.75" style="384" customWidth="1"/>
    <col min="1039" max="1039" width="6.5" style="384" customWidth="1"/>
    <col min="1040" max="1040" width="11" style="384"/>
    <col min="1041" max="1041" width="5.875" style="384" customWidth="1"/>
    <col min="1042" max="1043" width="11" style="384"/>
    <col min="1044" max="1044" width="10.875" style="384" customWidth="1"/>
    <col min="1045" max="1045" width="9" style="384" customWidth="1"/>
    <col min="1046" max="1046" width="4.875" style="384" customWidth="1"/>
    <col min="1047" max="1047" width="10.25" style="384" customWidth="1"/>
    <col min="1048" max="1052" width="10.875" style="384" customWidth="1"/>
    <col min="1053" max="1280" width="11" style="384"/>
    <col min="1281" max="1281" width="10.25" style="384" customWidth="1"/>
    <col min="1282" max="1282" width="33.5" style="384" customWidth="1"/>
    <col min="1283" max="1283" width="10.5" style="384" customWidth="1"/>
    <col min="1284" max="1284" width="10.375" style="384" customWidth="1"/>
    <col min="1285" max="1285" width="2.5" style="384" bestFit="1" customWidth="1"/>
    <col min="1286" max="1289" width="10.25" style="384" customWidth="1"/>
    <col min="1290" max="1290" width="12" style="384" customWidth="1"/>
    <col min="1291" max="1291" width="10.25" style="384" customWidth="1"/>
    <col min="1292" max="1292" width="9" style="384" customWidth="1"/>
    <col min="1293" max="1293" width="9.75" style="384" customWidth="1"/>
    <col min="1294" max="1294" width="8.75" style="384" customWidth="1"/>
    <col min="1295" max="1295" width="6.5" style="384" customWidth="1"/>
    <col min="1296" max="1296" width="11" style="384"/>
    <col min="1297" max="1297" width="5.875" style="384" customWidth="1"/>
    <col min="1298" max="1299" width="11" style="384"/>
    <col min="1300" max="1300" width="10.875" style="384" customWidth="1"/>
    <col min="1301" max="1301" width="9" style="384" customWidth="1"/>
    <col min="1302" max="1302" width="4.875" style="384" customWidth="1"/>
    <col min="1303" max="1303" width="10.25" style="384" customWidth="1"/>
    <col min="1304" max="1308" width="10.875" style="384" customWidth="1"/>
    <col min="1309" max="1536" width="11" style="384"/>
    <col min="1537" max="1537" width="10.25" style="384" customWidth="1"/>
    <col min="1538" max="1538" width="33.5" style="384" customWidth="1"/>
    <col min="1539" max="1539" width="10.5" style="384" customWidth="1"/>
    <col min="1540" max="1540" width="10.375" style="384" customWidth="1"/>
    <col min="1541" max="1541" width="2.5" style="384" bestFit="1" customWidth="1"/>
    <col min="1542" max="1545" width="10.25" style="384" customWidth="1"/>
    <col min="1546" max="1546" width="12" style="384" customWidth="1"/>
    <col min="1547" max="1547" width="10.25" style="384" customWidth="1"/>
    <col min="1548" max="1548" width="9" style="384" customWidth="1"/>
    <col min="1549" max="1549" width="9.75" style="384" customWidth="1"/>
    <col min="1550" max="1550" width="8.75" style="384" customWidth="1"/>
    <col min="1551" max="1551" width="6.5" style="384" customWidth="1"/>
    <col min="1552" max="1552" width="11" style="384"/>
    <col min="1553" max="1553" width="5.875" style="384" customWidth="1"/>
    <col min="1554" max="1555" width="11" style="384"/>
    <col min="1556" max="1556" width="10.875" style="384" customWidth="1"/>
    <col min="1557" max="1557" width="9" style="384" customWidth="1"/>
    <col min="1558" max="1558" width="4.875" style="384" customWidth="1"/>
    <col min="1559" max="1559" width="10.25" style="384" customWidth="1"/>
    <col min="1560" max="1564" width="10.875" style="384" customWidth="1"/>
    <col min="1565" max="1792" width="11" style="384"/>
    <col min="1793" max="1793" width="10.25" style="384" customWidth="1"/>
    <col min="1794" max="1794" width="33.5" style="384" customWidth="1"/>
    <col min="1795" max="1795" width="10.5" style="384" customWidth="1"/>
    <col min="1796" max="1796" width="10.375" style="384" customWidth="1"/>
    <col min="1797" max="1797" width="2.5" style="384" bestFit="1" customWidth="1"/>
    <col min="1798" max="1801" width="10.25" style="384" customWidth="1"/>
    <col min="1802" max="1802" width="12" style="384" customWidth="1"/>
    <col min="1803" max="1803" width="10.25" style="384" customWidth="1"/>
    <col min="1804" max="1804" width="9" style="384" customWidth="1"/>
    <col min="1805" max="1805" width="9.75" style="384" customWidth="1"/>
    <col min="1806" max="1806" width="8.75" style="384" customWidth="1"/>
    <col min="1807" max="1807" width="6.5" style="384" customWidth="1"/>
    <col min="1808" max="1808" width="11" style="384"/>
    <col min="1809" max="1809" width="5.875" style="384" customWidth="1"/>
    <col min="1810" max="1811" width="11" style="384"/>
    <col min="1812" max="1812" width="10.875" style="384" customWidth="1"/>
    <col min="1813" max="1813" width="9" style="384" customWidth="1"/>
    <col min="1814" max="1814" width="4.875" style="384" customWidth="1"/>
    <col min="1815" max="1815" width="10.25" style="384" customWidth="1"/>
    <col min="1816" max="1820" width="10.875" style="384" customWidth="1"/>
    <col min="1821" max="2048" width="11" style="384"/>
    <col min="2049" max="2049" width="10.25" style="384" customWidth="1"/>
    <col min="2050" max="2050" width="33.5" style="384" customWidth="1"/>
    <col min="2051" max="2051" width="10.5" style="384" customWidth="1"/>
    <col min="2052" max="2052" width="10.375" style="384" customWidth="1"/>
    <col min="2053" max="2053" width="2.5" style="384" bestFit="1" customWidth="1"/>
    <col min="2054" max="2057" width="10.25" style="384" customWidth="1"/>
    <col min="2058" max="2058" width="12" style="384" customWidth="1"/>
    <col min="2059" max="2059" width="10.25" style="384" customWidth="1"/>
    <col min="2060" max="2060" width="9" style="384" customWidth="1"/>
    <col min="2061" max="2061" width="9.75" style="384" customWidth="1"/>
    <col min="2062" max="2062" width="8.75" style="384" customWidth="1"/>
    <col min="2063" max="2063" width="6.5" style="384" customWidth="1"/>
    <col min="2064" max="2064" width="11" style="384"/>
    <col min="2065" max="2065" width="5.875" style="384" customWidth="1"/>
    <col min="2066" max="2067" width="11" style="384"/>
    <col min="2068" max="2068" width="10.875" style="384" customWidth="1"/>
    <col min="2069" max="2069" width="9" style="384" customWidth="1"/>
    <col min="2070" max="2070" width="4.875" style="384" customWidth="1"/>
    <col min="2071" max="2071" width="10.25" style="384" customWidth="1"/>
    <col min="2072" max="2076" width="10.875" style="384" customWidth="1"/>
    <col min="2077" max="2304" width="11" style="384"/>
    <col min="2305" max="2305" width="10.25" style="384" customWidth="1"/>
    <col min="2306" max="2306" width="33.5" style="384" customWidth="1"/>
    <col min="2307" max="2307" width="10.5" style="384" customWidth="1"/>
    <col min="2308" max="2308" width="10.375" style="384" customWidth="1"/>
    <col min="2309" max="2309" width="2.5" style="384" bestFit="1" customWidth="1"/>
    <col min="2310" max="2313" width="10.25" style="384" customWidth="1"/>
    <col min="2314" max="2314" width="12" style="384" customWidth="1"/>
    <col min="2315" max="2315" width="10.25" style="384" customWidth="1"/>
    <col min="2316" max="2316" width="9" style="384" customWidth="1"/>
    <col min="2317" max="2317" width="9.75" style="384" customWidth="1"/>
    <col min="2318" max="2318" width="8.75" style="384" customWidth="1"/>
    <col min="2319" max="2319" width="6.5" style="384" customWidth="1"/>
    <col min="2320" max="2320" width="11" style="384"/>
    <col min="2321" max="2321" width="5.875" style="384" customWidth="1"/>
    <col min="2322" max="2323" width="11" style="384"/>
    <col min="2324" max="2324" width="10.875" style="384" customWidth="1"/>
    <col min="2325" max="2325" width="9" style="384" customWidth="1"/>
    <col min="2326" max="2326" width="4.875" style="384" customWidth="1"/>
    <col min="2327" max="2327" width="10.25" style="384" customWidth="1"/>
    <col min="2328" max="2332" width="10.875" style="384" customWidth="1"/>
    <col min="2333" max="2560" width="11" style="384"/>
    <col min="2561" max="2561" width="10.25" style="384" customWidth="1"/>
    <col min="2562" max="2562" width="33.5" style="384" customWidth="1"/>
    <col min="2563" max="2563" width="10.5" style="384" customWidth="1"/>
    <col min="2564" max="2564" width="10.375" style="384" customWidth="1"/>
    <col min="2565" max="2565" width="2.5" style="384" bestFit="1" customWidth="1"/>
    <col min="2566" max="2569" width="10.25" style="384" customWidth="1"/>
    <col min="2570" max="2570" width="12" style="384" customWidth="1"/>
    <col min="2571" max="2571" width="10.25" style="384" customWidth="1"/>
    <col min="2572" max="2572" width="9" style="384" customWidth="1"/>
    <col min="2573" max="2573" width="9.75" style="384" customWidth="1"/>
    <col min="2574" max="2574" width="8.75" style="384" customWidth="1"/>
    <col min="2575" max="2575" width="6.5" style="384" customWidth="1"/>
    <col min="2576" max="2576" width="11" style="384"/>
    <col min="2577" max="2577" width="5.875" style="384" customWidth="1"/>
    <col min="2578" max="2579" width="11" style="384"/>
    <col min="2580" max="2580" width="10.875" style="384" customWidth="1"/>
    <col min="2581" max="2581" width="9" style="384" customWidth="1"/>
    <col min="2582" max="2582" width="4.875" style="384" customWidth="1"/>
    <col min="2583" max="2583" width="10.25" style="384" customWidth="1"/>
    <col min="2584" max="2588" width="10.875" style="384" customWidth="1"/>
    <col min="2589" max="2816" width="11" style="384"/>
    <col min="2817" max="2817" width="10.25" style="384" customWidth="1"/>
    <col min="2818" max="2818" width="33.5" style="384" customWidth="1"/>
    <col min="2819" max="2819" width="10.5" style="384" customWidth="1"/>
    <col min="2820" max="2820" width="10.375" style="384" customWidth="1"/>
    <col min="2821" max="2821" width="2.5" style="384" bestFit="1" customWidth="1"/>
    <col min="2822" max="2825" width="10.25" style="384" customWidth="1"/>
    <col min="2826" max="2826" width="12" style="384" customWidth="1"/>
    <col min="2827" max="2827" width="10.25" style="384" customWidth="1"/>
    <col min="2828" max="2828" width="9" style="384" customWidth="1"/>
    <col min="2829" max="2829" width="9.75" style="384" customWidth="1"/>
    <col min="2830" max="2830" width="8.75" style="384" customWidth="1"/>
    <col min="2831" max="2831" width="6.5" style="384" customWidth="1"/>
    <col min="2832" max="2832" width="11" style="384"/>
    <col min="2833" max="2833" width="5.875" style="384" customWidth="1"/>
    <col min="2834" max="2835" width="11" style="384"/>
    <col min="2836" max="2836" width="10.875" style="384" customWidth="1"/>
    <col min="2837" max="2837" width="9" style="384" customWidth="1"/>
    <col min="2838" max="2838" width="4.875" style="384" customWidth="1"/>
    <col min="2839" max="2839" width="10.25" style="384" customWidth="1"/>
    <col min="2840" max="2844" width="10.875" style="384" customWidth="1"/>
    <col min="2845" max="3072" width="11" style="384"/>
    <col min="3073" max="3073" width="10.25" style="384" customWidth="1"/>
    <col min="3074" max="3074" width="33.5" style="384" customWidth="1"/>
    <col min="3075" max="3075" width="10.5" style="384" customWidth="1"/>
    <col min="3076" max="3076" width="10.375" style="384" customWidth="1"/>
    <col min="3077" max="3077" width="2.5" style="384" bestFit="1" customWidth="1"/>
    <col min="3078" max="3081" width="10.25" style="384" customWidth="1"/>
    <col min="3082" max="3082" width="12" style="384" customWidth="1"/>
    <col min="3083" max="3083" width="10.25" style="384" customWidth="1"/>
    <col min="3084" max="3084" width="9" style="384" customWidth="1"/>
    <col min="3085" max="3085" width="9.75" style="384" customWidth="1"/>
    <col min="3086" max="3086" width="8.75" style="384" customWidth="1"/>
    <col min="3087" max="3087" width="6.5" style="384" customWidth="1"/>
    <col min="3088" max="3088" width="11" style="384"/>
    <col min="3089" max="3089" width="5.875" style="384" customWidth="1"/>
    <col min="3090" max="3091" width="11" style="384"/>
    <col min="3092" max="3092" width="10.875" style="384" customWidth="1"/>
    <col min="3093" max="3093" width="9" style="384" customWidth="1"/>
    <col min="3094" max="3094" width="4.875" style="384" customWidth="1"/>
    <col min="3095" max="3095" width="10.25" style="384" customWidth="1"/>
    <col min="3096" max="3100" width="10.875" style="384" customWidth="1"/>
    <col min="3101" max="3328" width="11" style="384"/>
    <col min="3329" max="3329" width="10.25" style="384" customWidth="1"/>
    <col min="3330" max="3330" width="33.5" style="384" customWidth="1"/>
    <col min="3331" max="3331" width="10.5" style="384" customWidth="1"/>
    <col min="3332" max="3332" width="10.375" style="384" customWidth="1"/>
    <col min="3333" max="3333" width="2.5" style="384" bestFit="1" customWidth="1"/>
    <col min="3334" max="3337" width="10.25" style="384" customWidth="1"/>
    <col min="3338" max="3338" width="12" style="384" customWidth="1"/>
    <col min="3339" max="3339" width="10.25" style="384" customWidth="1"/>
    <col min="3340" max="3340" width="9" style="384" customWidth="1"/>
    <col min="3341" max="3341" width="9.75" style="384" customWidth="1"/>
    <col min="3342" max="3342" width="8.75" style="384" customWidth="1"/>
    <col min="3343" max="3343" width="6.5" style="384" customWidth="1"/>
    <col min="3344" max="3344" width="11" style="384"/>
    <col min="3345" max="3345" width="5.875" style="384" customWidth="1"/>
    <col min="3346" max="3347" width="11" style="384"/>
    <col min="3348" max="3348" width="10.875" style="384" customWidth="1"/>
    <col min="3349" max="3349" width="9" style="384" customWidth="1"/>
    <col min="3350" max="3350" width="4.875" style="384" customWidth="1"/>
    <col min="3351" max="3351" width="10.25" style="384" customWidth="1"/>
    <col min="3352" max="3356" width="10.875" style="384" customWidth="1"/>
    <col min="3357" max="3584" width="11" style="384"/>
    <col min="3585" max="3585" width="10.25" style="384" customWidth="1"/>
    <col min="3586" max="3586" width="33.5" style="384" customWidth="1"/>
    <col min="3587" max="3587" width="10.5" style="384" customWidth="1"/>
    <col min="3588" max="3588" width="10.375" style="384" customWidth="1"/>
    <col min="3589" max="3589" width="2.5" style="384" bestFit="1" customWidth="1"/>
    <col min="3590" max="3593" width="10.25" style="384" customWidth="1"/>
    <col min="3594" max="3594" width="12" style="384" customWidth="1"/>
    <col min="3595" max="3595" width="10.25" style="384" customWidth="1"/>
    <col min="3596" max="3596" width="9" style="384" customWidth="1"/>
    <col min="3597" max="3597" width="9.75" style="384" customWidth="1"/>
    <col min="3598" max="3598" width="8.75" style="384" customWidth="1"/>
    <col min="3599" max="3599" width="6.5" style="384" customWidth="1"/>
    <col min="3600" max="3600" width="11" style="384"/>
    <col min="3601" max="3601" width="5.875" style="384" customWidth="1"/>
    <col min="3602" max="3603" width="11" style="384"/>
    <col min="3604" max="3604" width="10.875" style="384" customWidth="1"/>
    <col min="3605" max="3605" width="9" style="384" customWidth="1"/>
    <col min="3606" max="3606" width="4.875" style="384" customWidth="1"/>
    <col min="3607" max="3607" width="10.25" style="384" customWidth="1"/>
    <col min="3608" max="3612" width="10.875" style="384" customWidth="1"/>
    <col min="3613" max="3840" width="11" style="384"/>
    <col min="3841" max="3841" width="10.25" style="384" customWidth="1"/>
    <col min="3842" max="3842" width="33.5" style="384" customWidth="1"/>
    <col min="3843" max="3843" width="10.5" style="384" customWidth="1"/>
    <col min="3844" max="3844" width="10.375" style="384" customWidth="1"/>
    <col min="3845" max="3845" width="2.5" style="384" bestFit="1" customWidth="1"/>
    <col min="3846" max="3849" width="10.25" style="384" customWidth="1"/>
    <col min="3850" max="3850" width="12" style="384" customWidth="1"/>
    <col min="3851" max="3851" width="10.25" style="384" customWidth="1"/>
    <col min="3852" max="3852" width="9" style="384" customWidth="1"/>
    <col min="3853" max="3853" width="9.75" style="384" customWidth="1"/>
    <col min="3854" max="3854" width="8.75" style="384" customWidth="1"/>
    <col min="3855" max="3855" width="6.5" style="384" customWidth="1"/>
    <col min="3856" max="3856" width="11" style="384"/>
    <col min="3857" max="3857" width="5.875" style="384" customWidth="1"/>
    <col min="3858" max="3859" width="11" style="384"/>
    <col min="3860" max="3860" width="10.875" style="384" customWidth="1"/>
    <col min="3861" max="3861" width="9" style="384" customWidth="1"/>
    <col min="3862" max="3862" width="4.875" style="384" customWidth="1"/>
    <col min="3863" max="3863" width="10.25" style="384" customWidth="1"/>
    <col min="3864" max="3868" width="10.875" style="384" customWidth="1"/>
    <col min="3869" max="4096" width="11" style="384"/>
    <col min="4097" max="4097" width="10.25" style="384" customWidth="1"/>
    <col min="4098" max="4098" width="33.5" style="384" customWidth="1"/>
    <col min="4099" max="4099" width="10.5" style="384" customWidth="1"/>
    <col min="4100" max="4100" width="10.375" style="384" customWidth="1"/>
    <col min="4101" max="4101" width="2.5" style="384" bestFit="1" customWidth="1"/>
    <col min="4102" max="4105" width="10.25" style="384" customWidth="1"/>
    <col min="4106" max="4106" width="12" style="384" customWidth="1"/>
    <col min="4107" max="4107" width="10.25" style="384" customWidth="1"/>
    <col min="4108" max="4108" width="9" style="384" customWidth="1"/>
    <col min="4109" max="4109" width="9.75" style="384" customWidth="1"/>
    <col min="4110" max="4110" width="8.75" style="384" customWidth="1"/>
    <col min="4111" max="4111" width="6.5" style="384" customWidth="1"/>
    <col min="4112" max="4112" width="11" style="384"/>
    <col min="4113" max="4113" width="5.875" style="384" customWidth="1"/>
    <col min="4114" max="4115" width="11" style="384"/>
    <col min="4116" max="4116" width="10.875" style="384" customWidth="1"/>
    <col min="4117" max="4117" width="9" style="384" customWidth="1"/>
    <col min="4118" max="4118" width="4.875" style="384" customWidth="1"/>
    <col min="4119" max="4119" width="10.25" style="384" customWidth="1"/>
    <col min="4120" max="4124" width="10.875" style="384" customWidth="1"/>
    <col min="4125" max="4352" width="11" style="384"/>
    <col min="4353" max="4353" width="10.25" style="384" customWidth="1"/>
    <col min="4354" max="4354" width="33.5" style="384" customWidth="1"/>
    <col min="4355" max="4355" width="10.5" style="384" customWidth="1"/>
    <col min="4356" max="4356" width="10.375" style="384" customWidth="1"/>
    <col min="4357" max="4357" width="2.5" style="384" bestFit="1" customWidth="1"/>
    <col min="4358" max="4361" width="10.25" style="384" customWidth="1"/>
    <col min="4362" max="4362" width="12" style="384" customWidth="1"/>
    <col min="4363" max="4363" width="10.25" style="384" customWidth="1"/>
    <col min="4364" max="4364" width="9" style="384" customWidth="1"/>
    <col min="4365" max="4365" width="9.75" style="384" customWidth="1"/>
    <col min="4366" max="4366" width="8.75" style="384" customWidth="1"/>
    <col min="4367" max="4367" width="6.5" style="384" customWidth="1"/>
    <col min="4368" max="4368" width="11" style="384"/>
    <col min="4369" max="4369" width="5.875" style="384" customWidth="1"/>
    <col min="4370" max="4371" width="11" style="384"/>
    <col min="4372" max="4372" width="10.875" style="384" customWidth="1"/>
    <col min="4373" max="4373" width="9" style="384" customWidth="1"/>
    <col min="4374" max="4374" width="4.875" style="384" customWidth="1"/>
    <col min="4375" max="4375" width="10.25" style="384" customWidth="1"/>
    <col min="4376" max="4380" width="10.875" style="384" customWidth="1"/>
    <col min="4381" max="4608" width="11" style="384"/>
    <col min="4609" max="4609" width="10.25" style="384" customWidth="1"/>
    <col min="4610" max="4610" width="33.5" style="384" customWidth="1"/>
    <col min="4611" max="4611" width="10.5" style="384" customWidth="1"/>
    <col min="4612" max="4612" width="10.375" style="384" customWidth="1"/>
    <col min="4613" max="4613" width="2.5" style="384" bestFit="1" customWidth="1"/>
    <col min="4614" max="4617" width="10.25" style="384" customWidth="1"/>
    <col min="4618" max="4618" width="12" style="384" customWidth="1"/>
    <col min="4619" max="4619" width="10.25" style="384" customWidth="1"/>
    <col min="4620" max="4620" width="9" style="384" customWidth="1"/>
    <col min="4621" max="4621" width="9.75" style="384" customWidth="1"/>
    <col min="4622" max="4622" width="8.75" style="384" customWidth="1"/>
    <col min="4623" max="4623" width="6.5" style="384" customWidth="1"/>
    <col min="4624" max="4624" width="11" style="384"/>
    <col min="4625" max="4625" width="5.875" style="384" customWidth="1"/>
    <col min="4626" max="4627" width="11" style="384"/>
    <col min="4628" max="4628" width="10.875" style="384" customWidth="1"/>
    <col min="4629" max="4629" width="9" style="384" customWidth="1"/>
    <col min="4630" max="4630" width="4.875" style="384" customWidth="1"/>
    <col min="4631" max="4631" width="10.25" style="384" customWidth="1"/>
    <col min="4632" max="4636" width="10.875" style="384" customWidth="1"/>
    <col min="4637" max="4864" width="11" style="384"/>
    <col min="4865" max="4865" width="10.25" style="384" customWidth="1"/>
    <col min="4866" max="4866" width="33.5" style="384" customWidth="1"/>
    <col min="4867" max="4867" width="10.5" style="384" customWidth="1"/>
    <col min="4868" max="4868" width="10.375" style="384" customWidth="1"/>
    <col min="4869" max="4869" width="2.5" style="384" bestFit="1" customWidth="1"/>
    <col min="4870" max="4873" width="10.25" style="384" customWidth="1"/>
    <col min="4874" max="4874" width="12" style="384" customWidth="1"/>
    <col min="4875" max="4875" width="10.25" style="384" customWidth="1"/>
    <col min="4876" max="4876" width="9" style="384" customWidth="1"/>
    <col min="4877" max="4877" width="9.75" style="384" customWidth="1"/>
    <col min="4878" max="4878" width="8.75" style="384" customWidth="1"/>
    <col min="4879" max="4879" width="6.5" style="384" customWidth="1"/>
    <col min="4880" max="4880" width="11" style="384"/>
    <col min="4881" max="4881" width="5.875" style="384" customWidth="1"/>
    <col min="4882" max="4883" width="11" style="384"/>
    <col min="4884" max="4884" width="10.875" style="384" customWidth="1"/>
    <col min="4885" max="4885" width="9" style="384" customWidth="1"/>
    <col min="4886" max="4886" width="4.875" style="384" customWidth="1"/>
    <col min="4887" max="4887" width="10.25" style="384" customWidth="1"/>
    <col min="4888" max="4892" width="10.875" style="384" customWidth="1"/>
    <col min="4893" max="5120" width="11" style="384"/>
    <col min="5121" max="5121" width="10.25" style="384" customWidth="1"/>
    <col min="5122" max="5122" width="33.5" style="384" customWidth="1"/>
    <col min="5123" max="5123" width="10.5" style="384" customWidth="1"/>
    <col min="5124" max="5124" width="10.375" style="384" customWidth="1"/>
    <col min="5125" max="5125" width="2.5" style="384" bestFit="1" customWidth="1"/>
    <col min="5126" max="5129" width="10.25" style="384" customWidth="1"/>
    <col min="5130" max="5130" width="12" style="384" customWidth="1"/>
    <col min="5131" max="5131" width="10.25" style="384" customWidth="1"/>
    <col min="5132" max="5132" width="9" style="384" customWidth="1"/>
    <col min="5133" max="5133" width="9.75" style="384" customWidth="1"/>
    <col min="5134" max="5134" width="8.75" style="384" customWidth="1"/>
    <col min="5135" max="5135" width="6.5" style="384" customWidth="1"/>
    <col min="5136" max="5136" width="11" style="384"/>
    <col min="5137" max="5137" width="5.875" style="384" customWidth="1"/>
    <col min="5138" max="5139" width="11" style="384"/>
    <col min="5140" max="5140" width="10.875" style="384" customWidth="1"/>
    <col min="5141" max="5141" width="9" style="384" customWidth="1"/>
    <col min="5142" max="5142" width="4.875" style="384" customWidth="1"/>
    <col min="5143" max="5143" width="10.25" style="384" customWidth="1"/>
    <col min="5144" max="5148" width="10.875" style="384" customWidth="1"/>
    <col min="5149" max="5376" width="11" style="384"/>
    <col min="5377" max="5377" width="10.25" style="384" customWidth="1"/>
    <col min="5378" max="5378" width="33.5" style="384" customWidth="1"/>
    <col min="5379" max="5379" width="10.5" style="384" customWidth="1"/>
    <col min="5380" max="5380" width="10.375" style="384" customWidth="1"/>
    <col min="5381" max="5381" width="2.5" style="384" bestFit="1" customWidth="1"/>
    <col min="5382" max="5385" width="10.25" style="384" customWidth="1"/>
    <col min="5386" max="5386" width="12" style="384" customWidth="1"/>
    <col min="5387" max="5387" width="10.25" style="384" customWidth="1"/>
    <col min="5388" max="5388" width="9" style="384" customWidth="1"/>
    <col min="5389" max="5389" width="9.75" style="384" customWidth="1"/>
    <col min="5390" max="5390" width="8.75" style="384" customWidth="1"/>
    <col min="5391" max="5391" width="6.5" style="384" customWidth="1"/>
    <col min="5392" max="5392" width="11" style="384"/>
    <col min="5393" max="5393" width="5.875" style="384" customWidth="1"/>
    <col min="5394" max="5395" width="11" style="384"/>
    <col min="5396" max="5396" width="10.875" style="384" customWidth="1"/>
    <col min="5397" max="5397" width="9" style="384" customWidth="1"/>
    <col min="5398" max="5398" width="4.875" style="384" customWidth="1"/>
    <col min="5399" max="5399" width="10.25" style="384" customWidth="1"/>
    <col min="5400" max="5404" width="10.875" style="384" customWidth="1"/>
    <col min="5405" max="5632" width="11" style="384"/>
    <col min="5633" max="5633" width="10.25" style="384" customWidth="1"/>
    <col min="5634" max="5634" width="33.5" style="384" customWidth="1"/>
    <col min="5635" max="5635" width="10.5" style="384" customWidth="1"/>
    <col min="5636" max="5636" width="10.375" style="384" customWidth="1"/>
    <col min="5637" max="5637" width="2.5" style="384" bestFit="1" customWidth="1"/>
    <col min="5638" max="5641" width="10.25" style="384" customWidth="1"/>
    <col min="5642" max="5642" width="12" style="384" customWidth="1"/>
    <col min="5643" max="5643" width="10.25" style="384" customWidth="1"/>
    <col min="5644" max="5644" width="9" style="384" customWidth="1"/>
    <col min="5645" max="5645" width="9.75" style="384" customWidth="1"/>
    <col min="5646" max="5646" width="8.75" style="384" customWidth="1"/>
    <col min="5647" max="5647" width="6.5" style="384" customWidth="1"/>
    <col min="5648" max="5648" width="11" style="384"/>
    <col min="5649" max="5649" width="5.875" style="384" customWidth="1"/>
    <col min="5650" max="5651" width="11" style="384"/>
    <col min="5652" max="5652" width="10.875" style="384" customWidth="1"/>
    <col min="5653" max="5653" width="9" style="384" customWidth="1"/>
    <col min="5654" max="5654" width="4.875" style="384" customWidth="1"/>
    <col min="5655" max="5655" width="10.25" style="384" customWidth="1"/>
    <col min="5656" max="5660" width="10.875" style="384" customWidth="1"/>
    <col min="5661" max="5888" width="11" style="384"/>
    <col min="5889" max="5889" width="10.25" style="384" customWidth="1"/>
    <col min="5890" max="5890" width="33.5" style="384" customWidth="1"/>
    <col min="5891" max="5891" width="10.5" style="384" customWidth="1"/>
    <col min="5892" max="5892" width="10.375" style="384" customWidth="1"/>
    <col min="5893" max="5893" width="2.5" style="384" bestFit="1" customWidth="1"/>
    <col min="5894" max="5897" width="10.25" style="384" customWidth="1"/>
    <col min="5898" max="5898" width="12" style="384" customWidth="1"/>
    <col min="5899" max="5899" width="10.25" style="384" customWidth="1"/>
    <col min="5900" max="5900" width="9" style="384" customWidth="1"/>
    <col min="5901" max="5901" width="9.75" style="384" customWidth="1"/>
    <col min="5902" max="5902" width="8.75" style="384" customWidth="1"/>
    <col min="5903" max="5903" width="6.5" style="384" customWidth="1"/>
    <col min="5904" max="5904" width="11" style="384"/>
    <col min="5905" max="5905" width="5.875" style="384" customWidth="1"/>
    <col min="5906" max="5907" width="11" style="384"/>
    <col min="5908" max="5908" width="10.875" style="384" customWidth="1"/>
    <col min="5909" max="5909" width="9" style="384" customWidth="1"/>
    <col min="5910" max="5910" width="4.875" style="384" customWidth="1"/>
    <col min="5911" max="5911" width="10.25" style="384" customWidth="1"/>
    <col min="5912" max="5916" width="10.875" style="384" customWidth="1"/>
    <col min="5917" max="6144" width="11" style="384"/>
    <col min="6145" max="6145" width="10.25" style="384" customWidth="1"/>
    <col min="6146" max="6146" width="33.5" style="384" customWidth="1"/>
    <col min="6147" max="6147" width="10.5" style="384" customWidth="1"/>
    <col min="6148" max="6148" width="10.375" style="384" customWidth="1"/>
    <col min="6149" max="6149" width="2.5" style="384" bestFit="1" customWidth="1"/>
    <col min="6150" max="6153" width="10.25" style="384" customWidth="1"/>
    <col min="6154" max="6154" width="12" style="384" customWidth="1"/>
    <col min="6155" max="6155" width="10.25" style="384" customWidth="1"/>
    <col min="6156" max="6156" width="9" style="384" customWidth="1"/>
    <col min="6157" max="6157" width="9.75" style="384" customWidth="1"/>
    <col min="6158" max="6158" width="8.75" style="384" customWidth="1"/>
    <col min="6159" max="6159" width="6.5" style="384" customWidth="1"/>
    <col min="6160" max="6160" width="11" style="384"/>
    <col min="6161" max="6161" width="5.875" style="384" customWidth="1"/>
    <col min="6162" max="6163" width="11" style="384"/>
    <col min="6164" max="6164" width="10.875" style="384" customWidth="1"/>
    <col min="6165" max="6165" width="9" style="384" customWidth="1"/>
    <col min="6166" max="6166" width="4.875" style="384" customWidth="1"/>
    <col min="6167" max="6167" width="10.25" style="384" customWidth="1"/>
    <col min="6168" max="6172" width="10.875" style="384" customWidth="1"/>
    <col min="6173" max="6400" width="11" style="384"/>
    <col min="6401" max="6401" width="10.25" style="384" customWidth="1"/>
    <col min="6402" max="6402" width="33.5" style="384" customWidth="1"/>
    <col min="6403" max="6403" width="10.5" style="384" customWidth="1"/>
    <col min="6404" max="6404" width="10.375" style="384" customWidth="1"/>
    <col min="6405" max="6405" width="2.5" style="384" bestFit="1" customWidth="1"/>
    <col min="6406" max="6409" width="10.25" style="384" customWidth="1"/>
    <col min="6410" max="6410" width="12" style="384" customWidth="1"/>
    <col min="6411" max="6411" width="10.25" style="384" customWidth="1"/>
    <col min="6412" max="6412" width="9" style="384" customWidth="1"/>
    <col min="6413" max="6413" width="9.75" style="384" customWidth="1"/>
    <col min="6414" max="6414" width="8.75" style="384" customWidth="1"/>
    <col min="6415" max="6415" width="6.5" style="384" customWidth="1"/>
    <col min="6416" max="6416" width="11" style="384"/>
    <col min="6417" max="6417" width="5.875" style="384" customWidth="1"/>
    <col min="6418" max="6419" width="11" style="384"/>
    <col min="6420" max="6420" width="10.875" style="384" customWidth="1"/>
    <col min="6421" max="6421" width="9" style="384" customWidth="1"/>
    <col min="6422" max="6422" width="4.875" style="384" customWidth="1"/>
    <col min="6423" max="6423" width="10.25" style="384" customWidth="1"/>
    <col min="6424" max="6428" width="10.875" style="384" customWidth="1"/>
    <col min="6429" max="6656" width="11" style="384"/>
    <col min="6657" max="6657" width="10.25" style="384" customWidth="1"/>
    <col min="6658" max="6658" width="33.5" style="384" customWidth="1"/>
    <col min="6659" max="6659" width="10.5" style="384" customWidth="1"/>
    <col min="6660" max="6660" width="10.375" style="384" customWidth="1"/>
    <col min="6661" max="6661" width="2.5" style="384" bestFit="1" customWidth="1"/>
    <col min="6662" max="6665" width="10.25" style="384" customWidth="1"/>
    <col min="6666" max="6666" width="12" style="384" customWidth="1"/>
    <col min="6667" max="6667" width="10.25" style="384" customWidth="1"/>
    <col min="6668" max="6668" width="9" style="384" customWidth="1"/>
    <col min="6669" max="6669" width="9.75" style="384" customWidth="1"/>
    <col min="6670" max="6670" width="8.75" style="384" customWidth="1"/>
    <col min="6671" max="6671" width="6.5" style="384" customWidth="1"/>
    <col min="6672" max="6672" width="11" style="384"/>
    <col min="6673" max="6673" width="5.875" style="384" customWidth="1"/>
    <col min="6674" max="6675" width="11" style="384"/>
    <col min="6676" max="6676" width="10.875" style="384" customWidth="1"/>
    <col min="6677" max="6677" width="9" style="384" customWidth="1"/>
    <col min="6678" max="6678" width="4.875" style="384" customWidth="1"/>
    <col min="6679" max="6679" width="10.25" style="384" customWidth="1"/>
    <col min="6680" max="6684" width="10.875" style="384" customWidth="1"/>
    <col min="6685" max="6912" width="11" style="384"/>
    <col min="6913" max="6913" width="10.25" style="384" customWidth="1"/>
    <col min="6914" max="6914" width="33.5" style="384" customWidth="1"/>
    <col min="6915" max="6915" width="10.5" style="384" customWidth="1"/>
    <col min="6916" max="6916" width="10.375" style="384" customWidth="1"/>
    <col min="6917" max="6917" width="2.5" style="384" bestFit="1" customWidth="1"/>
    <col min="6918" max="6921" width="10.25" style="384" customWidth="1"/>
    <col min="6922" max="6922" width="12" style="384" customWidth="1"/>
    <col min="6923" max="6923" width="10.25" style="384" customWidth="1"/>
    <col min="6924" max="6924" width="9" style="384" customWidth="1"/>
    <col min="6925" max="6925" width="9.75" style="384" customWidth="1"/>
    <col min="6926" max="6926" width="8.75" style="384" customWidth="1"/>
    <col min="6927" max="6927" width="6.5" style="384" customWidth="1"/>
    <col min="6928" max="6928" width="11" style="384"/>
    <col min="6929" max="6929" width="5.875" style="384" customWidth="1"/>
    <col min="6930" max="6931" width="11" style="384"/>
    <col min="6932" max="6932" width="10.875" style="384" customWidth="1"/>
    <col min="6933" max="6933" width="9" style="384" customWidth="1"/>
    <col min="6934" max="6934" width="4.875" style="384" customWidth="1"/>
    <col min="6935" max="6935" width="10.25" style="384" customWidth="1"/>
    <col min="6936" max="6940" width="10.875" style="384" customWidth="1"/>
    <col min="6941" max="7168" width="11" style="384"/>
    <col min="7169" max="7169" width="10.25" style="384" customWidth="1"/>
    <col min="7170" max="7170" width="33.5" style="384" customWidth="1"/>
    <col min="7171" max="7171" width="10.5" style="384" customWidth="1"/>
    <col min="7172" max="7172" width="10.375" style="384" customWidth="1"/>
    <col min="7173" max="7173" width="2.5" style="384" bestFit="1" customWidth="1"/>
    <col min="7174" max="7177" width="10.25" style="384" customWidth="1"/>
    <col min="7178" max="7178" width="12" style="384" customWidth="1"/>
    <col min="7179" max="7179" width="10.25" style="384" customWidth="1"/>
    <col min="7180" max="7180" width="9" style="384" customWidth="1"/>
    <col min="7181" max="7181" width="9.75" style="384" customWidth="1"/>
    <col min="7182" max="7182" width="8.75" style="384" customWidth="1"/>
    <col min="7183" max="7183" width="6.5" style="384" customWidth="1"/>
    <col min="7184" max="7184" width="11" style="384"/>
    <col min="7185" max="7185" width="5.875" style="384" customWidth="1"/>
    <col min="7186" max="7187" width="11" style="384"/>
    <col min="7188" max="7188" width="10.875" style="384" customWidth="1"/>
    <col min="7189" max="7189" width="9" style="384" customWidth="1"/>
    <col min="7190" max="7190" width="4.875" style="384" customWidth="1"/>
    <col min="7191" max="7191" width="10.25" style="384" customWidth="1"/>
    <col min="7192" max="7196" width="10.875" style="384" customWidth="1"/>
    <col min="7197" max="7424" width="11" style="384"/>
    <col min="7425" max="7425" width="10.25" style="384" customWidth="1"/>
    <col min="7426" max="7426" width="33.5" style="384" customWidth="1"/>
    <col min="7427" max="7427" width="10.5" style="384" customWidth="1"/>
    <col min="7428" max="7428" width="10.375" style="384" customWidth="1"/>
    <col min="7429" max="7429" width="2.5" style="384" bestFit="1" customWidth="1"/>
    <col min="7430" max="7433" width="10.25" style="384" customWidth="1"/>
    <col min="7434" max="7434" width="12" style="384" customWidth="1"/>
    <col min="7435" max="7435" width="10.25" style="384" customWidth="1"/>
    <col min="7436" max="7436" width="9" style="384" customWidth="1"/>
    <col min="7437" max="7437" width="9.75" style="384" customWidth="1"/>
    <col min="7438" max="7438" width="8.75" style="384" customWidth="1"/>
    <col min="7439" max="7439" width="6.5" style="384" customWidth="1"/>
    <col min="7440" max="7440" width="11" style="384"/>
    <col min="7441" max="7441" width="5.875" style="384" customWidth="1"/>
    <col min="7442" max="7443" width="11" style="384"/>
    <col min="7444" max="7444" width="10.875" style="384" customWidth="1"/>
    <col min="7445" max="7445" width="9" style="384" customWidth="1"/>
    <col min="7446" max="7446" width="4.875" style="384" customWidth="1"/>
    <col min="7447" max="7447" width="10.25" style="384" customWidth="1"/>
    <col min="7448" max="7452" width="10.875" style="384" customWidth="1"/>
    <col min="7453" max="7680" width="11" style="384"/>
    <col min="7681" max="7681" width="10.25" style="384" customWidth="1"/>
    <col min="7682" max="7682" width="33.5" style="384" customWidth="1"/>
    <col min="7683" max="7683" width="10.5" style="384" customWidth="1"/>
    <col min="7684" max="7684" width="10.375" style="384" customWidth="1"/>
    <col min="7685" max="7685" width="2.5" style="384" bestFit="1" customWidth="1"/>
    <col min="7686" max="7689" width="10.25" style="384" customWidth="1"/>
    <col min="7690" max="7690" width="12" style="384" customWidth="1"/>
    <col min="7691" max="7691" width="10.25" style="384" customWidth="1"/>
    <col min="7692" max="7692" width="9" style="384" customWidth="1"/>
    <col min="7693" max="7693" width="9.75" style="384" customWidth="1"/>
    <col min="7694" max="7694" width="8.75" style="384" customWidth="1"/>
    <col min="7695" max="7695" width="6.5" style="384" customWidth="1"/>
    <col min="7696" max="7696" width="11" style="384"/>
    <col min="7697" max="7697" width="5.875" style="384" customWidth="1"/>
    <col min="7698" max="7699" width="11" style="384"/>
    <col min="7700" max="7700" width="10.875" style="384" customWidth="1"/>
    <col min="7701" max="7701" width="9" style="384" customWidth="1"/>
    <col min="7702" max="7702" width="4.875" style="384" customWidth="1"/>
    <col min="7703" max="7703" width="10.25" style="384" customWidth="1"/>
    <col min="7704" max="7708" width="10.875" style="384" customWidth="1"/>
    <col min="7709" max="7936" width="11" style="384"/>
    <col min="7937" max="7937" width="10.25" style="384" customWidth="1"/>
    <col min="7938" max="7938" width="33.5" style="384" customWidth="1"/>
    <col min="7939" max="7939" width="10.5" style="384" customWidth="1"/>
    <col min="7940" max="7940" width="10.375" style="384" customWidth="1"/>
    <col min="7941" max="7941" width="2.5" style="384" bestFit="1" customWidth="1"/>
    <col min="7942" max="7945" width="10.25" style="384" customWidth="1"/>
    <col min="7946" max="7946" width="12" style="384" customWidth="1"/>
    <col min="7947" max="7947" width="10.25" style="384" customWidth="1"/>
    <col min="7948" max="7948" width="9" style="384" customWidth="1"/>
    <col min="7949" max="7949" width="9.75" style="384" customWidth="1"/>
    <col min="7950" max="7950" width="8.75" style="384" customWidth="1"/>
    <col min="7951" max="7951" width="6.5" style="384" customWidth="1"/>
    <col min="7952" max="7952" width="11" style="384"/>
    <col min="7953" max="7953" width="5.875" style="384" customWidth="1"/>
    <col min="7954" max="7955" width="11" style="384"/>
    <col min="7956" max="7956" width="10.875" style="384" customWidth="1"/>
    <col min="7957" max="7957" width="9" style="384" customWidth="1"/>
    <col min="7958" max="7958" width="4.875" style="384" customWidth="1"/>
    <col min="7959" max="7959" width="10.25" style="384" customWidth="1"/>
    <col min="7960" max="7964" width="10.875" style="384" customWidth="1"/>
    <col min="7965" max="8192" width="11" style="384"/>
    <col min="8193" max="8193" width="10.25" style="384" customWidth="1"/>
    <col min="8194" max="8194" width="33.5" style="384" customWidth="1"/>
    <col min="8195" max="8195" width="10.5" style="384" customWidth="1"/>
    <col min="8196" max="8196" width="10.375" style="384" customWidth="1"/>
    <col min="8197" max="8197" width="2.5" style="384" bestFit="1" customWidth="1"/>
    <col min="8198" max="8201" width="10.25" style="384" customWidth="1"/>
    <col min="8202" max="8202" width="12" style="384" customWidth="1"/>
    <col min="8203" max="8203" width="10.25" style="384" customWidth="1"/>
    <col min="8204" max="8204" width="9" style="384" customWidth="1"/>
    <col min="8205" max="8205" width="9.75" style="384" customWidth="1"/>
    <col min="8206" max="8206" width="8.75" style="384" customWidth="1"/>
    <col min="8207" max="8207" width="6.5" style="384" customWidth="1"/>
    <col min="8208" max="8208" width="11" style="384"/>
    <col min="8209" max="8209" width="5.875" style="384" customWidth="1"/>
    <col min="8210" max="8211" width="11" style="384"/>
    <col min="8212" max="8212" width="10.875" style="384" customWidth="1"/>
    <col min="8213" max="8213" width="9" style="384" customWidth="1"/>
    <col min="8214" max="8214" width="4.875" style="384" customWidth="1"/>
    <col min="8215" max="8215" width="10.25" style="384" customWidth="1"/>
    <col min="8216" max="8220" width="10.875" style="384" customWidth="1"/>
    <col min="8221" max="8448" width="11" style="384"/>
    <col min="8449" max="8449" width="10.25" style="384" customWidth="1"/>
    <col min="8450" max="8450" width="33.5" style="384" customWidth="1"/>
    <col min="8451" max="8451" width="10.5" style="384" customWidth="1"/>
    <col min="8452" max="8452" width="10.375" style="384" customWidth="1"/>
    <col min="8453" max="8453" width="2.5" style="384" bestFit="1" customWidth="1"/>
    <col min="8454" max="8457" width="10.25" style="384" customWidth="1"/>
    <col min="8458" max="8458" width="12" style="384" customWidth="1"/>
    <col min="8459" max="8459" width="10.25" style="384" customWidth="1"/>
    <col min="8460" max="8460" width="9" style="384" customWidth="1"/>
    <col min="8461" max="8461" width="9.75" style="384" customWidth="1"/>
    <col min="8462" max="8462" width="8.75" style="384" customWidth="1"/>
    <col min="8463" max="8463" width="6.5" style="384" customWidth="1"/>
    <col min="8464" max="8464" width="11" style="384"/>
    <col min="8465" max="8465" width="5.875" style="384" customWidth="1"/>
    <col min="8466" max="8467" width="11" style="384"/>
    <col min="8468" max="8468" width="10.875" style="384" customWidth="1"/>
    <col min="8469" max="8469" width="9" style="384" customWidth="1"/>
    <col min="8470" max="8470" width="4.875" style="384" customWidth="1"/>
    <col min="8471" max="8471" width="10.25" style="384" customWidth="1"/>
    <col min="8472" max="8476" width="10.875" style="384" customWidth="1"/>
    <col min="8477" max="8704" width="11" style="384"/>
    <col min="8705" max="8705" width="10.25" style="384" customWidth="1"/>
    <col min="8706" max="8706" width="33.5" style="384" customWidth="1"/>
    <col min="8707" max="8707" width="10.5" style="384" customWidth="1"/>
    <col min="8708" max="8708" width="10.375" style="384" customWidth="1"/>
    <col min="8709" max="8709" width="2.5" style="384" bestFit="1" customWidth="1"/>
    <col min="8710" max="8713" width="10.25" style="384" customWidth="1"/>
    <col min="8714" max="8714" width="12" style="384" customWidth="1"/>
    <col min="8715" max="8715" width="10.25" style="384" customWidth="1"/>
    <col min="8716" max="8716" width="9" style="384" customWidth="1"/>
    <col min="8717" max="8717" width="9.75" style="384" customWidth="1"/>
    <col min="8718" max="8718" width="8.75" style="384" customWidth="1"/>
    <col min="8719" max="8719" width="6.5" style="384" customWidth="1"/>
    <col min="8720" max="8720" width="11" style="384"/>
    <col min="8721" max="8721" width="5.875" style="384" customWidth="1"/>
    <col min="8722" max="8723" width="11" style="384"/>
    <col min="8724" max="8724" width="10.875" style="384" customWidth="1"/>
    <col min="8725" max="8725" width="9" style="384" customWidth="1"/>
    <col min="8726" max="8726" width="4.875" style="384" customWidth="1"/>
    <col min="8727" max="8727" width="10.25" style="384" customWidth="1"/>
    <col min="8728" max="8732" width="10.875" style="384" customWidth="1"/>
    <col min="8733" max="8960" width="11" style="384"/>
    <col min="8961" max="8961" width="10.25" style="384" customWidth="1"/>
    <col min="8962" max="8962" width="33.5" style="384" customWidth="1"/>
    <col min="8963" max="8963" width="10.5" style="384" customWidth="1"/>
    <col min="8964" max="8964" width="10.375" style="384" customWidth="1"/>
    <col min="8965" max="8965" width="2.5" style="384" bestFit="1" customWidth="1"/>
    <col min="8966" max="8969" width="10.25" style="384" customWidth="1"/>
    <col min="8970" max="8970" width="12" style="384" customWidth="1"/>
    <col min="8971" max="8971" width="10.25" style="384" customWidth="1"/>
    <col min="8972" max="8972" width="9" style="384" customWidth="1"/>
    <col min="8973" max="8973" width="9.75" style="384" customWidth="1"/>
    <col min="8974" max="8974" width="8.75" style="384" customWidth="1"/>
    <col min="8975" max="8975" width="6.5" style="384" customWidth="1"/>
    <col min="8976" max="8976" width="11" style="384"/>
    <col min="8977" max="8977" width="5.875" style="384" customWidth="1"/>
    <col min="8978" max="8979" width="11" style="384"/>
    <col min="8980" max="8980" width="10.875" style="384" customWidth="1"/>
    <col min="8981" max="8981" width="9" style="384" customWidth="1"/>
    <col min="8982" max="8982" width="4.875" style="384" customWidth="1"/>
    <col min="8983" max="8983" width="10.25" style="384" customWidth="1"/>
    <col min="8984" max="8988" width="10.875" style="384" customWidth="1"/>
    <col min="8989" max="9216" width="11" style="384"/>
    <col min="9217" max="9217" width="10.25" style="384" customWidth="1"/>
    <col min="9218" max="9218" width="33.5" style="384" customWidth="1"/>
    <col min="9219" max="9219" width="10.5" style="384" customWidth="1"/>
    <col min="9220" max="9220" width="10.375" style="384" customWidth="1"/>
    <col min="9221" max="9221" width="2.5" style="384" bestFit="1" customWidth="1"/>
    <col min="9222" max="9225" width="10.25" style="384" customWidth="1"/>
    <col min="9226" max="9226" width="12" style="384" customWidth="1"/>
    <col min="9227" max="9227" width="10.25" style="384" customWidth="1"/>
    <col min="9228" max="9228" width="9" style="384" customWidth="1"/>
    <col min="9229" max="9229" width="9.75" style="384" customWidth="1"/>
    <col min="9230" max="9230" width="8.75" style="384" customWidth="1"/>
    <col min="9231" max="9231" width="6.5" style="384" customWidth="1"/>
    <col min="9232" max="9232" width="11" style="384"/>
    <col min="9233" max="9233" width="5.875" style="384" customWidth="1"/>
    <col min="9234" max="9235" width="11" style="384"/>
    <col min="9236" max="9236" width="10.875" style="384" customWidth="1"/>
    <col min="9237" max="9237" width="9" style="384" customWidth="1"/>
    <col min="9238" max="9238" width="4.875" style="384" customWidth="1"/>
    <col min="9239" max="9239" width="10.25" style="384" customWidth="1"/>
    <col min="9240" max="9244" width="10.875" style="384" customWidth="1"/>
    <col min="9245" max="9472" width="11" style="384"/>
    <col min="9473" max="9473" width="10.25" style="384" customWidth="1"/>
    <col min="9474" max="9474" width="33.5" style="384" customWidth="1"/>
    <col min="9475" max="9475" width="10.5" style="384" customWidth="1"/>
    <col min="9476" max="9476" width="10.375" style="384" customWidth="1"/>
    <col min="9477" max="9477" width="2.5" style="384" bestFit="1" customWidth="1"/>
    <col min="9478" max="9481" width="10.25" style="384" customWidth="1"/>
    <col min="9482" max="9482" width="12" style="384" customWidth="1"/>
    <col min="9483" max="9483" width="10.25" style="384" customWidth="1"/>
    <col min="9484" max="9484" width="9" style="384" customWidth="1"/>
    <col min="9485" max="9485" width="9.75" style="384" customWidth="1"/>
    <col min="9486" max="9486" width="8.75" style="384" customWidth="1"/>
    <col min="9487" max="9487" width="6.5" style="384" customWidth="1"/>
    <col min="9488" max="9488" width="11" style="384"/>
    <col min="9489" max="9489" width="5.875" style="384" customWidth="1"/>
    <col min="9490" max="9491" width="11" style="384"/>
    <col min="9492" max="9492" width="10.875" style="384" customWidth="1"/>
    <col min="9493" max="9493" width="9" style="384" customWidth="1"/>
    <col min="9494" max="9494" width="4.875" style="384" customWidth="1"/>
    <col min="9495" max="9495" width="10.25" style="384" customWidth="1"/>
    <col min="9496" max="9500" width="10.875" style="384" customWidth="1"/>
    <col min="9501" max="9728" width="11" style="384"/>
    <col min="9729" max="9729" width="10.25" style="384" customWidth="1"/>
    <col min="9730" max="9730" width="33.5" style="384" customWidth="1"/>
    <col min="9731" max="9731" width="10.5" style="384" customWidth="1"/>
    <col min="9732" max="9732" width="10.375" style="384" customWidth="1"/>
    <col min="9733" max="9733" width="2.5" style="384" bestFit="1" customWidth="1"/>
    <col min="9734" max="9737" width="10.25" style="384" customWidth="1"/>
    <col min="9738" max="9738" width="12" style="384" customWidth="1"/>
    <col min="9739" max="9739" width="10.25" style="384" customWidth="1"/>
    <col min="9740" max="9740" width="9" style="384" customWidth="1"/>
    <col min="9741" max="9741" width="9.75" style="384" customWidth="1"/>
    <col min="9742" max="9742" width="8.75" style="384" customWidth="1"/>
    <col min="9743" max="9743" width="6.5" style="384" customWidth="1"/>
    <col min="9744" max="9744" width="11" style="384"/>
    <col min="9745" max="9745" width="5.875" style="384" customWidth="1"/>
    <col min="9746" max="9747" width="11" style="384"/>
    <col min="9748" max="9748" width="10.875" style="384" customWidth="1"/>
    <col min="9749" max="9749" width="9" style="384" customWidth="1"/>
    <col min="9750" max="9750" width="4.875" style="384" customWidth="1"/>
    <col min="9751" max="9751" width="10.25" style="384" customWidth="1"/>
    <col min="9752" max="9756" width="10.875" style="384" customWidth="1"/>
    <col min="9757" max="9984" width="11" style="384"/>
    <col min="9985" max="9985" width="10.25" style="384" customWidth="1"/>
    <col min="9986" max="9986" width="33.5" style="384" customWidth="1"/>
    <col min="9987" max="9987" width="10.5" style="384" customWidth="1"/>
    <col min="9988" max="9988" width="10.375" style="384" customWidth="1"/>
    <col min="9989" max="9989" width="2.5" style="384" bestFit="1" customWidth="1"/>
    <col min="9990" max="9993" width="10.25" style="384" customWidth="1"/>
    <col min="9994" max="9994" width="12" style="384" customWidth="1"/>
    <col min="9995" max="9995" width="10.25" style="384" customWidth="1"/>
    <col min="9996" max="9996" width="9" style="384" customWidth="1"/>
    <col min="9997" max="9997" width="9.75" style="384" customWidth="1"/>
    <col min="9998" max="9998" width="8.75" style="384" customWidth="1"/>
    <col min="9999" max="9999" width="6.5" style="384" customWidth="1"/>
    <col min="10000" max="10000" width="11" style="384"/>
    <col min="10001" max="10001" width="5.875" style="384" customWidth="1"/>
    <col min="10002" max="10003" width="11" style="384"/>
    <col min="10004" max="10004" width="10.875" style="384" customWidth="1"/>
    <col min="10005" max="10005" width="9" style="384" customWidth="1"/>
    <col min="10006" max="10006" width="4.875" style="384" customWidth="1"/>
    <col min="10007" max="10007" width="10.25" style="384" customWidth="1"/>
    <col min="10008" max="10012" width="10.875" style="384" customWidth="1"/>
    <col min="10013" max="10240" width="11" style="384"/>
    <col min="10241" max="10241" width="10.25" style="384" customWidth="1"/>
    <col min="10242" max="10242" width="33.5" style="384" customWidth="1"/>
    <col min="10243" max="10243" width="10.5" style="384" customWidth="1"/>
    <col min="10244" max="10244" width="10.375" style="384" customWidth="1"/>
    <col min="10245" max="10245" width="2.5" style="384" bestFit="1" customWidth="1"/>
    <col min="10246" max="10249" width="10.25" style="384" customWidth="1"/>
    <col min="10250" max="10250" width="12" style="384" customWidth="1"/>
    <col min="10251" max="10251" width="10.25" style="384" customWidth="1"/>
    <col min="10252" max="10252" width="9" style="384" customWidth="1"/>
    <col min="10253" max="10253" width="9.75" style="384" customWidth="1"/>
    <col min="10254" max="10254" width="8.75" style="384" customWidth="1"/>
    <col min="10255" max="10255" width="6.5" style="384" customWidth="1"/>
    <col min="10256" max="10256" width="11" style="384"/>
    <col min="10257" max="10257" width="5.875" style="384" customWidth="1"/>
    <col min="10258" max="10259" width="11" style="384"/>
    <col min="10260" max="10260" width="10.875" style="384" customWidth="1"/>
    <col min="10261" max="10261" width="9" style="384" customWidth="1"/>
    <col min="10262" max="10262" width="4.875" style="384" customWidth="1"/>
    <col min="10263" max="10263" width="10.25" style="384" customWidth="1"/>
    <col min="10264" max="10268" width="10.875" style="384" customWidth="1"/>
    <col min="10269" max="10496" width="11" style="384"/>
    <col min="10497" max="10497" width="10.25" style="384" customWidth="1"/>
    <col min="10498" max="10498" width="33.5" style="384" customWidth="1"/>
    <col min="10499" max="10499" width="10.5" style="384" customWidth="1"/>
    <col min="10500" max="10500" width="10.375" style="384" customWidth="1"/>
    <col min="10501" max="10501" width="2.5" style="384" bestFit="1" customWidth="1"/>
    <col min="10502" max="10505" width="10.25" style="384" customWidth="1"/>
    <col min="10506" max="10506" width="12" style="384" customWidth="1"/>
    <col min="10507" max="10507" width="10.25" style="384" customWidth="1"/>
    <col min="10508" max="10508" width="9" style="384" customWidth="1"/>
    <col min="10509" max="10509" width="9.75" style="384" customWidth="1"/>
    <col min="10510" max="10510" width="8.75" style="384" customWidth="1"/>
    <col min="10511" max="10511" width="6.5" style="384" customWidth="1"/>
    <col min="10512" max="10512" width="11" style="384"/>
    <col min="10513" max="10513" width="5.875" style="384" customWidth="1"/>
    <col min="10514" max="10515" width="11" style="384"/>
    <col min="10516" max="10516" width="10.875" style="384" customWidth="1"/>
    <col min="10517" max="10517" width="9" style="384" customWidth="1"/>
    <col min="10518" max="10518" width="4.875" style="384" customWidth="1"/>
    <col min="10519" max="10519" width="10.25" style="384" customWidth="1"/>
    <col min="10520" max="10524" width="10.875" style="384" customWidth="1"/>
    <col min="10525" max="10752" width="11" style="384"/>
    <col min="10753" max="10753" width="10.25" style="384" customWidth="1"/>
    <col min="10754" max="10754" width="33.5" style="384" customWidth="1"/>
    <col min="10755" max="10755" width="10.5" style="384" customWidth="1"/>
    <col min="10756" max="10756" width="10.375" style="384" customWidth="1"/>
    <col min="10757" max="10757" width="2.5" style="384" bestFit="1" customWidth="1"/>
    <col min="10758" max="10761" width="10.25" style="384" customWidth="1"/>
    <col min="10762" max="10762" width="12" style="384" customWidth="1"/>
    <col min="10763" max="10763" width="10.25" style="384" customWidth="1"/>
    <col min="10764" max="10764" width="9" style="384" customWidth="1"/>
    <col min="10765" max="10765" width="9.75" style="384" customWidth="1"/>
    <col min="10766" max="10766" width="8.75" style="384" customWidth="1"/>
    <col min="10767" max="10767" width="6.5" style="384" customWidth="1"/>
    <col min="10768" max="10768" width="11" style="384"/>
    <col min="10769" max="10769" width="5.875" style="384" customWidth="1"/>
    <col min="10770" max="10771" width="11" style="384"/>
    <col min="10772" max="10772" width="10.875" style="384" customWidth="1"/>
    <col min="10773" max="10773" width="9" style="384" customWidth="1"/>
    <col min="10774" max="10774" width="4.875" style="384" customWidth="1"/>
    <col min="10775" max="10775" width="10.25" style="384" customWidth="1"/>
    <col min="10776" max="10780" width="10.875" style="384" customWidth="1"/>
    <col min="10781" max="11008" width="11" style="384"/>
    <col min="11009" max="11009" width="10.25" style="384" customWidth="1"/>
    <col min="11010" max="11010" width="33.5" style="384" customWidth="1"/>
    <col min="11011" max="11011" width="10.5" style="384" customWidth="1"/>
    <col min="11012" max="11012" width="10.375" style="384" customWidth="1"/>
    <col min="11013" max="11013" width="2.5" style="384" bestFit="1" customWidth="1"/>
    <col min="11014" max="11017" width="10.25" style="384" customWidth="1"/>
    <col min="11018" max="11018" width="12" style="384" customWidth="1"/>
    <col min="11019" max="11019" width="10.25" style="384" customWidth="1"/>
    <col min="11020" max="11020" width="9" style="384" customWidth="1"/>
    <col min="11021" max="11021" width="9.75" style="384" customWidth="1"/>
    <col min="11022" max="11022" width="8.75" style="384" customWidth="1"/>
    <col min="11023" max="11023" width="6.5" style="384" customWidth="1"/>
    <col min="11024" max="11024" width="11" style="384"/>
    <col min="11025" max="11025" width="5.875" style="384" customWidth="1"/>
    <col min="11026" max="11027" width="11" style="384"/>
    <col min="11028" max="11028" width="10.875" style="384" customWidth="1"/>
    <col min="11029" max="11029" width="9" style="384" customWidth="1"/>
    <col min="11030" max="11030" width="4.875" style="384" customWidth="1"/>
    <col min="11031" max="11031" width="10.25" style="384" customWidth="1"/>
    <col min="11032" max="11036" width="10.875" style="384" customWidth="1"/>
    <col min="11037" max="11264" width="11" style="384"/>
    <col min="11265" max="11265" width="10.25" style="384" customWidth="1"/>
    <col min="11266" max="11266" width="33.5" style="384" customWidth="1"/>
    <col min="11267" max="11267" width="10.5" style="384" customWidth="1"/>
    <col min="11268" max="11268" width="10.375" style="384" customWidth="1"/>
    <col min="11269" max="11269" width="2.5" style="384" bestFit="1" customWidth="1"/>
    <col min="11270" max="11273" width="10.25" style="384" customWidth="1"/>
    <col min="11274" max="11274" width="12" style="384" customWidth="1"/>
    <col min="11275" max="11275" width="10.25" style="384" customWidth="1"/>
    <col min="11276" max="11276" width="9" style="384" customWidth="1"/>
    <col min="11277" max="11277" width="9.75" style="384" customWidth="1"/>
    <col min="11278" max="11278" width="8.75" style="384" customWidth="1"/>
    <col min="11279" max="11279" width="6.5" style="384" customWidth="1"/>
    <col min="11280" max="11280" width="11" style="384"/>
    <col min="11281" max="11281" width="5.875" style="384" customWidth="1"/>
    <col min="11282" max="11283" width="11" style="384"/>
    <col min="11284" max="11284" width="10.875" style="384" customWidth="1"/>
    <col min="11285" max="11285" width="9" style="384" customWidth="1"/>
    <col min="11286" max="11286" width="4.875" style="384" customWidth="1"/>
    <col min="11287" max="11287" width="10.25" style="384" customWidth="1"/>
    <col min="11288" max="11292" width="10.875" style="384" customWidth="1"/>
    <col min="11293" max="11520" width="11" style="384"/>
    <col min="11521" max="11521" width="10.25" style="384" customWidth="1"/>
    <col min="11522" max="11522" width="33.5" style="384" customWidth="1"/>
    <col min="11523" max="11523" width="10.5" style="384" customWidth="1"/>
    <col min="11524" max="11524" width="10.375" style="384" customWidth="1"/>
    <col min="11525" max="11525" width="2.5" style="384" bestFit="1" customWidth="1"/>
    <col min="11526" max="11529" width="10.25" style="384" customWidth="1"/>
    <col min="11530" max="11530" width="12" style="384" customWidth="1"/>
    <col min="11531" max="11531" width="10.25" style="384" customWidth="1"/>
    <col min="11532" max="11532" width="9" style="384" customWidth="1"/>
    <col min="11533" max="11533" width="9.75" style="384" customWidth="1"/>
    <col min="11534" max="11534" width="8.75" style="384" customWidth="1"/>
    <col min="11535" max="11535" width="6.5" style="384" customWidth="1"/>
    <col min="11536" max="11536" width="11" style="384"/>
    <col min="11537" max="11537" width="5.875" style="384" customWidth="1"/>
    <col min="11538" max="11539" width="11" style="384"/>
    <col min="11540" max="11540" width="10.875" style="384" customWidth="1"/>
    <col min="11541" max="11541" width="9" style="384" customWidth="1"/>
    <col min="11542" max="11542" width="4.875" style="384" customWidth="1"/>
    <col min="11543" max="11543" width="10.25" style="384" customWidth="1"/>
    <col min="11544" max="11548" width="10.875" style="384" customWidth="1"/>
    <col min="11549" max="11776" width="11" style="384"/>
    <col min="11777" max="11777" width="10.25" style="384" customWidth="1"/>
    <col min="11778" max="11778" width="33.5" style="384" customWidth="1"/>
    <col min="11779" max="11779" width="10.5" style="384" customWidth="1"/>
    <col min="11780" max="11780" width="10.375" style="384" customWidth="1"/>
    <col min="11781" max="11781" width="2.5" style="384" bestFit="1" customWidth="1"/>
    <col min="11782" max="11785" width="10.25" style="384" customWidth="1"/>
    <col min="11786" max="11786" width="12" style="384" customWidth="1"/>
    <col min="11787" max="11787" width="10.25" style="384" customWidth="1"/>
    <col min="11788" max="11788" width="9" style="384" customWidth="1"/>
    <col min="11789" max="11789" width="9.75" style="384" customWidth="1"/>
    <col min="11790" max="11790" width="8.75" style="384" customWidth="1"/>
    <col min="11791" max="11791" width="6.5" style="384" customWidth="1"/>
    <col min="11792" max="11792" width="11" style="384"/>
    <col min="11793" max="11793" width="5.875" style="384" customWidth="1"/>
    <col min="11794" max="11795" width="11" style="384"/>
    <col min="11796" max="11796" width="10.875" style="384" customWidth="1"/>
    <col min="11797" max="11797" width="9" style="384" customWidth="1"/>
    <col min="11798" max="11798" width="4.875" style="384" customWidth="1"/>
    <col min="11799" max="11799" width="10.25" style="384" customWidth="1"/>
    <col min="11800" max="11804" width="10.875" style="384" customWidth="1"/>
    <col min="11805" max="12032" width="11" style="384"/>
    <col min="12033" max="12033" width="10.25" style="384" customWidth="1"/>
    <col min="12034" max="12034" width="33.5" style="384" customWidth="1"/>
    <col min="12035" max="12035" width="10.5" style="384" customWidth="1"/>
    <col min="12036" max="12036" width="10.375" style="384" customWidth="1"/>
    <col min="12037" max="12037" width="2.5" style="384" bestFit="1" customWidth="1"/>
    <col min="12038" max="12041" width="10.25" style="384" customWidth="1"/>
    <col min="12042" max="12042" width="12" style="384" customWidth="1"/>
    <col min="12043" max="12043" width="10.25" style="384" customWidth="1"/>
    <col min="12044" max="12044" width="9" style="384" customWidth="1"/>
    <col min="12045" max="12045" width="9.75" style="384" customWidth="1"/>
    <col min="12046" max="12046" width="8.75" style="384" customWidth="1"/>
    <col min="12047" max="12047" width="6.5" style="384" customWidth="1"/>
    <col min="12048" max="12048" width="11" style="384"/>
    <col min="12049" max="12049" width="5.875" style="384" customWidth="1"/>
    <col min="12050" max="12051" width="11" style="384"/>
    <col min="12052" max="12052" width="10.875" style="384" customWidth="1"/>
    <col min="12053" max="12053" width="9" style="384" customWidth="1"/>
    <col min="12054" max="12054" width="4.875" style="384" customWidth="1"/>
    <col min="12055" max="12055" width="10.25" style="384" customWidth="1"/>
    <col min="12056" max="12060" width="10.875" style="384" customWidth="1"/>
    <col min="12061" max="12288" width="11" style="384"/>
    <col min="12289" max="12289" width="10.25" style="384" customWidth="1"/>
    <col min="12290" max="12290" width="33.5" style="384" customWidth="1"/>
    <col min="12291" max="12291" width="10.5" style="384" customWidth="1"/>
    <col min="12292" max="12292" width="10.375" style="384" customWidth="1"/>
    <col min="12293" max="12293" width="2.5" style="384" bestFit="1" customWidth="1"/>
    <col min="12294" max="12297" width="10.25" style="384" customWidth="1"/>
    <col min="12298" max="12298" width="12" style="384" customWidth="1"/>
    <col min="12299" max="12299" width="10.25" style="384" customWidth="1"/>
    <col min="12300" max="12300" width="9" style="384" customWidth="1"/>
    <col min="12301" max="12301" width="9.75" style="384" customWidth="1"/>
    <col min="12302" max="12302" width="8.75" style="384" customWidth="1"/>
    <col min="12303" max="12303" width="6.5" style="384" customWidth="1"/>
    <col min="12304" max="12304" width="11" style="384"/>
    <col min="12305" max="12305" width="5.875" style="384" customWidth="1"/>
    <col min="12306" max="12307" width="11" style="384"/>
    <col min="12308" max="12308" width="10.875" style="384" customWidth="1"/>
    <col min="12309" max="12309" width="9" style="384" customWidth="1"/>
    <col min="12310" max="12310" width="4.875" style="384" customWidth="1"/>
    <col min="12311" max="12311" width="10.25" style="384" customWidth="1"/>
    <col min="12312" max="12316" width="10.875" style="384" customWidth="1"/>
    <col min="12317" max="12544" width="11" style="384"/>
    <col min="12545" max="12545" width="10.25" style="384" customWidth="1"/>
    <col min="12546" max="12546" width="33.5" style="384" customWidth="1"/>
    <col min="12547" max="12547" width="10.5" style="384" customWidth="1"/>
    <col min="12548" max="12548" width="10.375" style="384" customWidth="1"/>
    <col min="12549" max="12549" width="2.5" style="384" bestFit="1" customWidth="1"/>
    <col min="12550" max="12553" width="10.25" style="384" customWidth="1"/>
    <col min="12554" max="12554" width="12" style="384" customWidth="1"/>
    <col min="12555" max="12555" width="10.25" style="384" customWidth="1"/>
    <col min="12556" max="12556" width="9" style="384" customWidth="1"/>
    <col min="12557" max="12557" width="9.75" style="384" customWidth="1"/>
    <col min="12558" max="12558" width="8.75" style="384" customWidth="1"/>
    <col min="12559" max="12559" width="6.5" style="384" customWidth="1"/>
    <col min="12560" max="12560" width="11" style="384"/>
    <col min="12561" max="12561" width="5.875" style="384" customWidth="1"/>
    <col min="12562" max="12563" width="11" style="384"/>
    <col min="12564" max="12564" width="10.875" style="384" customWidth="1"/>
    <col min="12565" max="12565" width="9" style="384" customWidth="1"/>
    <col min="12566" max="12566" width="4.875" style="384" customWidth="1"/>
    <col min="12567" max="12567" width="10.25" style="384" customWidth="1"/>
    <col min="12568" max="12572" width="10.875" style="384" customWidth="1"/>
    <col min="12573" max="12800" width="11" style="384"/>
    <col min="12801" max="12801" width="10.25" style="384" customWidth="1"/>
    <col min="12802" max="12802" width="33.5" style="384" customWidth="1"/>
    <col min="12803" max="12803" width="10.5" style="384" customWidth="1"/>
    <col min="12804" max="12804" width="10.375" style="384" customWidth="1"/>
    <col min="12805" max="12805" width="2.5" style="384" bestFit="1" customWidth="1"/>
    <col min="12806" max="12809" width="10.25" style="384" customWidth="1"/>
    <col min="12810" max="12810" width="12" style="384" customWidth="1"/>
    <col min="12811" max="12811" width="10.25" style="384" customWidth="1"/>
    <col min="12812" max="12812" width="9" style="384" customWidth="1"/>
    <col min="12813" max="12813" width="9.75" style="384" customWidth="1"/>
    <col min="12814" max="12814" width="8.75" style="384" customWidth="1"/>
    <col min="12815" max="12815" width="6.5" style="384" customWidth="1"/>
    <col min="12816" max="12816" width="11" style="384"/>
    <col min="12817" max="12817" width="5.875" style="384" customWidth="1"/>
    <col min="12818" max="12819" width="11" style="384"/>
    <col min="12820" max="12820" width="10.875" style="384" customWidth="1"/>
    <col min="12821" max="12821" width="9" style="384" customWidth="1"/>
    <col min="12822" max="12822" width="4.875" style="384" customWidth="1"/>
    <col min="12823" max="12823" width="10.25" style="384" customWidth="1"/>
    <col min="12824" max="12828" width="10.875" style="384" customWidth="1"/>
    <col min="12829" max="13056" width="11" style="384"/>
    <col min="13057" max="13057" width="10.25" style="384" customWidth="1"/>
    <col min="13058" max="13058" width="33.5" style="384" customWidth="1"/>
    <col min="13059" max="13059" width="10.5" style="384" customWidth="1"/>
    <col min="13060" max="13060" width="10.375" style="384" customWidth="1"/>
    <col min="13061" max="13061" width="2.5" style="384" bestFit="1" customWidth="1"/>
    <col min="13062" max="13065" width="10.25" style="384" customWidth="1"/>
    <col min="13066" max="13066" width="12" style="384" customWidth="1"/>
    <col min="13067" max="13067" width="10.25" style="384" customWidth="1"/>
    <col min="13068" max="13068" width="9" style="384" customWidth="1"/>
    <col min="13069" max="13069" width="9.75" style="384" customWidth="1"/>
    <col min="13070" max="13070" width="8.75" style="384" customWidth="1"/>
    <col min="13071" max="13071" width="6.5" style="384" customWidth="1"/>
    <col min="13072" max="13072" width="11" style="384"/>
    <col min="13073" max="13073" width="5.875" style="384" customWidth="1"/>
    <col min="13074" max="13075" width="11" style="384"/>
    <col min="13076" max="13076" width="10.875" style="384" customWidth="1"/>
    <col min="13077" max="13077" width="9" style="384" customWidth="1"/>
    <col min="13078" max="13078" width="4.875" style="384" customWidth="1"/>
    <col min="13079" max="13079" width="10.25" style="384" customWidth="1"/>
    <col min="13080" max="13084" width="10.875" style="384" customWidth="1"/>
    <col min="13085" max="13312" width="11" style="384"/>
    <col min="13313" max="13313" width="10.25" style="384" customWidth="1"/>
    <col min="13314" max="13314" width="33.5" style="384" customWidth="1"/>
    <col min="13315" max="13315" width="10.5" style="384" customWidth="1"/>
    <col min="13316" max="13316" width="10.375" style="384" customWidth="1"/>
    <col min="13317" max="13317" width="2.5" style="384" bestFit="1" customWidth="1"/>
    <col min="13318" max="13321" width="10.25" style="384" customWidth="1"/>
    <col min="13322" max="13322" width="12" style="384" customWidth="1"/>
    <col min="13323" max="13323" width="10.25" style="384" customWidth="1"/>
    <col min="13324" max="13324" width="9" style="384" customWidth="1"/>
    <col min="13325" max="13325" width="9.75" style="384" customWidth="1"/>
    <col min="13326" max="13326" width="8.75" style="384" customWidth="1"/>
    <col min="13327" max="13327" width="6.5" style="384" customWidth="1"/>
    <col min="13328" max="13328" width="11" style="384"/>
    <col min="13329" max="13329" width="5.875" style="384" customWidth="1"/>
    <col min="13330" max="13331" width="11" style="384"/>
    <col min="13332" max="13332" width="10.875" style="384" customWidth="1"/>
    <col min="13333" max="13333" width="9" style="384" customWidth="1"/>
    <col min="13334" max="13334" width="4.875" style="384" customWidth="1"/>
    <col min="13335" max="13335" width="10.25" style="384" customWidth="1"/>
    <col min="13336" max="13340" width="10.875" style="384" customWidth="1"/>
    <col min="13341" max="13568" width="11" style="384"/>
    <col min="13569" max="13569" width="10.25" style="384" customWidth="1"/>
    <col min="13570" max="13570" width="33.5" style="384" customWidth="1"/>
    <col min="13571" max="13571" width="10.5" style="384" customWidth="1"/>
    <col min="13572" max="13572" width="10.375" style="384" customWidth="1"/>
    <col min="13573" max="13573" width="2.5" style="384" bestFit="1" customWidth="1"/>
    <col min="13574" max="13577" width="10.25" style="384" customWidth="1"/>
    <col min="13578" max="13578" width="12" style="384" customWidth="1"/>
    <col min="13579" max="13579" width="10.25" style="384" customWidth="1"/>
    <col min="13580" max="13580" width="9" style="384" customWidth="1"/>
    <col min="13581" max="13581" width="9.75" style="384" customWidth="1"/>
    <col min="13582" max="13582" width="8.75" style="384" customWidth="1"/>
    <col min="13583" max="13583" width="6.5" style="384" customWidth="1"/>
    <col min="13584" max="13584" width="11" style="384"/>
    <col min="13585" max="13585" width="5.875" style="384" customWidth="1"/>
    <col min="13586" max="13587" width="11" style="384"/>
    <col min="13588" max="13588" width="10.875" style="384" customWidth="1"/>
    <col min="13589" max="13589" width="9" style="384" customWidth="1"/>
    <col min="13590" max="13590" width="4.875" style="384" customWidth="1"/>
    <col min="13591" max="13591" width="10.25" style="384" customWidth="1"/>
    <col min="13592" max="13596" width="10.875" style="384" customWidth="1"/>
    <col min="13597" max="13824" width="11" style="384"/>
    <col min="13825" max="13825" width="10.25" style="384" customWidth="1"/>
    <col min="13826" max="13826" width="33.5" style="384" customWidth="1"/>
    <col min="13827" max="13827" width="10.5" style="384" customWidth="1"/>
    <col min="13828" max="13828" width="10.375" style="384" customWidth="1"/>
    <col min="13829" max="13829" width="2.5" style="384" bestFit="1" customWidth="1"/>
    <col min="13830" max="13833" width="10.25" style="384" customWidth="1"/>
    <col min="13834" max="13834" width="12" style="384" customWidth="1"/>
    <col min="13835" max="13835" width="10.25" style="384" customWidth="1"/>
    <col min="13836" max="13836" width="9" style="384" customWidth="1"/>
    <col min="13837" max="13837" width="9.75" style="384" customWidth="1"/>
    <col min="13838" max="13838" width="8.75" style="384" customWidth="1"/>
    <col min="13839" max="13839" width="6.5" style="384" customWidth="1"/>
    <col min="13840" max="13840" width="11" style="384"/>
    <col min="13841" max="13841" width="5.875" style="384" customWidth="1"/>
    <col min="13842" max="13843" width="11" style="384"/>
    <col min="13844" max="13844" width="10.875" style="384" customWidth="1"/>
    <col min="13845" max="13845" width="9" style="384" customWidth="1"/>
    <col min="13846" max="13846" width="4.875" style="384" customWidth="1"/>
    <col min="13847" max="13847" width="10.25" style="384" customWidth="1"/>
    <col min="13848" max="13852" width="10.875" style="384" customWidth="1"/>
    <col min="13853" max="14080" width="11" style="384"/>
    <col min="14081" max="14081" width="10.25" style="384" customWidth="1"/>
    <col min="14082" max="14082" width="33.5" style="384" customWidth="1"/>
    <col min="14083" max="14083" width="10.5" style="384" customWidth="1"/>
    <col min="14084" max="14084" width="10.375" style="384" customWidth="1"/>
    <col min="14085" max="14085" width="2.5" style="384" bestFit="1" customWidth="1"/>
    <col min="14086" max="14089" width="10.25" style="384" customWidth="1"/>
    <col min="14090" max="14090" width="12" style="384" customWidth="1"/>
    <col min="14091" max="14091" width="10.25" style="384" customWidth="1"/>
    <col min="14092" max="14092" width="9" style="384" customWidth="1"/>
    <col min="14093" max="14093" width="9.75" style="384" customWidth="1"/>
    <col min="14094" max="14094" width="8.75" style="384" customWidth="1"/>
    <col min="14095" max="14095" width="6.5" style="384" customWidth="1"/>
    <col min="14096" max="14096" width="11" style="384"/>
    <col min="14097" max="14097" width="5.875" style="384" customWidth="1"/>
    <col min="14098" max="14099" width="11" style="384"/>
    <col min="14100" max="14100" width="10.875" style="384" customWidth="1"/>
    <col min="14101" max="14101" width="9" style="384" customWidth="1"/>
    <col min="14102" max="14102" width="4.875" style="384" customWidth="1"/>
    <col min="14103" max="14103" width="10.25" style="384" customWidth="1"/>
    <col min="14104" max="14108" width="10.875" style="384" customWidth="1"/>
    <col min="14109" max="14336" width="11" style="384"/>
    <col min="14337" max="14337" width="10.25" style="384" customWidth="1"/>
    <col min="14338" max="14338" width="33.5" style="384" customWidth="1"/>
    <col min="14339" max="14339" width="10.5" style="384" customWidth="1"/>
    <col min="14340" max="14340" width="10.375" style="384" customWidth="1"/>
    <col min="14341" max="14341" width="2.5" style="384" bestFit="1" customWidth="1"/>
    <col min="14342" max="14345" width="10.25" style="384" customWidth="1"/>
    <col min="14346" max="14346" width="12" style="384" customWidth="1"/>
    <col min="14347" max="14347" width="10.25" style="384" customWidth="1"/>
    <col min="14348" max="14348" width="9" style="384" customWidth="1"/>
    <col min="14349" max="14349" width="9.75" style="384" customWidth="1"/>
    <col min="14350" max="14350" width="8.75" style="384" customWidth="1"/>
    <col min="14351" max="14351" width="6.5" style="384" customWidth="1"/>
    <col min="14352" max="14352" width="11" style="384"/>
    <col min="14353" max="14353" width="5.875" style="384" customWidth="1"/>
    <col min="14354" max="14355" width="11" style="384"/>
    <col min="14356" max="14356" width="10.875" style="384" customWidth="1"/>
    <col min="14357" max="14357" width="9" style="384" customWidth="1"/>
    <col min="14358" max="14358" width="4.875" style="384" customWidth="1"/>
    <col min="14359" max="14359" width="10.25" style="384" customWidth="1"/>
    <col min="14360" max="14364" width="10.875" style="384" customWidth="1"/>
    <col min="14365" max="14592" width="11" style="384"/>
    <col min="14593" max="14593" width="10.25" style="384" customWidth="1"/>
    <col min="14594" max="14594" width="33.5" style="384" customWidth="1"/>
    <col min="14595" max="14595" width="10.5" style="384" customWidth="1"/>
    <col min="14596" max="14596" width="10.375" style="384" customWidth="1"/>
    <col min="14597" max="14597" width="2.5" style="384" bestFit="1" customWidth="1"/>
    <col min="14598" max="14601" width="10.25" style="384" customWidth="1"/>
    <col min="14602" max="14602" width="12" style="384" customWidth="1"/>
    <col min="14603" max="14603" width="10.25" style="384" customWidth="1"/>
    <col min="14604" max="14604" width="9" style="384" customWidth="1"/>
    <col min="14605" max="14605" width="9.75" style="384" customWidth="1"/>
    <col min="14606" max="14606" width="8.75" style="384" customWidth="1"/>
    <col min="14607" max="14607" width="6.5" style="384" customWidth="1"/>
    <col min="14608" max="14608" width="11" style="384"/>
    <col min="14609" max="14609" width="5.875" style="384" customWidth="1"/>
    <col min="14610" max="14611" width="11" style="384"/>
    <col min="14612" max="14612" width="10.875" style="384" customWidth="1"/>
    <col min="14613" max="14613" width="9" style="384" customWidth="1"/>
    <col min="14614" max="14614" width="4.875" style="384" customWidth="1"/>
    <col min="14615" max="14615" width="10.25" style="384" customWidth="1"/>
    <col min="14616" max="14620" width="10.875" style="384" customWidth="1"/>
    <col min="14621" max="14848" width="11" style="384"/>
    <col min="14849" max="14849" width="10.25" style="384" customWidth="1"/>
    <col min="14850" max="14850" width="33.5" style="384" customWidth="1"/>
    <col min="14851" max="14851" width="10.5" style="384" customWidth="1"/>
    <col min="14852" max="14852" width="10.375" style="384" customWidth="1"/>
    <col min="14853" max="14853" width="2.5" style="384" bestFit="1" customWidth="1"/>
    <col min="14854" max="14857" width="10.25" style="384" customWidth="1"/>
    <col min="14858" max="14858" width="12" style="384" customWidth="1"/>
    <col min="14859" max="14859" width="10.25" style="384" customWidth="1"/>
    <col min="14860" max="14860" width="9" style="384" customWidth="1"/>
    <col min="14861" max="14861" width="9.75" style="384" customWidth="1"/>
    <col min="14862" max="14862" width="8.75" style="384" customWidth="1"/>
    <col min="14863" max="14863" width="6.5" style="384" customWidth="1"/>
    <col min="14864" max="14864" width="11" style="384"/>
    <col min="14865" max="14865" width="5.875" style="384" customWidth="1"/>
    <col min="14866" max="14867" width="11" style="384"/>
    <col min="14868" max="14868" width="10.875" style="384" customWidth="1"/>
    <col min="14869" max="14869" width="9" style="384" customWidth="1"/>
    <col min="14870" max="14870" width="4.875" style="384" customWidth="1"/>
    <col min="14871" max="14871" width="10.25" style="384" customWidth="1"/>
    <col min="14872" max="14876" width="10.875" style="384" customWidth="1"/>
    <col min="14877" max="15104" width="11" style="384"/>
    <col min="15105" max="15105" width="10.25" style="384" customWidth="1"/>
    <col min="15106" max="15106" width="33.5" style="384" customWidth="1"/>
    <col min="15107" max="15107" width="10.5" style="384" customWidth="1"/>
    <col min="15108" max="15108" width="10.375" style="384" customWidth="1"/>
    <col min="15109" max="15109" width="2.5" style="384" bestFit="1" customWidth="1"/>
    <col min="15110" max="15113" width="10.25" style="384" customWidth="1"/>
    <col min="15114" max="15114" width="12" style="384" customWidth="1"/>
    <col min="15115" max="15115" width="10.25" style="384" customWidth="1"/>
    <col min="15116" max="15116" width="9" style="384" customWidth="1"/>
    <col min="15117" max="15117" width="9.75" style="384" customWidth="1"/>
    <col min="15118" max="15118" width="8.75" style="384" customWidth="1"/>
    <col min="15119" max="15119" width="6.5" style="384" customWidth="1"/>
    <col min="15120" max="15120" width="11" style="384"/>
    <col min="15121" max="15121" width="5.875" style="384" customWidth="1"/>
    <col min="15122" max="15123" width="11" style="384"/>
    <col min="15124" max="15124" width="10.875" style="384" customWidth="1"/>
    <col min="15125" max="15125" width="9" style="384" customWidth="1"/>
    <col min="15126" max="15126" width="4.875" style="384" customWidth="1"/>
    <col min="15127" max="15127" width="10.25" style="384" customWidth="1"/>
    <col min="15128" max="15132" width="10.875" style="384" customWidth="1"/>
    <col min="15133" max="15360" width="11" style="384"/>
    <col min="15361" max="15361" width="10.25" style="384" customWidth="1"/>
    <col min="15362" max="15362" width="33.5" style="384" customWidth="1"/>
    <col min="15363" max="15363" width="10.5" style="384" customWidth="1"/>
    <col min="15364" max="15364" width="10.375" style="384" customWidth="1"/>
    <col min="15365" max="15365" width="2.5" style="384" bestFit="1" customWidth="1"/>
    <col min="15366" max="15369" width="10.25" style="384" customWidth="1"/>
    <col min="15370" max="15370" width="12" style="384" customWidth="1"/>
    <col min="15371" max="15371" width="10.25" style="384" customWidth="1"/>
    <col min="15372" max="15372" width="9" style="384" customWidth="1"/>
    <col min="15373" max="15373" width="9.75" style="384" customWidth="1"/>
    <col min="15374" max="15374" width="8.75" style="384" customWidth="1"/>
    <col min="15375" max="15375" width="6.5" style="384" customWidth="1"/>
    <col min="15376" max="15376" width="11" style="384"/>
    <col min="15377" max="15377" width="5.875" style="384" customWidth="1"/>
    <col min="15378" max="15379" width="11" style="384"/>
    <col min="15380" max="15380" width="10.875" style="384" customWidth="1"/>
    <col min="15381" max="15381" width="9" style="384" customWidth="1"/>
    <col min="15382" max="15382" width="4.875" style="384" customWidth="1"/>
    <col min="15383" max="15383" width="10.25" style="384" customWidth="1"/>
    <col min="15384" max="15388" width="10.875" style="384" customWidth="1"/>
    <col min="15389" max="15616" width="11" style="384"/>
    <col min="15617" max="15617" width="10.25" style="384" customWidth="1"/>
    <col min="15618" max="15618" width="33.5" style="384" customWidth="1"/>
    <col min="15619" max="15619" width="10.5" style="384" customWidth="1"/>
    <col min="15620" max="15620" width="10.375" style="384" customWidth="1"/>
    <col min="15621" max="15621" width="2.5" style="384" bestFit="1" customWidth="1"/>
    <col min="15622" max="15625" width="10.25" style="384" customWidth="1"/>
    <col min="15626" max="15626" width="12" style="384" customWidth="1"/>
    <col min="15627" max="15627" width="10.25" style="384" customWidth="1"/>
    <col min="15628" max="15628" width="9" style="384" customWidth="1"/>
    <col min="15629" max="15629" width="9.75" style="384" customWidth="1"/>
    <col min="15630" max="15630" width="8.75" style="384" customWidth="1"/>
    <col min="15631" max="15631" width="6.5" style="384" customWidth="1"/>
    <col min="15632" max="15632" width="11" style="384"/>
    <col min="15633" max="15633" width="5.875" style="384" customWidth="1"/>
    <col min="15634" max="15635" width="11" style="384"/>
    <col min="15636" max="15636" width="10.875" style="384" customWidth="1"/>
    <col min="15637" max="15637" width="9" style="384" customWidth="1"/>
    <col min="15638" max="15638" width="4.875" style="384" customWidth="1"/>
    <col min="15639" max="15639" width="10.25" style="384" customWidth="1"/>
    <col min="15640" max="15644" width="10.875" style="384" customWidth="1"/>
    <col min="15645" max="15872" width="11" style="384"/>
    <col min="15873" max="15873" width="10.25" style="384" customWidth="1"/>
    <col min="15874" max="15874" width="33.5" style="384" customWidth="1"/>
    <col min="15875" max="15875" width="10.5" style="384" customWidth="1"/>
    <col min="15876" max="15876" width="10.375" style="384" customWidth="1"/>
    <col min="15877" max="15877" width="2.5" style="384" bestFit="1" customWidth="1"/>
    <col min="15878" max="15881" width="10.25" style="384" customWidth="1"/>
    <col min="15882" max="15882" width="12" style="384" customWidth="1"/>
    <col min="15883" max="15883" width="10.25" style="384" customWidth="1"/>
    <col min="15884" max="15884" width="9" style="384" customWidth="1"/>
    <col min="15885" max="15885" width="9.75" style="384" customWidth="1"/>
    <col min="15886" max="15886" width="8.75" style="384" customWidth="1"/>
    <col min="15887" max="15887" width="6.5" style="384" customWidth="1"/>
    <col min="15888" max="15888" width="11" style="384"/>
    <col min="15889" max="15889" width="5.875" style="384" customWidth="1"/>
    <col min="15890" max="15891" width="11" style="384"/>
    <col min="15892" max="15892" width="10.875" style="384" customWidth="1"/>
    <col min="15893" max="15893" width="9" style="384" customWidth="1"/>
    <col min="15894" max="15894" width="4.875" style="384" customWidth="1"/>
    <col min="15895" max="15895" width="10.25" style="384" customWidth="1"/>
    <col min="15896" max="15900" width="10.875" style="384" customWidth="1"/>
    <col min="15901" max="16128" width="11" style="384"/>
    <col min="16129" max="16129" width="10.25" style="384" customWidth="1"/>
    <col min="16130" max="16130" width="33.5" style="384" customWidth="1"/>
    <col min="16131" max="16131" width="10.5" style="384" customWidth="1"/>
    <col min="16132" max="16132" width="10.375" style="384" customWidth="1"/>
    <col min="16133" max="16133" width="2.5" style="384" bestFit="1" customWidth="1"/>
    <col min="16134" max="16137" width="10.25" style="384" customWidth="1"/>
    <col min="16138" max="16138" width="12" style="384" customWidth="1"/>
    <col min="16139" max="16139" width="10.25" style="384" customWidth="1"/>
    <col min="16140" max="16140" width="9" style="384" customWidth="1"/>
    <col min="16141" max="16141" width="9.75" style="384" customWidth="1"/>
    <col min="16142" max="16142" width="8.75" style="384" customWidth="1"/>
    <col min="16143" max="16143" width="6.5" style="384" customWidth="1"/>
    <col min="16144" max="16144" width="11" style="384"/>
    <col min="16145" max="16145" width="5.875" style="384" customWidth="1"/>
    <col min="16146" max="16147" width="11" style="384"/>
    <col min="16148" max="16148" width="10.875" style="384" customWidth="1"/>
    <col min="16149" max="16149" width="9" style="384" customWidth="1"/>
    <col min="16150" max="16150" width="4.875" style="384" customWidth="1"/>
    <col min="16151" max="16151" width="10.25" style="384" customWidth="1"/>
    <col min="16152" max="16156" width="10.875" style="384" customWidth="1"/>
    <col min="16157" max="16384" width="11" style="384"/>
  </cols>
  <sheetData>
    <row r="1" spans="1:81" customFormat="1" ht="18" customHeight="1">
      <c r="A1" s="1520" t="s">
        <v>57</v>
      </c>
      <c r="B1" s="1"/>
      <c r="C1" s="652"/>
      <c r="D1" s="652"/>
      <c r="E1" s="2393">
        <v>42369</v>
      </c>
      <c r="F1" s="2393"/>
      <c r="G1" s="652"/>
      <c r="H1" s="652"/>
      <c r="I1" s="652"/>
      <c r="J1" s="652"/>
      <c r="K1" s="652"/>
      <c r="L1" s="652"/>
      <c r="M1" s="652"/>
      <c r="N1" s="652"/>
      <c r="O1" s="652"/>
      <c r="P1" s="652"/>
      <c r="Q1" s="652"/>
      <c r="R1" s="652"/>
      <c r="S1" s="212"/>
      <c r="T1" s="212"/>
      <c r="U1" s="652"/>
      <c r="V1" s="652"/>
      <c r="W1" s="65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64" t="s">
        <v>49</v>
      </c>
      <c r="B2" s="65" t="s">
        <v>740</v>
      </c>
      <c r="C2" s="65"/>
      <c r="D2" s="65"/>
      <c r="E2" s="65"/>
      <c r="F2" s="65"/>
      <c r="G2" s="65"/>
      <c r="H2" s="1521"/>
      <c r="I2" s="1521"/>
      <c r="Q2" s="67"/>
      <c r="R2" s="67"/>
    </row>
    <row r="3" spans="1:81">
      <c r="A3" s="1522" t="s">
        <v>60</v>
      </c>
      <c r="B3" s="1522" t="s">
        <v>50</v>
      </c>
      <c r="C3" s="65" t="s">
        <v>66</v>
      </c>
      <c r="D3" s="65" t="s">
        <v>72</v>
      </c>
      <c r="E3" s="65"/>
      <c r="F3" s="65" t="s">
        <v>84</v>
      </c>
      <c r="G3" s="1650"/>
      <c r="H3" s="65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1522"/>
      <c r="V3" s="69"/>
      <c r="W3" s="69"/>
      <c r="X3" s="70"/>
      <c r="Y3" s="70"/>
      <c r="Z3" s="70"/>
      <c r="AA3" s="70"/>
      <c r="AB3" s="70"/>
    </row>
    <row r="4" spans="1:81">
      <c r="A4" s="78" t="s">
        <v>61</v>
      </c>
      <c r="B4" s="1521" t="s">
        <v>741</v>
      </c>
      <c r="C4" s="1651"/>
      <c r="D4" s="1651"/>
      <c r="E4" s="1651"/>
      <c r="F4" s="1650"/>
      <c r="G4" s="1650"/>
      <c r="H4" s="1650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81">
      <c r="A5" s="72" t="s">
        <v>62</v>
      </c>
      <c r="B5" s="1523">
        <v>201400520</v>
      </c>
      <c r="C5" s="69"/>
      <c r="D5" s="69"/>
      <c r="E5" s="69"/>
      <c r="F5" s="64"/>
      <c r="G5" s="64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81" ht="15.75">
      <c r="A6" s="72" t="s">
        <v>51</v>
      </c>
      <c r="B6" s="74" t="s">
        <v>742</v>
      </c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8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81" s="94" customFormat="1" ht="16.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1524" t="s">
        <v>82</v>
      </c>
      <c r="V8" s="1525"/>
      <c r="W8" s="1526"/>
      <c r="X8" s="2391" t="str">
        <f>"Production cumulée au 31/12/"&amp;(YEAR($E$1)-1)</f>
        <v>Production cumulée au 31/12/2014</v>
      </c>
      <c r="Y8" s="2391" t="str">
        <f>"sous traitance cumulée au 31/12/"&amp;(YEAR($E$1)-1)</f>
        <v>sous traitance cumulée au 31/12/2014</v>
      </c>
      <c r="Z8" s="2391" t="str">
        <f>"Facturation cumulée au 31/12/"&amp;(YEAR($E$1)-1)</f>
        <v>Facturation cumulée au 31/12/2014</v>
      </c>
      <c r="AA8" s="2391" t="str">
        <f>"Encaissement cumulé au 31/12/"&amp;(YEAR($E$1)-1)</f>
        <v>Encaissement cumulé au 31/12/2014</v>
      </c>
      <c r="AB8" s="2391" t="s">
        <v>64</v>
      </c>
      <c r="AC8" s="93"/>
      <c r="AD8" s="93"/>
    </row>
    <row r="9" spans="1:81" s="94" customFormat="1" ht="10.5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527"/>
      <c r="V9" s="1528"/>
      <c r="W9" s="1529"/>
      <c r="X9" s="2392"/>
      <c r="Y9" s="2392"/>
      <c r="Z9" s="2392"/>
      <c r="AA9" s="2392"/>
      <c r="AB9" s="2392"/>
      <c r="AC9" s="93"/>
      <c r="AD9" s="93"/>
    </row>
    <row r="10" spans="1:81" s="94" customFormat="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392"/>
      <c r="Y10" s="2392"/>
      <c r="Z10" s="2392"/>
      <c r="AA10" s="2392"/>
      <c r="AB10" s="2392"/>
      <c r="AC10" s="93"/>
      <c r="AD10" s="93"/>
    </row>
    <row r="11" spans="1:81" s="94" customFormat="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392"/>
      <c r="Y11" s="2392"/>
      <c r="Z11" s="2392"/>
      <c r="AA11" s="2392"/>
      <c r="AB11" s="2392"/>
      <c r="AC11" s="93"/>
      <c r="AD11" s="93"/>
    </row>
    <row r="12" spans="1:8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392"/>
      <c r="Y12" s="2392"/>
      <c r="Z12" s="2392"/>
      <c r="AA12" s="2392"/>
      <c r="AB12" s="2392"/>
    </row>
    <row r="13" spans="1:8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</row>
    <row r="14" spans="1:81">
      <c r="A14" s="120"/>
      <c r="B14" s="121" t="s">
        <v>743</v>
      </c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81">
      <c r="A15" s="1530">
        <v>1</v>
      </c>
      <c r="B15" s="152" t="s">
        <v>744</v>
      </c>
      <c r="C15" s="124">
        <f>D15*E15</f>
        <v>508200</v>
      </c>
      <c r="D15" s="131">
        <f>423500*1.2</f>
        <v>508200</v>
      </c>
      <c r="E15" s="132">
        <v>1</v>
      </c>
      <c r="F15" s="124">
        <f>D15*E15</f>
        <v>508200</v>
      </c>
      <c r="G15" s="2307">
        <v>87120</v>
      </c>
      <c r="H15" s="103" t="s">
        <v>104</v>
      </c>
      <c r="I15" s="103"/>
      <c r="J15" s="103"/>
      <c r="K15" s="103"/>
      <c r="L15" s="103">
        <f>I15-J15+K15</f>
        <v>0</v>
      </c>
      <c r="M15" s="103"/>
      <c r="N15" s="2307">
        <f>G15</f>
        <v>87120</v>
      </c>
      <c r="O15" s="105"/>
      <c r="P15" s="103"/>
      <c r="Q15" s="105"/>
      <c r="R15" s="105"/>
      <c r="S15" s="123"/>
      <c r="T15" s="106"/>
      <c r="U15" s="131">
        <f>423500*1.2</f>
        <v>508200</v>
      </c>
      <c r="V15" s="132">
        <v>1</v>
      </c>
      <c r="W15" s="124">
        <f>U15*V15</f>
        <v>508200</v>
      </c>
      <c r="X15" s="124"/>
      <c r="Y15" s="103"/>
      <c r="Z15" s="103"/>
      <c r="AA15" s="105"/>
      <c r="AB15" s="106"/>
    </row>
    <row r="16" spans="1:81">
      <c r="A16" s="1530"/>
      <c r="B16" s="121" t="s">
        <v>745</v>
      </c>
      <c r="C16" s="124"/>
      <c r="D16" s="131"/>
      <c r="E16" s="132"/>
      <c r="F16" s="124"/>
      <c r="G16" s="103"/>
      <c r="H16" s="103"/>
      <c r="I16" s="103"/>
      <c r="J16" s="103"/>
      <c r="K16" s="103"/>
      <c r="L16" s="103">
        <f t="shared" ref="L16:L25" si="0">I16-J16+K16</f>
        <v>0</v>
      </c>
      <c r="M16" s="103"/>
      <c r="N16" s="103"/>
      <c r="O16" s="105"/>
      <c r="P16" s="103"/>
      <c r="Q16" s="105"/>
      <c r="R16" s="105"/>
      <c r="S16" s="123"/>
      <c r="T16" s="106"/>
      <c r="U16" s="131"/>
      <c r="V16" s="132"/>
      <c r="W16" s="124"/>
      <c r="X16" s="124"/>
      <c r="Y16" s="103"/>
      <c r="Z16" s="103"/>
      <c r="AA16" s="105"/>
      <c r="AB16" s="106"/>
    </row>
    <row r="17" spans="1:28">
      <c r="A17" s="1530">
        <v>3</v>
      </c>
      <c r="B17" s="152" t="s">
        <v>738</v>
      </c>
      <c r="C17" s="124">
        <f>D17*E17</f>
        <v>300300</v>
      </c>
      <c r="D17" s="131">
        <f>250250*1.2</f>
        <v>300300</v>
      </c>
      <c r="E17" s="132">
        <v>1</v>
      </c>
      <c r="F17" s="124">
        <f>D17*E17</f>
        <v>300300</v>
      </c>
      <c r="G17" s="139"/>
      <c r="H17" s="139"/>
      <c r="I17" s="139"/>
      <c r="J17" s="139"/>
      <c r="K17" s="133">
        <v>250000</v>
      </c>
      <c r="L17" s="103">
        <f t="shared" si="0"/>
        <v>250000</v>
      </c>
      <c r="M17" s="139"/>
      <c r="N17" s="133"/>
      <c r="O17" s="139"/>
      <c r="P17" s="139"/>
      <c r="Q17" s="149"/>
      <c r="R17" s="134"/>
      <c r="S17" s="139"/>
      <c r="T17" s="139"/>
      <c r="U17" s="131">
        <f>250250*1.2</f>
        <v>300300</v>
      </c>
      <c r="V17" s="132">
        <v>1</v>
      </c>
      <c r="W17" s="124">
        <f>U17*V17</f>
        <v>300300</v>
      </c>
      <c r="X17" s="124"/>
      <c r="Y17" s="133"/>
      <c r="Z17" s="139"/>
      <c r="AA17" s="134"/>
      <c r="AB17" s="139"/>
    </row>
    <row r="18" spans="1:28">
      <c r="A18" s="1530">
        <v>4</v>
      </c>
      <c r="B18" s="152" t="s">
        <v>739</v>
      </c>
      <c r="C18" s="124">
        <f>D18*E18</f>
        <v>115500</v>
      </c>
      <c r="D18" s="131">
        <f>96250*1.2</f>
        <v>115500</v>
      </c>
      <c r="E18" s="132">
        <v>1</v>
      </c>
      <c r="F18" s="124">
        <f>D18*E18</f>
        <v>115500</v>
      </c>
      <c r="G18" s="139"/>
      <c r="H18" s="139"/>
      <c r="I18" s="139"/>
      <c r="J18" s="139"/>
      <c r="K18" s="133"/>
      <c r="L18" s="103">
        <f t="shared" si="0"/>
        <v>0</v>
      </c>
      <c r="M18" s="139"/>
      <c r="N18" s="133"/>
      <c r="O18" s="139"/>
      <c r="P18" s="139"/>
      <c r="Q18" s="149"/>
      <c r="R18" s="139"/>
      <c r="S18" s="139"/>
      <c r="T18" s="139"/>
      <c r="U18" s="131">
        <f>96250*1.2</f>
        <v>115500</v>
      </c>
      <c r="V18" s="132">
        <v>1</v>
      </c>
      <c r="W18" s="124">
        <f>U18*V18</f>
        <v>115500</v>
      </c>
      <c r="X18" s="124"/>
      <c r="Y18" s="133"/>
      <c r="Z18" s="139"/>
      <c r="AA18" s="139"/>
      <c r="AB18" s="139"/>
    </row>
    <row r="19" spans="1:28">
      <c r="A19" s="1530"/>
      <c r="B19" s="181" t="s">
        <v>746</v>
      </c>
      <c r="C19" s="124"/>
      <c r="D19" s="131"/>
      <c r="E19" s="132"/>
      <c r="F19" s="124"/>
      <c r="G19" s="139"/>
      <c r="H19" s="139"/>
      <c r="I19" s="139"/>
      <c r="J19" s="139"/>
      <c r="K19" s="133"/>
      <c r="L19" s="103">
        <f t="shared" si="0"/>
        <v>0</v>
      </c>
      <c r="M19" s="139"/>
      <c r="N19" s="133"/>
      <c r="O19" s="139"/>
      <c r="P19" s="139"/>
      <c r="Q19" s="149"/>
      <c r="R19" s="139"/>
      <c r="S19" s="139"/>
      <c r="T19" s="139"/>
      <c r="U19" s="131"/>
      <c r="V19" s="132"/>
      <c r="W19" s="124"/>
      <c r="X19" s="124"/>
      <c r="Y19" s="133"/>
      <c r="Z19" s="139"/>
      <c r="AA19" s="139"/>
      <c r="AB19" s="139"/>
    </row>
    <row r="20" spans="1:28">
      <c r="A20" s="1530">
        <v>8</v>
      </c>
      <c r="B20" s="152" t="s">
        <v>738</v>
      </c>
      <c r="C20" s="124">
        <f>D20*E20</f>
        <v>231000</v>
      </c>
      <c r="D20" s="131">
        <f>192500*1.2</f>
        <v>231000</v>
      </c>
      <c r="E20" s="132">
        <v>1</v>
      </c>
      <c r="F20" s="124">
        <f>D20*E20</f>
        <v>231000</v>
      </c>
      <c r="G20" s="139"/>
      <c r="H20" s="139"/>
      <c r="I20" s="139"/>
      <c r="J20" s="139"/>
      <c r="K20" s="133"/>
      <c r="L20" s="103">
        <f t="shared" si="0"/>
        <v>0</v>
      </c>
      <c r="M20" s="139"/>
      <c r="N20" s="133"/>
      <c r="O20" s="139"/>
      <c r="P20" s="153"/>
      <c r="Q20" s="149"/>
      <c r="R20" s="153"/>
      <c r="S20" s="139"/>
      <c r="T20" s="139"/>
      <c r="U20" s="131">
        <f>192500*1.2</f>
        <v>231000</v>
      </c>
      <c r="V20" s="132">
        <v>1</v>
      </c>
      <c r="W20" s="124">
        <f>U20*V20</f>
        <v>231000</v>
      </c>
      <c r="X20" s="124"/>
      <c r="Y20" s="133"/>
      <c r="Z20" s="153"/>
      <c r="AA20" s="153"/>
      <c r="AB20" s="139"/>
    </row>
    <row r="21" spans="1:28">
      <c r="A21" s="1532">
        <v>9</v>
      </c>
      <c r="B21" s="152" t="s">
        <v>739</v>
      </c>
      <c r="C21" s="124">
        <f>D21*E21</f>
        <v>115500</v>
      </c>
      <c r="D21" s="131">
        <f>96250*1.2</f>
        <v>115500</v>
      </c>
      <c r="E21" s="132">
        <v>1</v>
      </c>
      <c r="F21" s="124">
        <f>D21*E21</f>
        <v>115500</v>
      </c>
      <c r="G21" s="139"/>
      <c r="H21" s="139"/>
      <c r="I21" s="139"/>
      <c r="J21" s="139"/>
      <c r="K21" s="133"/>
      <c r="L21" s="103">
        <f t="shared" si="0"/>
        <v>0</v>
      </c>
      <c r="M21" s="139"/>
      <c r="N21" s="133"/>
      <c r="O21" s="139"/>
      <c r="P21" s="153"/>
      <c r="Q21" s="149"/>
      <c r="R21" s="153"/>
      <c r="S21" s="139"/>
      <c r="T21" s="139"/>
      <c r="U21" s="131">
        <f>96250*1.2</f>
        <v>115500</v>
      </c>
      <c r="V21" s="132">
        <v>1</v>
      </c>
      <c r="W21" s="124">
        <f>U21*V21</f>
        <v>115500</v>
      </c>
      <c r="X21" s="124"/>
      <c r="Y21" s="133"/>
      <c r="Z21" s="153"/>
      <c r="AA21" s="153"/>
      <c r="AB21" s="139"/>
    </row>
    <row r="22" spans="1:28">
      <c r="A22" s="1532"/>
      <c r="B22" s="181" t="s">
        <v>747</v>
      </c>
      <c r="C22" s="124"/>
      <c r="D22" s="131"/>
      <c r="E22" s="132"/>
      <c r="F22" s="124"/>
      <c r="G22" s="139"/>
      <c r="H22" s="139"/>
      <c r="I22" s="139"/>
      <c r="J22" s="139"/>
      <c r="K22" s="133"/>
      <c r="L22" s="103">
        <f t="shared" si="0"/>
        <v>0</v>
      </c>
      <c r="M22" s="139"/>
      <c r="N22" s="133"/>
      <c r="O22" s="139"/>
      <c r="P22" s="153"/>
      <c r="Q22" s="149"/>
      <c r="R22" s="153"/>
      <c r="S22" s="139"/>
      <c r="T22" s="139"/>
      <c r="U22" s="131"/>
      <c r="V22" s="132"/>
      <c r="W22" s="124"/>
      <c r="X22" s="124"/>
      <c r="Y22" s="133"/>
      <c r="Z22" s="153"/>
      <c r="AA22" s="153"/>
      <c r="AB22" s="139"/>
    </row>
    <row r="23" spans="1:28">
      <c r="A23" s="1530">
        <v>13</v>
      </c>
      <c r="B23" s="152" t="s">
        <v>738</v>
      </c>
      <c r="C23" s="124">
        <f>D23*E23</f>
        <v>161700</v>
      </c>
      <c r="D23" s="131">
        <f>134750*1.2</f>
        <v>161700</v>
      </c>
      <c r="E23" s="132">
        <v>1</v>
      </c>
      <c r="F23" s="124">
        <f>D23*E23</f>
        <v>161700</v>
      </c>
      <c r="G23" s="139"/>
      <c r="H23" s="139"/>
      <c r="I23" s="139"/>
      <c r="J23" s="139"/>
      <c r="K23" s="133"/>
      <c r="L23" s="103">
        <f t="shared" si="0"/>
        <v>0</v>
      </c>
      <c r="M23" s="139"/>
      <c r="N23" s="133"/>
      <c r="O23" s="139"/>
      <c r="P23" s="139"/>
      <c r="Q23" s="149"/>
      <c r="R23" s="139"/>
      <c r="S23" s="139"/>
      <c r="T23" s="139"/>
      <c r="U23" s="131">
        <f>134750*1.2</f>
        <v>161700</v>
      </c>
      <c r="V23" s="132">
        <v>1</v>
      </c>
      <c r="W23" s="124">
        <f>U23*V23</f>
        <v>161700</v>
      </c>
      <c r="X23" s="124"/>
      <c r="Y23" s="133"/>
      <c r="Z23" s="139"/>
      <c r="AA23" s="139"/>
      <c r="AB23" s="139"/>
    </row>
    <row r="24" spans="1:28">
      <c r="A24" s="1530">
        <v>14</v>
      </c>
      <c r="B24" s="152" t="s">
        <v>739</v>
      </c>
      <c r="C24" s="124">
        <f>D24*E24</f>
        <v>92400</v>
      </c>
      <c r="D24" s="131">
        <f>77000*1.2</f>
        <v>92400</v>
      </c>
      <c r="E24" s="132">
        <v>1</v>
      </c>
      <c r="F24" s="124">
        <f>D24*E24</f>
        <v>92400</v>
      </c>
      <c r="G24" s="139"/>
      <c r="H24" s="139"/>
      <c r="I24" s="139"/>
      <c r="J24" s="139"/>
      <c r="K24" s="133"/>
      <c r="L24" s="103">
        <f t="shared" si="0"/>
        <v>0</v>
      </c>
      <c r="M24" s="139"/>
      <c r="N24" s="133"/>
      <c r="O24" s="139"/>
      <c r="P24" s="153"/>
      <c r="Q24" s="149"/>
      <c r="R24" s="153"/>
      <c r="S24" s="139"/>
      <c r="T24" s="139"/>
      <c r="U24" s="131">
        <f>77000*1.2</f>
        <v>92400</v>
      </c>
      <c r="V24" s="132">
        <v>1</v>
      </c>
      <c r="W24" s="124">
        <f>U24*V24</f>
        <v>92400</v>
      </c>
      <c r="X24" s="124"/>
      <c r="Y24" s="133"/>
      <c r="Z24" s="153"/>
      <c r="AA24" s="153"/>
      <c r="AB24" s="139"/>
    </row>
    <row r="25" spans="1:28">
      <c r="A25" s="1530"/>
      <c r="B25" s="142"/>
      <c r="C25" s="124"/>
      <c r="D25" s="131"/>
      <c r="E25" s="132"/>
      <c r="F25" s="124"/>
      <c r="G25" s="139"/>
      <c r="H25" s="139"/>
      <c r="I25" s="139"/>
      <c r="J25" s="139"/>
      <c r="K25" s="133"/>
      <c r="L25" s="103">
        <f t="shared" si="0"/>
        <v>0</v>
      </c>
      <c r="M25" s="139"/>
      <c r="N25" s="133"/>
      <c r="O25" s="139"/>
      <c r="P25" s="139"/>
      <c r="Q25" s="155"/>
      <c r="R25" s="139"/>
      <c r="S25" s="139"/>
      <c r="T25" s="139"/>
      <c r="U25" s="131"/>
      <c r="V25" s="132"/>
      <c r="W25" s="124"/>
      <c r="X25" s="139"/>
      <c r="Y25" s="133"/>
      <c r="Z25" s="139"/>
      <c r="AA25" s="139"/>
      <c r="AB25" s="139"/>
    </row>
    <row r="26" spans="1:28">
      <c r="A26" s="1534"/>
      <c r="B26" s="142"/>
      <c r="C26" s="124"/>
      <c r="D26" s="131"/>
      <c r="E26" s="132"/>
      <c r="F26" s="124"/>
      <c r="G26" s="139"/>
      <c r="H26" s="139"/>
      <c r="I26" s="139"/>
      <c r="J26" s="139"/>
      <c r="K26" s="133"/>
      <c r="L26" s="139"/>
      <c r="M26" s="139"/>
      <c r="N26" s="133"/>
      <c r="O26" s="139"/>
      <c r="P26" s="153"/>
      <c r="Q26" s="156"/>
      <c r="R26" s="153"/>
      <c r="S26" s="139"/>
      <c r="T26" s="139"/>
      <c r="U26" s="131"/>
      <c r="V26" s="1531"/>
      <c r="W26" s="124"/>
      <c r="X26" s="139"/>
      <c r="Y26" s="133"/>
      <c r="Z26" s="153"/>
      <c r="AA26" s="153"/>
      <c r="AB26" s="139"/>
    </row>
    <row r="27" spans="1:28">
      <c r="A27" s="157"/>
      <c r="B27" s="152"/>
      <c r="C27" s="124"/>
      <c r="D27" s="131"/>
      <c r="E27" s="1531"/>
      <c r="F27" s="124"/>
      <c r="G27" s="139"/>
      <c r="H27" s="139"/>
      <c r="I27" s="139"/>
      <c r="J27" s="139"/>
      <c r="K27" s="133">
        <f>0.5*W27</f>
        <v>0</v>
      </c>
      <c r="L27" s="139"/>
      <c r="M27" s="139"/>
      <c r="N27" s="133"/>
      <c r="O27" s="139"/>
      <c r="P27" s="139"/>
      <c r="Q27" s="156"/>
      <c r="R27" s="139"/>
      <c r="S27" s="139"/>
      <c r="T27" s="139"/>
      <c r="U27" s="144"/>
      <c r="V27" s="1531"/>
      <c r="W27" s="124">
        <f t="shared" ref="W27:W32" si="1">U27*V27</f>
        <v>0</v>
      </c>
      <c r="X27" s="139"/>
      <c r="Y27" s="133"/>
      <c r="Z27" s="139"/>
      <c r="AA27" s="139"/>
      <c r="AB27" s="139">
        <v>0</v>
      </c>
    </row>
    <row r="28" spans="1:28">
      <c r="A28" s="146"/>
      <c r="B28" s="152"/>
      <c r="C28" s="124">
        <f>D28*E28</f>
        <v>0</v>
      </c>
      <c r="D28" s="131"/>
      <c r="E28" s="1531"/>
      <c r="F28" s="124">
        <f>D28*E28</f>
        <v>0</v>
      </c>
      <c r="G28" s="134"/>
      <c r="H28" s="134"/>
      <c r="I28" s="135"/>
      <c r="J28" s="134"/>
      <c r="K28" s="133">
        <f>0.5*W28</f>
        <v>0</v>
      </c>
      <c r="L28" s="139"/>
      <c r="M28" s="134"/>
      <c r="N28" s="133"/>
      <c r="O28" s="134"/>
      <c r="P28" s="153"/>
      <c r="Q28" s="156"/>
      <c r="R28" s="153"/>
      <c r="S28" s="139"/>
      <c r="T28" s="138"/>
      <c r="U28" s="144"/>
      <c r="V28" s="1531"/>
      <c r="W28" s="124">
        <f t="shared" si="1"/>
        <v>0</v>
      </c>
      <c r="X28" s="139"/>
      <c r="Y28" s="133"/>
      <c r="Z28" s="153"/>
      <c r="AA28" s="153"/>
      <c r="AB28" s="138"/>
    </row>
    <row r="29" spans="1:28">
      <c r="A29" s="157"/>
      <c r="B29" s="152"/>
      <c r="C29" s="124">
        <f>D29*E29</f>
        <v>0</v>
      </c>
      <c r="D29" s="131"/>
      <c r="E29" s="1531"/>
      <c r="F29" s="124">
        <f>D29*E29</f>
        <v>0</v>
      </c>
      <c r="G29" s="134"/>
      <c r="H29" s="134"/>
      <c r="I29" s="135"/>
      <c r="J29" s="134"/>
      <c r="K29" s="133">
        <f>0.5*W29</f>
        <v>0</v>
      </c>
      <c r="L29" s="139"/>
      <c r="M29" s="134"/>
      <c r="N29" s="133"/>
      <c r="O29" s="134"/>
      <c r="P29" s="134"/>
      <c r="Q29" s="156"/>
      <c r="R29" s="139"/>
      <c r="S29" s="139"/>
      <c r="T29" s="138"/>
      <c r="U29" s="144"/>
      <c r="V29" s="1531"/>
      <c r="W29" s="124">
        <f t="shared" si="1"/>
        <v>0</v>
      </c>
      <c r="X29" s="139"/>
      <c r="Y29" s="133"/>
      <c r="Z29" s="134"/>
      <c r="AA29" s="139"/>
      <c r="AB29" s="138"/>
    </row>
    <row r="30" spans="1:28" ht="9.9499999999999993" customHeight="1">
      <c r="A30" s="157"/>
      <c r="B30" s="152"/>
      <c r="C30" s="124">
        <f>D30*E30</f>
        <v>0</v>
      </c>
      <c r="D30" s="131"/>
      <c r="E30" s="1531"/>
      <c r="F30" s="124">
        <f>D30*E30</f>
        <v>0</v>
      </c>
      <c r="G30" s="134"/>
      <c r="H30" s="134"/>
      <c r="I30" s="135"/>
      <c r="J30" s="134"/>
      <c r="K30" s="133">
        <f>0.5*W30</f>
        <v>0</v>
      </c>
      <c r="L30" s="139"/>
      <c r="M30" s="134"/>
      <c r="N30" s="133"/>
      <c r="O30" s="134"/>
      <c r="P30" s="134"/>
      <c r="Q30" s="156"/>
      <c r="R30" s="139"/>
      <c r="S30" s="139"/>
      <c r="T30" s="138"/>
      <c r="U30" s="144"/>
      <c r="V30" s="1531"/>
      <c r="W30" s="124">
        <f t="shared" si="1"/>
        <v>0</v>
      </c>
      <c r="X30" s="139"/>
      <c r="Y30" s="133"/>
      <c r="Z30" s="134"/>
      <c r="AA30" s="139"/>
      <c r="AB30" s="138"/>
    </row>
    <row r="31" spans="1:28">
      <c r="A31" s="1530"/>
      <c r="B31" s="152"/>
      <c r="C31" s="124">
        <f>D31*E31</f>
        <v>0</v>
      </c>
      <c r="D31" s="131"/>
      <c r="E31" s="1531"/>
      <c r="F31" s="124">
        <f>D31*E31</f>
        <v>0</v>
      </c>
      <c r="G31" s="134"/>
      <c r="H31" s="134"/>
      <c r="I31" s="135"/>
      <c r="J31" s="134"/>
      <c r="K31" s="134"/>
      <c r="L31" s="139"/>
      <c r="M31" s="134"/>
      <c r="N31" s="134"/>
      <c r="O31" s="134"/>
      <c r="P31" s="134"/>
      <c r="Q31" s="156"/>
      <c r="R31" s="139"/>
      <c r="S31" s="139"/>
      <c r="T31" s="138"/>
      <c r="U31" s="144"/>
      <c r="V31" s="1531"/>
      <c r="W31" s="124">
        <f t="shared" si="1"/>
        <v>0</v>
      </c>
      <c r="X31" s="139"/>
      <c r="Y31" s="134"/>
      <c r="Z31" s="134"/>
      <c r="AA31" s="139"/>
      <c r="AB31" s="138"/>
    </row>
    <row r="32" spans="1:28">
      <c r="A32" s="157"/>
      <c r="B32" s="152"/>
      <c r="C32" s="124">
        <f>D32*E32</f>
        <v>0</v>
      </c>
      <c r="D32" s="131"/>
      <c r="E32" s="1531"/>
      <c r="F32" s="124">
        <f>D32*E32</f>
        <v>0</v>
      </c>
      <c r="G32" s="134"/>
      <c r="H32" s="134"/>
      <c r="I32" s="135"/>
      <c r="J32" s="134"/>
      <c r="K32" s="134"/>
      <c r="L32" s="139"/>
      <c r="M32" s="134"/>
      <c r="N32" s="134"/>
      <c r="O32" s="134"/>
      <c r="P32" s="134"/>
      <c r="Q32" s="156"/>
      <c r="R32" s="139"/>
      <c r="S32" s="139"/>
      <c r="T32" s="138"/>
      <c r="U32" s="144"/>
      <c r="V32" s="1531"/>
      <c r="W32" s="124">
        <f t="shared" si="1"/>
        <v>0</v>
      </c>
      <c r="X32" s="139"/>
      <c r="Y32" s="134"/>
      <c r="Z32" s="134"/>
      <c r="AA32" s="139"/>
      <c r="AB32" s="138"/>
    </row>
    <row r="33" spans="1:28">
      <c r="A33" s="157"/>
      <c r="B33" s="152"/>
      <c r="C33" s="124"/>
      <c r="D33" s="131"/>
      <c r="E33" s="1531"/>
      <c r="F33" s="124"/>
      <c r="G33" s="134"/>
      <c r="H33" s="134"/>
      <c r="I33" s="135"/>
      <c r="J33" s="134"/>
      <c r="K33" s="134"/>
      <c r="L33" s="139"/>
      <c r="M33" s="134"/>
      <c r="N33" s="134"/>
      <c r="O33" s="134"/>
      <c r="P33" s="134"/>
      <c r="Q33" s="156"/>
      <c r="R33" s="139"/>
      <c r="S33" s="139"/>
      <c r="T33" s="138"/>
      <c r="U33" s="144"/>
      <c r="V33" s="1531"/>
      <c r="W33" s="124"/>
      <c r="X33" s="139"/>
      <c r="Y33" s="134"/>
      <c r="Z33" s="134"/>
      <c r="AA33" s="139"/>
      <c r="AB33" s="138"/>
    </row>
    <row r="34" spans="1:28">
      <c r="A34" s="157"/>
      <c r="B34" s="152"/>
      <c r="C34" s="124"/>
      <c r="D34" s="131"/>
      <c r="E34" s="1531"/>
      <c r="F34" s="124"/>
      <c r="G34" s="134"/>
      <c r="H34" s="134"/>
      <c r="I34" s="135"/>
      <c r="J34" s="134"/>
      <c r="K34" s="134"/>
      <c r="L34" s="139"/>
      <c r="M34" s="134"/>
      <c r="N34" s="134"/>
      <c r="O34" s="134"/>
      <c r="P34" s="134"/>
      <c r="Q34" s="156"/>
      <c r="R34" s="139"/>
      <c r="S34" s="139"/>
      <c r="T34" s="138"/>
      <c r="U34" s="144"/>
      <c r="V34" s="1531"/>
      <c r="W34" s="124"/>
      <c r="X34" s="139"/>
      <c r="Y34" s="134"/>
      <c r="Z34" s="134"/>
      <c r="AA34" s="139"/>
      <c r="AB34" s="138"/>
    </row>
    <row r="35" spans="1:28">
      <c r="A35" s="157"/>
      <c r="B35" s="152"/>
      <c r="C35" s="124"/>
      <c r="D35" s="131"/>
      <c r="E35" s="1531"/>
      <c r="F35" s="124"/>
      <c r="G35" s="134"/>
      <c r="H35" s="134"/>
      <c r="I35" s="135"/>
      <c r="J35" s="134"/>
      <c r="K35" s="134"/>
      <c r="L35" s="139"/>
      <c r="M35" s="134"/>
      <c r="N35" s="134"/>
      <c r="O35" s="134"/>
      <c r="P35" s="134"/>
      <c r="Q35" s="156"/>
      <c r="R35" s="139"/>
      <c r="S35" s="139"/>
      <c r="T35" s="138"/>
      <c r="U35" s="144"/>
      <c r="V35" s="1531"/>
      <c r="W35" s="124"/>
      <c r="X35" s="139"/>
      <c r="Y35" s="134"/>
      <c r="Z35" s="134"/>
      <c r="AA35" s="139"/>
      <c r="AB35" s="138"/>
    </row>
    <row r="36" spans="1:28">
      <c r="A36" s="157"/>
      <c r="B36" s="152"/>
      <c r="C36" s="124"/>
      <c r="D36" s="131"/>
      <c r="E36" s="1531"/>
      <c r="F36" s="124"/>
      <c r="G36" s="134"/>
      <c r="H36" s="134"/>
      <c r="I36" s="135"/>
      <c r="J36" s="134"/>
      <c r="K36" s="134"/>
      <c r="L36" s="139"/>
      <c r="M36" s="134"/>
      <c r="N36" s="134"/>
      <c r="O36" s="134"/>
      <c r="P36" s="134"/>
      <c r="Q36" s="156"/>
      <c r="R36" s="139"/>
      <c r="S36" s="139"/>
      <c r="T36" s="138"/>
      <c r="U36" s="144"/>
      <c r="V36" s="1531"/>
      <c r="W36" s="124"/>
      <c r="X36" s="139"/>
      <c r="Y36" s="134"/>
      <c r="Z36" s="134"/>
      <c r="AA36" s="139"/>
      <c r="AB36" s="138"/>
    </row>
    <row r="37" spans="1:28">
      <c r="A37" s="157"/>
      <c r="B37" s="152"/>
      <c r="C37" s="124"/>
      <c r="D37" s="131"/>
      <c r="E37" s="1531"/>
      <c r="F37" s="124"/>
      <c r="G37" s="134"/>
      <c r="H37" s="134"/>
      <c r="I37" s="135"/>
      <c r="J37" s="134"/>
      <c r="K37" s="134"/>
      <c r="L37" s="139"/>
      <c r="M37" s="134"/>
      <c r="N37" s="134"/>
      <c r="O37" s="134"/>
      <c r="P37" s="134"/>
      <c r="Q37" s="156"/>
      <c r="R37" s="139"/>
      <c r="S37" s="139"/>
      <c r="T37" s="138"/>
      <c r="U37" s="144"/>
      <c r="V37" s="1531"/>
      <c r="W37" s="124"/>
      <c r="X37" s="139"/>
      <c r="Y37" s="134"/>
      <c r="Z37" s="134"/>
      <c r="AA37" s="139"/>
      <c r="AB37" s="138"/>
    </row>
    <row r="38" spans="1:28">
      <c r="A38" s="157"/>
      <c r="B38" s="152"/>
      <c r="C38" s="124"/>
      <c r="D38" s="131"/>
      <c r="E38" s="1531"/>
      <c r="F38" s="124"/>
      <c r="G38" s="134"/>
      <c r="H38" s="134"/>
      <c r="I38" s="135"/>
      <c r="J38" s="134"/>
      <c r="K38" s="134"/>
      <c r="L38" s="139"/>
      <c r="M38" s="134"/>
      <c r="N38" s="134"/>
      <c r="O38" s="134"/>
      <c r="P38" s="134"/>
      <c r="Q38" s="156"/>
      <c r="R38" s="139"/>
      <c r="S38" s="139"/>
      <c r="T38" s="138"/>
      <c r="U38" s="144"/>
      <c r="V38" s="1531"/>
      <c r="W38" s="124"/>
      <c r="X38" s="139"/>
      <c r="Y38" s="134"/>
      <c r="Z38" s="134"/>
      <c r="AA38" s="139"/>
      <c r="AB38" s="138"/>
    </row>
    <row r="39" spans="1:28">
      <c r="A39" s="157"/>
      <c r="B39" s="152"/>
      <c r="C39" s="124"/>
      <c r="D39" s="131"/>
      <c r="E39" s="1531"/>
      <c r="F39" s="124"/>
      <c r="G39" s="134"/>
      <c r="H39" s="134"/>
      <c r="I39" s="135"/>
      <c r="J39" s="134"/>
      <c r="K39" s="134"/>
      <c r="L39" s="139"/>
      <c r="M39" s="134"/>
      <c r="N39" s="134"/>
      <c r="O39" s="134"/>
      <c r="P39" s="134"/>
      <c r="Q39" s="156"/>
      <c r="R39" s="139"/>
      <c r="S39" s="139"/>
      <c r="T39" s="138"/>
      <c r="U39" s="144"/>
      <c r="V39" s="1531"/>
      <c r="W39" s="124"/>
      <c r="X39" s="139"/>
      <c r="Y39" s="134"/>
      <c r="Z39" s="134"/>
      <c r="AA39" s="139"/>
      <c r="AB39" s="138"/>
    </row>
    <row r="40" spans="1:28">
      <c r="A40" s="157"/>
      <c r="B40" s="152"/>
      <c r="C40" s="124"/>
      <c r="D40" s="131"/>
      <c r="E40" s="1531"/>
      <c r="F40" s="124"/>
      <c r="G40" s="134"/>
      <c r="H40" s="134"/>
      <c r="I40" s="135"/>
      <c r="J40" s="134"/>
      <c r="K40" s="134"/>
      <c r="L40" s="139"/>
      <c r="M40" s="134"/>
      <c r="N40" s="134"/>
      <c r="O40" s="134"/>
      <c r="P40" s="134"/>
      <c r="Q40" s="156"/>
      <c r="R40" s="139"/>
      <c r="S40" s="139"/>
      <c r="T40" s="138"/>
      <c r="U40" s="144"/>
      <c r="V40" s="1531"/>
      <c r="W40" s="124"/>
      <c r="X40" s="139"/>
      <c r="Y40" s="134"/>
      <c r="Z40" s="134"/>
      <c r="AA40" s="139"/>
      <c r="AB40" s="138"/>
    </row>
    <row r="41" spans="1:28">
      <c r="A41" s="157"/>
      <c r="B41" s="152"/>
      <c r="C41" s="124"/>
      <c r="D41" s="131"/>
      <c r="E41" s="1531"/>
      <c r="F41" s="124"/>
      <c r="G41" s="134"/>
      <c r="H41" s="134"/>
      <c r="I41" s="135"/>
      <c r="J41" s="134"/>
      <c r="K41" s="134"/>
      <c r="L41" s="139"/>
      <c r="M41" s="134"/>
      <c r="N41" s="134"/>
      <c r="O41" s="134"/>
      <c r="P41" s="134"/>
      <c r="Q41" s="156"/>
      <c r="R41" s="139"/>
      <c r="S41" s="139"/>
      <c r="T41" s="138"/>
      <c r="U41" s="144"/>
      <c r="V41" s="1531"/>
      <c r="W41" s="124"/>
      <c r="X41" s="139"/>
      <c r="Y41" s="134"/>
      <c r="Z41" s="134"/>
      <c r="AA41" s="139"/>
      <c r="AB41" s="138"/>
    </row>
    <row r="42" spans="1:28">
      <c r="A42" s="157"/>
      <c r="B42" s="152"/>
      <c r="C42" s="124"/>
      <c r="D42" s="131"/>
      <c r="E42" s="1531"/>
      <c r="F42" s="124"/>
      <c r="G42" s="134"/>
      <c r="H42" s="134"/>
      <c r="I42" s="135"/>
      <c r="J42" s="134"/>
      <c r="K42" s="134"/>
      <c r="L42" s="139"/>
      <c r="M42" s="134"/>
      <c r="N42" s="134"/>
      <c r="O42" s="134"/>
      <c r="P42" s="134"/>
      <c r="Q42" s="156"/>
      <c r="R42" s="139"/>
      <c r="S42" s="139"/>
      <c r="T42" s="138"/>
      <c r="U42" s="144"/>
      <c r="V42" s="1531"/>
      <c r="W42" s="124"/>
      <c r="X42" s="139"/>
      <c r="Y42" s="134"/>
      <c r="Z42" s="134"/>
      <c r="AA42" s="139"/>
      <c r="AB42" s="138"/>
    </row>
    <row r="43" spans="1:28">
      <c r="A43" s="157"/>
      <c r="B43" s="152"/>
      <c r="C43" s="124"/>
      <c r="D43" s="131"/>
      <c r="E43" s="1531"/>
      <c r="F43" s="124"/>
      <c r="G43" s="134"/>
      <c r="H43" s="134"/>
      <c r="I43" s="135"/>
      <c r="J43" s="134"/>
      <c r="K43" s="134"/>
      <c r="L43" s="139"/>
      <c r="M43" s="134"/>
      <c r="N43" s="134"/>
      <c r="O43" s="134"/>
      <c r="P43" s="134"/>
      <c r="Q43" s="156"/>
      <c r="R43" s="139"/>
      <c r="S43" s="139"/>
      <c r="T43" s="138"/>
      <c r="U43" s="144"/>
      <c r="V43" s="1531"/>
      <c r="W43" s="124"/>
      <c r="X43" s="139"/>
      <c r="Y43" s="134"/>
      <c r="Z43" s="134"/>
      <c r="AA43" s="139"/>
      <c r="AB43" s="138"/>
    </row>
    <row r="44" spans="1:28">
      <c r="A44" s="157"/>
      <c r="B44" s="152"/>
      <c r="C44" s="124"/>
      <c r="D44" s="131"/>
      <c r="E44" s="1531"/>
      <c r="F44" s="124"/>
      <c r="G44" s="134"/>
      <c r="H44" s="134"/>
      <c r="I44" s="135"/>
      <c r="J44" s="134"/>
      <c r="K44" s="134"/>
      <c r="L44" s="139"/>
      <c r="M44" s="134"/>
      <c r="N44" s="134"/>
      <c r="O44" s="134"/>
      <c r="P44" s="134"/>
      <c r="Q44" s="156"/>
      <c r="R44" s="139"/>
      <c r="S44" s="139"/>
      <c r="T44" s="138"/>
      <c r="U44" s="144"/>
      <c r="V44" s="1531"/>
      <c r="W44" s="124"/>
      <c r="X44" s="139"/>
      <c r="Y44" s="134"/>
      <c r="Z44" s="134"/>
      <c r="AA44" s="139"/>
      <c r="AB44" s="138"/>
    </row>
    <row r="45" spans="1:28">
      <c r="A45" s="157"/>
      <c r="B45" s="152"/>
      <c r="C45" s="124"/>
      <c r="D45" s="131"/>
      <c r="E45" s="1531"/>
      <c r="F45" s="124"/>
      <c r="G45" s="134"/>
      <c r="H45" s="134"/>
      <c r="I45" s="135"/>
      <c r="J45" s="134"/>
      <c r="K45" s="134"/>
      <c r="L45" s="139"/>
      <c r="M45" s="134"/>
      <c r="N45" s="134"/>
      <c r="O45" s="134"/>
      <c r="P45" s="134"/>
      <c r="Q45" s="156"/>
      <c r="R45" s="139"/>
      <c r="S45" s="139"/>
      <c r="T45" s="138"/>
      <c r="U45" s="144"/>
      <c r="V45" s="1531"/>
      <c r="W45" s="124"/>
      <c r="X45" s="139"/>
      <c r="Y45" s="134"/>
      <c r="Z45" s="134"/>
      <c r="AA45" s="139"/>
      <c r="AB45" s="138"/>
    </row>
    <row r="46" spans="1:28">
      <c r="A46" s="157"/>
      <c r="B46" s="152"/>
      <c r="C46" s="124">
        <f>D46*E46</f>
        <v>0</v>
      </c>
      <c r="D46" s="131"/>
      <c r="E46" s="1531"/>
      <c r="F46" s="124">
        <f>D46*E46</f>
        <v>0</v>
      </c>
      <c r="G46" s="134"/>
      <c r="H46" s="134"/>
      <c r="I46" s="135"/>
      <c r="J46" s="134"/>
      <c r="K46" s="134"/>
      <c r="L46" s="139"/>
      <c r="M46" s="134"/>
      <c r="N46" s="134"/>
      <c r="O46" s="134"/>
      <c r="P46" s="139"/>
      <c r="Q46" s="134"/>
      <c r="R46" s="139"/>
      <c r="S46" s="139"/>
      <c r="T46" s="138"/>
      <c r="U46" s="144"/>
      <c r="V46" s="1531"/>
      <c r="W46" s="124">
        <f t="shared" ref="W46:W55" si="2">U46*V46</f>
        <v>0</v>
      </c>
      <c r="X46" s="139"/>
      <c r="Y46" s="134"/>
      <c r="Z46" s="139"/>
      <c r="AA46" s="139"/>
      <c r="AB46" s="138"/>
    </row>
    <row r="47" spans="1:28">
      <c r="A47" s="157"/>
      <c r="B47" s="152"/>
      <c r="C47" s="124">
        <f>D47*E47</f>
        <v>0</v>
      </c>
      <c r="D47" s="131"/>
      <c r="E47" s="1531"/>
      <c r="F47" s="124">
        <f>D47*E47</f>
        <v>0</v>
      </c>
      <c r="G47" s="134"/>
      <c r="H47" s="134"/>
      <c r="I47" s="135"/>
      <c r="J47" s="134"/>
      <c r="K47" s="134"/>
      <c r="L47" s="139"/>
      <c r="M47" s="134"/>
      <c r="N47" s="134"/>
      <c r="O47" s="134"/>
      <c r="P47" s="139"/>
      <c r="Q47" s="134"/>
      <c r="R47" s="139"/>
      <c r="S47" s="139"/>
      <c r="T47" s="138"/>
      <c r="U47" s="144"/>
      <c r="V47" s="1531"/>
      <c r="W47" s="124">
        <f t="shared" si="2"/>
        <v>0</v>
      </c>
      <c r="X47" s="139"/>
      <c r="Y47" s="134"/>
      <c r="Z47" s="139"/>
      <c r="AA47" s="139"/>
      <c r="AB47" s="138"/>
    </row>
    <row r="48" spans="1:28">
      <c r="A48" s="157"/>
      <c r="B48" s="152"/>
      <c r="C48" s="124">
        <f>D48*E48</f>
        <v>0</v>
      </c>
      <c r="D48" s="131"/>
      <c r="E48" s="1531"/>
      <c r="F48" s="124">
        <f>D48*E48</f>
        <v>0</v>
      </c>
      <c r="G48" s="134"/>
      <c r="H48" s="134"/>
      <c r="I48" s="135"/>
      <c r="J48" s="134"/>
      <c r="K48" s="134"/>
      <c r="L48" s="139"/>
      <c r="M48" s="134"/>
      <c r="N48" s="134"/>
      <c r="O48" s="134"/>
      <c r="P48" s="139"/>
      <c r="Q48" s="134"/>
      <c r="R48" s="139"/>
      <c r="S48" s="139"/>
      <c r="T48" s="138"/>
      <c r="U48" s="144"/>
      <c r="V48" s="1531"/>
      <c r="W48" s="124">
        <f t="shared" si="2"/>
        <v>0</v>
      </c>
      <c r="X48" s="139"/>
      <c r="Y48" s="134"/>
      <c r="Z48" s="139"/>
      <c r="AA48" s="139"/>
      <c r="AB48" s="138"/>
    </row>
    <row r="49" spans="1:28">
      <c r="A49" s="157"/>
      <c r="B49" s="152"/>
      <c r="C49" s="124"/>
      <c r="D49" s="131"/>
      <c r="E49" s="157"/>
      <c r="F49" s="124"/>
      <c r="G49" s="134"/>
      <c r="H49" s="134"/>
      <c r="I49" s="135"/>
      <c r="J49" s="134"/>
      <c r="K49" s="134"/>
      <c r="L49" s="139"/>
      <c r="M49" s="134"/>
      <c r="N49" s="134"/>
      <c r="O49" s="134"/>
      <c r="P49" s="139"/>
      <c r="Q49" s="134"/>
      <c r="R49" s="139"/>
      <c r="S49" s="139"/>
      <c r="T49" s="138"/>
      <c r="U49" s="144"/>
      <c r="V49" s="157"/>
      <c r="W49" s="124">
        <f t="shared" si="2"/>
        <v>0</v>
      </c>
      <c r="X49" s="139"/>
      <c r="Y49" s="134"/>
      <c r="Z49" s="139"/>
      <c r="AA49" s="139"/>
      <c r="AB49" s="138"/>
    </row>
    <row r="50" spans="1:28">
      <c r="A50" s="1530"/>
      <c r="B50" s="152"/>
      <c r="C50" s="124">
        <f t="shared" ref="C50:C55" si="3">D50*E50</f>
        <v>0</v>
      </c>
      <c r="D50" s="131"/>
      <c r="E50" s="157"/>
      <c r="F50" s="124">
        <f t="shared" ref="F50:F55" si="4">D50*E50</f>
        <v>0</v>
      </c>
      <c r="G50" s="134"/>
      <c r="H50" s="134"/>
      <c r="I50" s="135"/>
      <c r="J50" s="134"/>
      <c r="K50" s="134"/>
      <c r="L50" s="139"/>
      <c r="M50" s="134"/>
      <c r="N50" s="134"/>
      <c r="O50" s="134"/>
      <c r="P50" s="139"/>
      <c r="Q50" s="134"/>
      <c r="R50" s="139"/>
      <c r="S50" s="139"/>
      <c r="T50" s="138"/>
      <c r="U50" s="144"/>
      <c r="V50" s="157"/>
      <c r="W50" s="124">
        <f t="shared" si="2"/>
        <v>0</v>
      </c>
      <c r="X50" s="139"/>
      <c r="Y50" s="134"/>
      <c r="Z50" s="139"/>
      <c r="AA50" s="139"/>
      <c r="AB50" s="138"/>
    </row>
    <row r="51" spans="1:28">
      <c r="A51" s="157"/>
      <c r="B51" s="152"/>
      <c r="C51" s="124">
        <f t="shared" si="3"/>
        <v>0</v>
      </c>
      <c r="D51" s="131"/>
      <c r="E51" s="146"/>
      <c r="F51" s="124">
        <f t="shared" si="4"/>
        <v>0</v>
      </c>
      <c r="G51" s="134"/>
      <c r="H51" s="134"/>
      <c r="I51" s="135"/>
      <c r="J51" s="134"/>
      <c r="K51" s="134"/>
      <c r="L51" s="139"/>
      <c r="M51" s="134"/>
      <c r="N51" s="134"/>
      <c r="O51" s="134"/>
      <c r="P51" s="139"/>
      <c r="Q51" s="134"/>
      <c r="R51" s="139"/>
      <c r="S51" s="139"/>
      <c r="T51" s="138"/>
      <c r="U51" s="144"/>
      <c r="V51" s="146"/>
      <c r="W51" s="124">
        <f t="shared" si="2"/>
        <v>0</v>
      </c>
      <c r="X51" s="139"/>
      <c r="Y51" s="134"/>
      <c r="Z51" s="139"/>
      <c r="AA51" s="139"/>
      <c r="AB51" s="138"/>
    </row>
    <row r="52" spans="1:28">
      <c r="A52" s="157"/>
      <c r="B52" s="152"/>
      <c r="C52" s="124">
        <f t="shared" si="3"/>
        <v>0</v>
      </c>
      <c r="D52" s="131"/>
      <c r="E52" s="157"/>
      <c r="F52" s="124">
        <f t="shared" si="4"/>
        <v>0</v>
      </c>
      <c r="G52" s="134"/>
      <c r="H52" s="134"/>
      <c r="I52" s="135"/>
      <c r="J52" s="134"/>
      <c r="K52" s="134"/>
      <c r="L52" s="139"/>
      <c r="M52" s="134"/>
      <c r="N52" s="134"/>
      <c r="O52" s="134"/>
      <c r="P52" s="139"/>
      <c r="Q52" s="134"/>
      <c r="R52" s="139"/>
      <c r="S52" s="139"/>
      <c r="T52" s="138"/>
      <c r="U52" s="144"/>
      <c r="V52" s="157"/>
      <c r="W52" s="124">
        <f t="shared" si="2"/>
        <v>0</v>
      </c>
      <c r="X52" s="139"/>
      <c r="Y52" s="134"/>
      <c r="Z52" s="139"/>
      <c r="AA52" s="139"/>
      <c r="AB52" s="138"/>
    </row>
    <row r="53" spans="1:28">
      <c r="A53" s="157"/>
      <c r="B53" s="152"/>
      <c r="C53" s="124">
        <f t="shared" si="3"/>
        <v>0</v>
      </c>
      <c r="D53" s="131"/>
      <c r="E53" s="146"/>
      <c r="F53" s="124">
        <f t="shared" si="4"/>
        <v>0</v>
      </c>
      <c r="G53" s="134"/>
      <c r="H53" s="134"/>
      <c r="I53" s="135"/>
      <c r="J53" s="134"/>
      <c r="K53" s="134"/>
      <c r="L53" s="139"/>
      <c r="M53" s="134"/>
      <c r="N53" s="134"/>
      <c r="O53" s="134"/>
      <c r="P53" s="139"/>
      <c r="Q53" s="134"/>
      <c r="R53" s="139"/>
      <c r="S53" s="139"/>
      <c r="T53" s="138"/>
      <c r="U53" s="144"/>
      <c r="V53" s="146"/>
      <c r="W53" s="124">
        <f t="shared" si="2"/>
        <v>0</v>
      </c>
      <c r="X53" s="139"/>
      <c r="Y53" s="134"/>
      <c r="Z53" s="139"/>
      <c r="AA53" s="139"/>
      <c r="AB53" s="138"/>
    </row>
    <row r="54" spans="1:28">
      <c r="A54" s="157"/>
      <c r="B54" s="152"/>
      <c r="C54" s="124">
        <f t="shared" si="3"/>
        <v>0</v>
      </c>
      <c r="D54" s="131"/>
      <c r="E54" s="157"/>
      <c r="F54" s="124">
        <f t="shared" si="4"/>
        <v>0</v>
      </c>
      <c r="G54" s="134"/>
      <c r="H54" s="134"/>
      <c r="I54" s="135"/>
      <c r="J54" s="134"/>
      <c r="K54" s="134"/>
      <c r="L54" s="139"/>
      <c r="M54" s="134"/>
      <c r="N54" s="134"/>
      <c r="O54" s="134"/>
      <c r="P54" s="139"/>
      <c r="Q54" s="134"/>
      <c r="R54" s="139"/>
      <c r="S54" s="139"/>
      <c r="T54" s="138"/>
      <c r="U54" s="144"/>
      <c r="V54" s="157"/>
      <c r="W54" s="124">
        <f t="shared" si="2"/>
        <v>0</v>
      </c>
      <c r="X54" s="139"/>
      <c r="Y54" s="134"/>
      <c r="Z54" s="139"/>
      <c r="AA54" s="139"/>
      <c r="AB54" s="138"/>
    </row>
    <row r="55" spans="1:28">
      <c r="A55" s="157"/>
      <c r="B55" s="158"/>
      <c r="C55" s="124">
        <f t="shared" si="3"/>
        <v>0</v>
      </c>
      <c r="D55" s="131"/>
      <c r="E55" s="132"/>
      <c r="F55" s="124">
        <f t="shared" si="4"/>
        <v>0</v>
      </c>
      <c r="G55" s="134"/>
      <c r="H55" s="134"/>
      <c r="I55" s="134"/>
      <c r="J55" s="134"/>
      <c r="K55" s="134"/>
      <c r="L55" s="139"/>
      <c r="M55" s="134"/>
      <c r="N55" s="134"/>
      <c r="O55" s="134"/>
      <c r="P55" s="139"/>
      <c r="Q55" s="134"/>
      <c r="R55" s="139"/>
      <c r="S55" s="139"/>
      <c r="T55" s="138"/>
      <c r="U55" s="144"/>
      <c r="V55" s="132"/>
      <c r="W55" s="124">
        <f t="shared" si="2"/>
        <v>0</v>
      </c>
      <c r="X55" s="139"/>
      <c r="Y55" s="134"/>
      <c r="Z55" s="139"/>
      <c r="AA55" s="139"/>
      <c r="AB55" s="138"/>
    </row>
    <row r="56" spans="1:28">
      <c r="A56" s="159"/>
      <c r="B56" s="160" t="s">
        <v>17</v>
      </c>
      <c r="C56" s="1535">
        <f>SUM(C15:C55)</f>
        <v>1524600</v>
      </c>
      <c r="D56" s="1536"/>
      <c r="E56" s="1536"/>
      <c r="F56" s="1536">
        <f>SUM(F15:F55)</f>
        <v>1524600</v>
      </c>
      <c r="G56" s="1536">
        <f t="shared" ref="G56:M56" si="5">SUM(G17:G55)</f>
        <v>0</v>
      </c>
      <c r="H56" s="1536">
        <f t="shared" si="5"/>
        <v>0</v>
      </c>
      <c r="I56" s="1536">
        <f t="shared" si="5"/>
        <v>0</v>
      </c>
      <c r="J56" s="1536">
        <f t="shared" si="5"/>
        <v>0</v>
      </c>
      <c r="K56" s="1536">
        <f t="shared" si="5"/>
        <v>250000</v>
      </c>
      <c r="L56" s="1536">
        <f t="shared" si="5"/>
        <v>250000</v>
      </c>
      <c r="M56" s="1536">
        <f t="shared" si="5"/>
        <v>0</v>
      </c>
      <c r="N56" s="1536">
        <f>SUM(N14:N55)</f>
        <v>87120</v>
      </c>
      <c r="O56" s="1536">
        <f>SUM(O14:O55)</f>
        <v>0</v>
      </c>
      <c r="P56" s="1536">
        <f>SUM(P14:P55)</f>
        <v>0</v>
      </c>
      <c r="Q56" s="1536">
        <f>SUM(Q14:Q55)</f>
        <v>0</v>
      </c>
      <c r="R56" s="1536">
        <f>SUM(R14:R55)</f>
        <v>0</v>
      </c>
      <c r="S56" s="1536">
        <f>SUM(S17:S55)</f>
        <v>0</v>
      </c>
      <c r="T56" s="1537">
        <f>W56-L56</f>
        <v>1274600</v>
      </c>
      <c r="U56" s="1536"/>
      <c r="V56" s="1536"/>
      <c r="W56" s="1536">
        <f>SUM(W14:W55)</f>
        <v>1524600</v>
      </c>
      <c r="X56" s="1536">
        <f>SUM(X17:X55)</f>
        <v>0</v>
      </c>
      <c r="Y56" s="1536">
        <f>SUM(Y17:Y55)</f>
        <v>0</v>
      </c>
      <c r="Z56" s="1536">
        <f>SUM(Z17:Z55)</f>
        <v>0</v>
      </c>
      <c r="AA56" s="1536">
        <v>0</v>
      </c>
      <c r="AB56" s="1536">
        <f>SUM(AB17:AB55)</f>
        <v>0</v>
      </c>
    </row>
    <row r="57" spans="1:28">
      <c r="A57" s="161"/>
      <c r="B57" s="162"/>
      <c r="F57" s="163"/>
      <c r="G57" s="163"/>
      <c r="H57" s="163"/>
      <c r="I57" s="163"/>
      <c r="J57" s="163"/>
      <c r="K57" s="163"/>
      <c r="L57" s="163"/>
      <c r="M57" s="163"/>
      <c r="N57" s="163"/>
      <c r="P57" s="163"/>
      <c r="Q57" s="67"/>
      <c r="R57" s="67"/>
      <c r="W57" s="163"/>
    </row>
    <row r="58" spans="1:28">
      <c r="A58" s="164"/>
      <c r="B58" s="162"/>
      <c r="F58" s="163"/>
      <c r="G58" s="163"/>
      <c r="H58" s="163"/>
      <c r="I58" s="163"/>
      <c r="J58" s="163"/>
      <c r="K58" s="163"/>
      <c r="L58" s="163"/>
      <c r="M58" s="163"/>
      <c r="N58" s="163"/>
      <c r="P58" s="163"/>
      <c r="Q58" s="67"/>
      <c r="R58" s="67"/>
      <c r="W58" s="163"/>
    </row>
    <row r="59" spans="1:28">
      <c r="F59" s="163"/>
      <c r="R59" s="67"/>
      <c r="W59" s="163"/>
    </row>
    <row r="60" spans="1:28">
      <c r="F60" s="163"/>
      <c r="R60" s="67"/>
      <c r="W60" s="163"/>
    </row>
    <row r="61" spans="1:28">
      <c r="R61" s="67"/>
    </row>
    <row r="62" spans="1:28">
      <c r="A62" s="67" t="s">
        <v>59</v>
      </c>
      <c r="F62" s="163"/>
      <c r="W62" s="163"/>
    </row>
  </sheetData>
  <mergeCells count="7">
    <mergeCell ref="AB8:AB12"/>
    <mergeCell ref="E1:F1"/>
    <mergeCell ref="D6:E6"/>
    <mergeCell ref="X8:X12"/>
    <mergeCell ref="Y8:Y12"/>
    <mergeCell ref="Z8:Z12"/>
    <mergeCell ref="AA8:AA12"/>
  </mergeCells>
  <conditionalFormatting sqref="U8:W9 X8:AC12">
    <cfRule type="cellIs" dxfId="63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1">
    <pageSetUpPr fitToPage="1"/>
  </sheetPr>
  <dimension ref="A1:AE75"/>
  <sheetViews>
    <sheetView showGridLines="0" showZeros="0" view="pageBreakPreview" zoomScaleNormal="100" workbookViewId="0">
      <selection activeCell="Z16" sqref="Z16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452</v>
      </c>
      <c r="C2" s="826"/>
      <c r="D2" s="826"/>
      <c r="E2" s="827"/>
      <c r="F2" s="826"/>
      <c r="G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448</v>
      </c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247</v>
      </c>
      <c r="C4" s="1325"/>
      <c r="D4" s="1325"/>
      <c r="E4" s="2150"/>
      <c r="F4" s="1324"/>
      <c r="G4" s="825"/>
      <c r="H4" s="302"/>
      <c r="I4" s="302"/>
      <c r="J4" s="302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201400400</v>
      </c>
      <c r="C5" s="828"/>
      <c r="D5" s="828"/>
      <c r="E5" s="831"/>
      <c r="F5" s="825"/>
      <c r="G5" s="825"/>
      <c r="J5" s="302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451</v>
      </c>
      <c r="C6" s="828"/>
      <c r="D6" s="828"/>
      <c r="E6" s="831"/>
      <c r="F6" s="825"/>
      <c r="G6" s="825"/>
      <c r="H6" s="312"/>
      <c r="I6" s="313"/>
      <c r="J6" s="314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324"/>
      <c r="B13" s="324" t="s">
        <v>35</v>
      </c>
      <c r="C13" s="325" t="s">
        <v>36</v>
      </c>
      <c r="D13" s="325"/>
      <c r="E13" s="348"/>
      <c r="F13" s="326" t="s">
        <v>37</v>
      </c>
      <c r="G13" s="326" t="s">
        <v>38</v>
      </c>
      <c r="H13" s="326" t="s">
        <v>39</v>
      </c>
      <c r="I13" s="326" t="s">
        <v>40</v>
      </c>
      <c r="J13" s="326" t="s">
        <v>41</v>
      </c>
      <c r="K13" s="326" t="s">
        <v>42</v>
      </c>
      <c r="L13" s="326" t="s">
        <v>43</v>
      </c>
      <c r="M13" s="326" t="s">
        <v>44</v>
      </c>
      <c r="N13" s="326" t="s">
        <v>45</v>
      </c>
      <c r="O13" s="325"/>
      <c r="P13" s="326" t="s">
        <v>37</v>
      </c>
      <c r="Q13" s="325" t="s">
        <v>46</v>
      </c>
      <c r="R13" s="325"/>
      <c r="S13" s="327" t="s">
        <v>47</v>
      </c>
      <c r="T13" s="328" t="s">
        <v>48</v>
      </c>
      <c r="U13" s="325"/>
      <c r="V13" s="325"/>
      <c r="W13" s="326" t="s">
        <v>37</v>
      </c>
      <c r="X13" s="328" t="s">
        <v>86</v>
      </c>
      <c r="Y13" s="328"/>
      <c r="Z13" s="328"/>
      <c r="AA13" s="328"/>
      <c r="AB13" s="328"/>
    </row>
    <row r="14" spans="1:31" ht="15.75" customHeight="1">
      <c r="A14" s="349"/>
      <c r="B14" s="350"/>
      <c r="C14" s="351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354"/>
      <c r="B15" s="142"/>
      <c r="C15" s="145"/>
      <c r="D15" s="335"/>
      <c r="E15" s="356"/>
      <c r="F15" s="188">
        <f>D15*E15</f>
        <v>0</v>
      </c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>
        <f>U15*V15</f>
        <v>0</v>
      </c>
      <c r="X15" s="136"/>
      <c r="Y15" s="136"/>
      <c r="Z15" s="136"/>
      <c r="AA15" s="136"/>
      <c r="AB15" s="136">
        <v>0</v>
      </c>
    </row>
    <row r="16" spans="1:31" ht="22.5">
      <c r="A16" s="178">
        <v>1</v>
      </c>
      <c r="B16" s="168" t="s">
        <v>450</v>
      </c>
      <c r="C16" s="124">
        <f>F16</f>
        <v>120000</v>
      </c>
      <c r="D16" s="124">
        <f>100000*1.2</f>
        <v>120000</v>
      </c>
      <c r="E16" s="357">
        <v>1</v>
      </c>
      <c r="F16" s="124">
        <f>D16*E16</f>
        <v>120000</v>
      </c>
      <c r="G16" s="143"/>
      <c r="H16" s="143"/>
      <c r="I16" s="143">
        <f>U16</f>
        <v>120000</v>
      </c>
      <c r="J16" s="143"/>
      <c r="K16" s="143"/>
      <c r="L16" s="143">
        <f t="shared" ref="L16:L21" si="0">+I16-J16+K16</f>
        <v>120000</v>
      </c>
      <c r="M16" s="143"/>
      <c r="N16" s="143">
        <f>G16</f>
        <v>0</v>
      </c>
      <c r="O16" s="143">
        <v>1</v>
      </c>
      <c r="P16" s="124">
        <f>U16</f>
        <v>120000</v>
      </c>
      <c r="Q16" s="358"/>
      <c r="R16" s="124"/>
      <c r="S16" s="143"/>
      <c r="T16" s="143"/>
      <c r="U16" s="124">
        <v>120000</v>
      </c>
      <c r="V16" s="357">
        <v>1</v>
      </c>
      <c r="W16" s="124">
        <f>U16*V16</f>
        <v>120000</v>
      </c>
      <c r="X16" s="143">
        <v>120000</v>
      </c>
      <c r="Y16" s="143"/>
      <c r="Z16" s="143">
        <v>120000</v>
      </c>
      <c r="AA16" s="143"/>
      <c r="AB16" s="143">
        <v>120000</v>
      </c>
    </row>
    <row r="17" spans="1:31">
      <c r="A17" s="178"/>
      <c r="B17" s="366"/>
      <c r="C17" s="124"/>
      <c r="D17" s="124"/>
      <c r="E17" s="357"/>
      <c r="F17" s="124"/>
      <c r="G17" s="143"/>
      <c r="H17" s="143"/>
      <c r="I17" s="143"/>
      <c r="J17" s="143"/>
      <c r="K17" s="143">
        <f>+K16/1.2</f>
        <v>0</v>
      </c>
      <c r="L17" s="143">
        <f t="shared" si="0"/>
        <v>0</v>
      </c>
      <c r="M17" s="143">
        <f>+M16/1.2</f>
        <v>0</v>
      </c>
      <c r="N17" s="143">
        <f>+N16/1.2</f>
        <v>0</v>
      </c>
      <c r="O17" s="143"/>
      <c r="P17" s="143"/>
      <c r="Q17" s="141"/>
      <c r="R17" s="124"/>
      <c r="S17" s="143"/>
      <c r="T17" s="143"/>
      <c r="U17" s="143"/>
      <c r="V17" s="190"/>
      <c r="W17" s="124"/>
      <c r="X17" s="143"/>
      <c r="Y17" s="143"/>
      <c r="Z17" s="143"/>
      <c r="AA17" s="143"/>
      <c r="AB17" s="143"/>
      <c r="AC17" s="305"/>
      <c r="AD17" s="305"/>
      <c r="AE17" s="305"/>
    </row>
    <row r="18" spans="1:31">
      <c r="A18" s="178"/>
      <c r="B18" s="366"/>
      <c r="C18" s="124"/>
      <c r="D18" s="124"/>
      <c r="E18" s="357"/>
      <c r="F18" s="124"/>
      <c r="G18" s="143"/>
      <c r="H18" s="143"/>
      <c r="I18" s="143"/>
      <c r="J18" s="143"/>
      <c r="K18" s="143"/>
      <c r="L18" s="143">
        <f t="shared" si="0"/>
        <v>0</v>
      </c>
      <c r="M18" s="143"/>
      <c r="N18" s="143"/>
      <c r="O18" s="143"/>
      <c r="P18" s="1518"/>
      <c r="Q18" s="141"/>
      <c r="R18" s="143"/>
      <c r="S18" s="143"/>
      <c r="T18" s="143"/>
      <c r="U18" s="124"/>
      <c r="V18" s="190"/>
      <c r="W18" s="124"/>
      <c r="X18" s="143"/>
      <c r="Y18" s="143"/>
      <c r="Z18" s="143"/>
      <c r="AA18" s="143"/>
      <c r="AB18" s="143"/>
      <c r="AC18" s="305"/>
      <c r="AD18" s="305"/>
      <c r="AE18" s="305"/>
    </row>
    <row r="19" spans="1:31">
      <c r="A19" s="178"/>
      <c r="B19" s="366"/>
      <c r="C19" s="124"/>
      <c r="D19" s="124"/>
      <c r="E19" s="357"/>
      <c r="F19" s="124"/>
      <c r="G19" s="143"/>
      <c r="H19" s="143"/>
      <c r="I19" s="143"/>
      <c r="J19" s="143"/>
      <c r="K19" s="143"/>
      <c r="L19" s="143">
        <f t="shared" si="0"/>
        <v>0</v>
      </c>
      <c r="M19" s="143"/>
      <c r="N19" s="143"/>
      <c r="O19" s="143"/>
      <c r="P19" s="143"/>
      <c r="Q19" s="141"/>
      <c r="R19" s="143"/>
      <c r="S19" s="143"/>
      <c r="T19" s="143"/>
      <c r="U19" s="143"/>
      <c r="V19" s="190"/>
      <c r="W19" s="124"/>
      <c r="X19" s="143"/>
      <c r="Y19" s="143"/>
      <c r="Z19" s="143"/>
      <c r="AA19" s="143"/>
      <c r="AB19" s="143"/>
      <c r="AC19" s="305"/>
      <c r="AD19" s="305"/>
      <c r="AE19" s="305"/>
    </row>
    <row r="20" spans="1:31">
      <c r="A20" s="178"/>
      <c r="B20" s="366"/>
      <c r="C20" s="124"/>
      <c r="D20" s="124"/>
      <c r="E20" s="357"/>
      <c r="F20" s="124"/>
      <c r="G20" s="143"/>
      <c r="H20" s="143"/>
      <c r="I20" s="143"/>
      <c r="J20" s="143"/>
      <c r="K20" s="143"/>
      <c r="L20" s="143">
        <f t="shared" si="0"/>
        <v>0</v>
      </c>
      <c r="M20" s="143"/>
      <c r="N20" s="143"/>
      <c r="O20" s="143"/>
      <c r="P20" s="143"/>
      <c r="Q20" s="141"/>
      <c r="R20" s="124"/>
      <c r="S20" s="143">
        <f>+P20-R20</f>
        <v>0</v>
      </c>
      <c r="T20" s="143"/>
      <c r="U20" s="143"/>
      <c r="V20" s="190"/>
      <c r="W20" s="124"/>
      <c r="X20" s="143"/>
      <c r="Y20" s="143"/>
      <c r="Z20" s="143"/>
      <c r="AA20" s="143"/>
      <c r="AB20" s="143"/>
      <c r="AC20" s="305"/>
      <c r="AD20" s="305"/>
      <c r="AE20" s="305"/>
    </row>
    <row r="21" spans="1:31" ht="12.75" customHeight="1">
      <c r="A21" s="354"/>
      <c r="B21" s="366"/>
      <c r="C21" s="124"/>
      <c r="D21" s="124"/>
      <c r="E21" s="357"/>
      <c r="F21" s="124"/>
      <c r="G21" s="143"/>
      <c r="H21" s="143"/>
      <c r="I21" s="143"/>
      <c r="J21" s="143"/>
      <c r="K21" s="143"/>
      <c r="L21" s="143">
        <f t="shared" si="0"/>
        <v>0</v>
      </c>
      <c r="M21" s="143"/>
      <c r="N21" s="143"/>
      <c r="O21" s="143"/>
      <c r="P21" s="143"/>
      <c r="Q21" s="141"/>
      <c r="R21" s="124"/>
      <c r="S21" s="143"/>
      <c r="T21" s="143"/>
      <c r="U21" s="143"/>
      <c r="V21" s="190"/>
      <c r="W21" s="124">
        <f>U21*V21</f>
        <v>0</v>
      </c>
      <c r="X21" s="143"/>
      <c r="Y21" s="143"/>
      <c r="Z21" s="143"/>
      <c r="AA21" s="143"/>
      <c r="AB21" s="143"/>
      <c r="AC21" s="305"/>
      <c r="AD21" s="305"/>
      <c r="AE21" s="305"/>
    </row>
    <row r="22" spans="1:31">
      <c r="A22" s="178"/>
      <c r="B22" s="366"/>
      <c r="C22" s="124"/>
      <c r="D22" s="124"/>
      <c r="E22" s="357"/>
      <c r="F22" s="124"/>
      <c r="G22" s="143"/>
      <c r="H22" s="143"/>
      <c r="I22" s="143"/>
      <c r="J22" s="143"/>
      <c r="K22" s="143"/>
      <c r="L22" s="143">
        <f t="shared" ref="L22:L43" si="1">+I22+J22-K22</f>
        <v>0</v>
      </c>
      <c r="M22" s="143"/>
      <c r="N22" s="143"/>
      <c r="O22" s="143"/>
      <c r="P22" s="143"/>
      <c r="Q22" s="141"/>
      <c r="R22" s="143"/>
      <c r="S22" s="143"/>
      <c r="T22" s="143"/>
      <c r="U22" s="143"/>
      <c r="V22" s="190"/>
      <c r="W22" s="124"/>
      <c r="X22" s="143"/>
      <c r="Y22" s="143"/>
      <c r="Z22" s="143"/>
      <c r="AA22" s="143"/>
      <c r="AB22" s="143"/>
      <c r="AC22" s="305"/>
      <c r="AD22" s="305"/>
      <c r="AE22" s="305"/>
    </row>
    <row r="23" spans="1:31">
      <c r="A23" s="178"/>
      <c r="B23" s="366"/>
      <c r="C23" s="124"/>
      <c r="D23" s="124"/>
      <c r="E23" s="357"/>
      <c r="F23" s="124"/>
      <c r="G23" s="143"/>
      <c r="H23" s="143"/>
      <c r="I23" s="143"/>
      <c r="J23" s="143"/>
      <c r="K23" s="143"/>
      <c r="L23" s="143">
        <f t="shared" si="1"/>
        <v>0</v>
      </c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  <c r="AC23" s="305"/>
      <c r="AD23" s="305"/>
      <c r="AE23" s="305"/>
    </row>
    <row r="24" spans="1:31">
      <c r="A24" s="178"/>
      <c r="B24" s="366"/>
      <c r="C24" s="124"/>
      <c r="D24" s="124"/>
      <c r="E24" s="357"/>
      <c r="F24" s="124"/>
      <c r="G24" s="143"/>
      <c r="H24" s="143"/>
      <c r="I24" s="143"/>
      <c r="J24" s="143"/>
      <c r="K24" s="143"/>
      <c r="L24" s="143">
        <f t="shared" si="1"/>
        <v>0</v>
      </c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  <c r="AC24" s="305"/>
      <c r="AD24" s="305"/>
      <c r="AE24" s="305"/>
    </row>
    <row r="25" spans="1:31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>
        <f t="shared" si="1"/>
        <v>0</v>
      </c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  <c r="AC25" s="305"/>
      <c r="AD25" s="305"/>
      <c r="AE25" s="305"/>
    </row>
    <row r="26" spans="1:31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>
        <f t="shared" si="1"/>
        <v>0</v>
      </c>
      <c r="M26" s="143"/>
      <c r="N26" s="143"/>
      <c r="O26" s="143"/>
      <c r="P26" s="143"/>
      <c r="Q26" s="337"/>
      <c r="R26" s="143"/>
      <c r="S26" s="143"/>
      <c r="T26" s="143"/>
      <c r="U26" s="143"/>
      <c r="V26" s="356"/>
      <c r="W26" s="124"/>
      <c r="X26" s="143"/>
      <c r="Y26" s="143"/>
      <c r="Z26" s="143"/>
      <c r="AA26" s="143"/>
      <c r="AB26" s="143"/>
      <c r="AC26" s="305"/>
      <c r="AD26" s="305"/>
      <c r="AE26" s="305"/>
    </row>
    <row r="27" spans="1:31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>
        <f t="shared" si="1"/>
        <v>0</v>
      </c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  <c r="AC27" s="305"/>
      <c r="AD27" s="305"/>
      <c r="AE27" s="305"/>
    </row>
    <row r="28" spans="1:31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>
        <f t="shared" si="1"/>
        <v>0</v>
      </c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  <c r="AC28" s="305"/>
      <c r="AD28" s="305"/>
      <c r="AE28" s="305"/>
    </row>
    <row r="29" spans="1:31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>
        <f t="shared" si="1"/>
        <v>0</v>
      </c>
      <c r="M29" s="124"/>
      <c r="N29" s="124"/>
      <c r="O29" s="124"/>
      <c r="P29" s="143"/>
      <c r="Q29" s="184"/>
      <c r="R29" s="143"/>
      <c r="S29" s="143"/>
      <c r="T29" s="338"/>
      <c r="U29" s="143"/>
      <c r="V29" s="190"/>
      <c r="W29" s="124"/>
      <c r="X29" s="338"/>
      <c r="Y29" s="338"/>
      <c r="Z29" s="338"/>
      <c r="AA29" s="338"/>
      <c r="AB29" s="338"/>
      <c r="AC29" s="305"/>
      <c r="AD29" s="305"/>
      <c r="AE29" s="305"/>
    </row>
    <row r="30" spans="1:31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>
        <f t="shared" si="1"/>
        <v>0</v>
      </c>
      <c r="M30" s="124"/>
      <c r="N30" s="124"/>
      <c r="O30" s="124"/>
      <c r="P30" s="124"/>
      <c r="Q30" s="184"/>
      <c r="R30" s="143"/>
      <c r="S30" s="143"/>
      <c r="T30" s="338"/>
      <c r="U30" s="124"/>
      <c r="V30" s="190"/>
      <c r="W30" s="124"/>
      <c r="X30" s="338"/>
      <c r="Y30" s="338"/>
      <c r="Z30" s="338"/>
      <c r="AA30" s="338"/>
      <c r="AB30" s="338"/>
      <c r="AC30" s="305"/>
      <c r="AD30" s="305"/>
      <c r="AE30" s="305"/>
    </row>
    <row r="31" spans="1:31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si="1"/>
        <v>0</v>
      </c>
      <c r="M31" s="124"/>
      <c r="N31" s="124"/>
      <c r="O31" s="124"/>
      <c r="P31" s="124"/>
      <c r="Q31" s="184"/>
      <c r="R31" s="143"/>
      <c r="S31" s="143"/>
      <c r="T31" s="338"/>
      <c r="U31" s="124"/>
      <c r="V31" s="190"/>
      <c r="W31" s="124"/>
      <c r="X31" s="338"/>
      <c r="Y31" s="338"/>
      <c r="Z31" s="338"/>
      <c r="AA31" s="338"/>
      <c r="AB31" s="338"/>
      <c r="AC31" s="305"/>
      <c r="AD31" s="305"/>
      <c r="AE31" s="305"/>
    </row>
    <row r="32" spans="1:31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1"/>
        <v>0</v>
      </c>
      <c r="M32" s="124"/>
      <c r="N32" s="124"/>
      <c r="O32" s="124"/>
      <c r="P32" s="124"/>
      <c r="Q32" s="184"/>
      <c r="R32" s="143"/>
      <c r="S32" s="143"/>
      <c r="T32" s="338"/>
      <c r="U32" s="124"/>
      <c r="V32" s="190"/>
      <c r="W32" s="124"/>
      <c r="X32" s="338"/>
      <c r="Y32" s="338"/>
      <c r="Z32" s="338"/>
      <c r="AA32" s="338"/>
      <c r="AB32" s="338"/>
      <c r="AC32" s="305"/>
      <c r="AD32" s="305"/>
      <c r="AE32" s="305"/>
    </row>
    <row r="33" spans="1:31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1"/>
        <v>0</v>
      </c>
      <c r="M33" s="124"/>
      <c r="N33" s="124"/>
      <c r="O33" s="124"/>
      <c r="P33" s="124"/>
      <c r="Q33" s="184"/>
      <c r="R33" s="143"/>
      <c r="S33" s="143"/>
      <c r="T33" s="338"/>
      <c r="U33" s="124"/>
      <c r="V33" s="190"/>
      <c r="W33" s="124"/>
      <c r="X33" s="338"/>
      <c r="Y33" s="338"/>
      <c r="Z33" s="338"/>
      <c r="AA33" s="338"/>
      <c r="AB33" s="338"/>
      <c r="AC33" s="305"/>
      <c r="AD33" s="305"/>
      <c r="AE33" s="305"/>
    </row>
    <row r="34" spans="1:31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1"/>
        <v>0</v>
      </c>
      <c r="M34" s="124"/>
      <c r="N34" s="124"/>
      <c r="O34" s="124"/>
      <c r="P34" s="143"/>
      <c r="Q34" s="124"/>
      <c r="R34" s="143"/>
      <c r="S34" s="143"/>
      <c r="T34" s="338"/>
      <c r="U34" s="124"/>
      <c r="V34" s="356"/>
      <c r="W34" s="124"/>
      <c r="X34" s="338"/>
      <c r="Y34" s="338"/>
      <c r="Z34" s="338"/>
      <c r="AA34" s="338"/>
      <c r="AB34" s="338"/>
      <c r="AC34" s="305"/>
      <c r="AD34" s="305"/>
      <c r="AE34" s="305"/>
    </row>
    <row r="35" spans="1:31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1"/>
        <v>0</v>
      </c>
      <c r="M35" s="124"/>
      <c r="N35" s="124"/>
      <c r="O35" s="124"/>
      <c r="P35" s="143"/>
      <c r="Q35" s="124"/>
      <c r="R35" s="143"/>
      <c r="S35" s="143"/>
      <c r="T35" s="338"/>
      <c r="U35" s="124"/>
      <c r="V35" s="356"/>
      <c r="W35" s="124"/>
      <c r="X35" s="338"/>
      <c r="Y35" s="338"/>
      <c r="Z35" s="338"/>
      <c r="AA35" s="338"/>
      <c r="AB35" s="338"/>
      <c r="AC35" s="305"/>
      <c r="AD35" s="305"/>
      <c r="AE35" s="305"/>
    </row>
    <row r="36" spans="1:31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1"/>
        <v>0</v>
      </c>
      <c r="M36" s="124"/>
      <c r="N36" s="124"/>
      <c r="O36" s="124"/>
      <c r="P36" s="143"/>
      <c r="Q36" s="124"/>
      <c r="R36" s="143"/>
      <c r="S36" s="143"/>
      <c r="T36" s="338"/>
      <c r="U36" s="124"/>
      <c r="V36" s="356"/>
      <c r="W36" s="124"/>
      <c r="X36" s="338"/>
      <c r="Y36" s="338"/>
      <c r="Z36" s="338"/>
      <c r="AA36" s="338"/>
      <c r="AB36" s="338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1"/>
        <v>0</v>
      </c>
      <c r="M37" s="124"/>
      <c r="N37" s="124"/>
      <c r="O37" s="124"/>
      <c r="P37" s="143"/>
      <c r="Q37" s="124"/>
      <c r="R37" s="143"/>
      <c r="S37" s="143"/>
      <c r="T37" s="338"/>
      <c r="U37" s="124"/>
      <c r="V37" s="357"/>
      <c r="W37" s="124"/>
      <c r="X37" s="338"/>
      <c r="Y37" s="338"/>
      <c r="Z37" s="338"/>
      <c r="AA37" s="338"/>
      <c r="AB37" s="338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1"/>
        <v>0</v>
      </c>
      <c r="M38" s="124"/>
      <c r="N38" s="124"/>
      <c r="O38" s="124"/>
      <c r="P38" s="143"/>
      <c r="Q38" s="124"/>
      <c r="R38" s="143"/>
      <c r="S38" s="143"/>
      <c r="T38" s="338"/>
      <c r="U38" s="124"/>
      <c r="V38" s="357"/>
      <c r="W38" s="124"/>
      <c r="X38" s="338"/>
      <c r="Y38" s="338"/>
      <c r="Z38" s="338"/>
      <c r="AA38" s="338"/>
      <c r="AB38" s="338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1"/>
        <v>0</v>
      </c>
      <c r="M39" s="124"/>
      <c r="N39" s="124"/>
      <c r="O39" s="124"/>
      <c r="P39" s="143"/>
      <c r="Q39" s="124"/>
      <c r="R39" s="143"/>
      <c r="S39" s="143"/>
      <c r="T39" s="338"/>
      <c r="U39" s="124"/>
      <c r="V39" s="357"/>
      <c r="W39" s="124"/>
      <c r="X39" s="338"/>
      <c r="Y39" s="338"/>
      <c r="Z39" s="338"/>
      <c r="AA39" s="338"/>
      <c r="AB39" s="338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1"/>
        <v>0</v>
      </c>
      <c r="M40" s="124"/>
      <c r="N40" s="124"/>
      <c r="O40" s="124"/>
      <c r="P40" s="143"/>
      <c r="Q40" s="124"/>
      <c r="R40" s="143"/>
      <c r="S40" s="143"/>
      <c r="T40" s="338"/>
      <c r="U40" s="124"/>
      <c r="V40" s="357"/>
      <c r="W40" s="124"/>
      <c r="X40" s="338"/>
      <c r="Y40" s="338"/>
      <c r="Z40" s="338"/>
      <c r="AA40" s="338"/>
      <c r="AB40" s="338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1"/>
        <v>0</v>
      </c>
      <c r="M41" s="124"/>
      <c r="N41" s="124"/>
      <c r="O41" s="124"/>
      <c r="P41" s="143"/>
      <c r="Q41" s="124"/>
      <c r="R41" s="143"/>
      <c r="S41" s="143"/>
      <c r="T41" s="338"/>
      <c r="U41" s="124"/>
      <c r="V41" s="357"/>
      <c r="W41" s="124"/>
      <c r="X41" s="338"/>
      <c r="Y41" s="338"/>
      <c r="Z41" s="338"/>
      <c r="AA41" s="338"/>
      <c r="AB41" s="338"/>
      <c r="AC41" s="305"/>
      <c r="AD41" s="305"/>
      <c r="AE41" s="305"/>
    </row>
    <row r="42" spans="1:31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1"/>
        <v>0</v>
      </c>
      <c r="M42" s="124"/>
      <c r="N42" s="124"/>
      <c r="O42" s="124"/>
      <c r="P42" s="143"/>
      <c r="Q42" s="124"/>
      <c r="R42" s="143"/>
      <c r="S42" s="143"/>
      <c r="T42" s="338"/>
      <c r="U42" s="124"/>
      <c r="V42" s="357"/>
      <c r="W42" s="124"/>
      <c r="X42" s="338"/>
      <c r="Y42" s="338"/>
      <c r="Z42" s="338"/>
      <c r="AA42" s="338"/>
      <c r="AB42" s="338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1"/>
        <v>0</v>
      </c>
      <c r="M43" s="124"/>
      <c r="N43" s="124"/>
      <c r="O43" s="124"/>
      <c r="P43" s="143"/>
      <c r="Q43" s="124"/>
      <c r="R43" s="143"/>
      <c r="S43" s="143"/>
      <c r="T43" s="338"/>
      <c r="U43" s="124"/>
      <c r="V43" s="357"/>
      <c r="W43" s="124"/>
      <c r="X43" s="338"/>
      <c r="Y43" s="338"/>
      <c r="Z43" s="338"/>
      <c r="AA43" s="338"/>
      <c r="AB43" s="338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338"/>
      <c r="U44" s="124"/>
      <c r="V44" s="357"/>
      <c r="W44" s="124"/>
      <c r="X44" s="338"/>
      <c r="Y44" s="338"/>
      <c r="Z44" s="338"/>
      <c r="AA44" s="338"/>
      <c r="AB44" s="338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2">+I46+J46-K46</f>
        <v>0</v>
      </c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2"/>
        <v>0</v>
      </c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  <c r="AC47" s="305"/>
      <c r="AD47" s="305"/>
      <c r="AE47" s="305"/>
    </row>
    <row r="48" spans="1:31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2"/>
        <v>0</v>
      </c>
      <c r="M48" s="124"/>
      <c r="N48" s="124"/>
      <c r="O48" s="124"/>
      <c r="P48" s="143"/>
      <c r="Q48" s="124"/>
      <c r="R48" s="143"/>
      <c r="S48" s="143"/>
      <c r="T48" s="338"/>
      <c r="U48" s="124"/>
      <c r="V48" s="190"/>
      <c r="W48" s="124"/>
      <c r="X48" s="338"/>
      <c r="Y48" s="338"/>
      <c r="Z48" s="338"/>
      <c r="AA48" s="338"/>
      <c r="AB48" s="338"/>
      <c r="AC48" s="305"/>
      <c r="AD48" s="305"/>
      <c r="AE48" s="305"/>
    </row>
    <row r="49" spans="1:31">
      <c r="A49" s="178"/>
      <c r="B49" s="365"/>
      <c r="C49" s="124"/>
      <c r="D49" s="124"/>
      <c r="E49" s="190"/>
      <c r="F49" s="124"/>
      <c r="G49" s="188"/>
      <c r="H49" s="188"/>
      <c r="I49" s="188"/>
      <c r="J49" s="188"/>
      <c r="K49" s="188"/>
      <c r="L49" s="143">
        <f t="shared" si="2"/>
        <v>0</v>
      </c>
      <c r="M49" s="188"/>
      <c r="N49" s="188"/>
      <c r="O49" s="188"/>
      <c r="P49" s="143">
        <f>O49*D49</f>
        <v>0</v>
      </c>
      <c r="Q49" s="188"/>
      <c r="R49" s="143">
        <f>Q49*D49</f>
        <v>0</v>
      </c>
      <c r="S49" s="143">
        <f>+P49-R49</f>
        <v>0</v>
      </c>
      <c r="T49" s="338"/>
      <c r="U49" s="124"/>
      <c r="V49" s="190"/>
      <c r="W49" s="124"/>
      <c r="X49" s="338">
        <f>+N49-W49</f>
        <v>0</v>
      </c>
      <c r="Y49" s="338"/>
      <c r="Z49" s="338"/>
      <c r="AA49" s="338"/>
      <c r="AB49" s="338"/>
      <c r="AC49" s="305"/>
      <c r="AD49" s="305"/>
      <c r="AE49" s="305"/>
    </row>
    <row r="50" spans="1:31">
      <c r="A50" s="178"/>
      <c r="B50" s="366"/>
      <c r="C50" s="124"/>
      <c r="D50" s="124"/>
      <c r="E50" s="190"/>
      <c r="F50" s="124"/>
      <c r="G50" s="188"/>
      <c r="H50" s="188"/>
      <c r="I50" s="188"/>
      <c r="J50" s="188"/>
      <c r="K50" s="188"/>
      <c r="L50" s="143">
        <f t="shared" si="2"/>
        <v>0</v>
      </c>
      <c r="M50" s="188"/>
      <c r="N50" s="188"/>
      <c r="O50" s="188"/>
      <c r="P50" s="143"/>
      <c r="Q50" s="188"/>
      <c r="R50" s="143"/>
      <c r="S50" s="143"/>
      <c r="T50" s="338"/>
      <c r="U50" s="124"/>
      <c r="V50" s="190"/>
      <c r="W50" s="124"/>
      <c r="X50" s="338"/>
      <c r="Y50" s="338"/>
      <c r="Z50" s="338"/>
      <c r="AA50" s="338"/>
      <c r="AB50" s="338"/>
      <c r="AC50" s="305"/>
      <c r="AD50" s="305"/>
      <c r="AE50" s="305"/>
    </row>
    <row r="51" spans="1:31">
      <c r="A51" s="178"/>
      <c r="B51" s="367"/>
      <c r="C51" s="868"/>
      <c r="D51" s="869"/>
      <c r="E51" s="870"/>
      <c r="F51" s="868"/>
      <c r="G51" s="188"/>
      <c r="H51" s="188"/>
      <c r="I51" s="188"/>
      <c r="J51" s="188"/>
      <c r="K51" s="188"/>
      <c r="L51" s="143">
        <f t="shared" si="2"/>
        <v>0</v>
      </c>
      <c r="M51" s="188"/>
      <c r="N51" s="188"/>
      <c r="O51" s="188"/>
      <c r="P51" s="143"/>
      <c r="Q51" s="188"/>
      <c r="R51" s="143"/>
      <c r="S51" s="143"/>
      <c r="T51" s="338"/>
      <c r="U51" s="869"/>
      <c r="V51" s="870"/>
      <c r="W51" s="868"/>
      <c r="X51" s="338"/>
      <c r="Y51" s="338"/>
      <c r="Z51" s="338"/>
      <c r="AA51" s="338"/>
      <c r="AB51" s="338"/>
      <c r="AC51" s="305"/>
      <c r="AD51" s="305"/>
      <c r="AE51" s="305"/>
    </row>
    <row r="52" spans="1:31">
      <c r="A52" s="178"/>
      <c r="B52" s="168"/>
      <c r="C52" s="124"/>
      <c r="D52" s="124"/>
      <c r="E52" s="190"/>
      <c r="F52" s="124"/>
      <c r="G52" s="188"/>
      <c r="H52" s="188"/>
      <c r="I52" s="188"/>
      <c r="J52" s="188"/>
      <c r="K52" s="188"/>
      <c r="L52" s="143">
        <f t="shared" si="2"/>
        <v>0</v>
      </c>
      <c r="M52" s="188"/>
      <c r="N52" s="188"/>
      <c r="O52" s="188"/>
      <c r="P52" s="143"/>
      <c r="Q52" s="188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  <c r="AC52" s="305"/>
      <c r="AD52" s="305"/>
      <c r="AE52" s="305"/>
    </row>
    <row r="53" spans="1:31">
      <c r="A53" s="370"/>
      <c r="B53" s="189"/>
      <c r="C53" s="124"/>
      <c r="D53" s="124"/>
      <c r="E53" s="190"/>
      <c r="F53" s="124"/>
      <c r="G53" s="188"/>
      <c r="H53" s="188"/>
      <c r="I53" s="188"/>
      <c r="J53" s="188"/>
      <c r="K53" s="188"/>
      <c r="L53" s="143"/>
      <c r="M53" s="188"/>
      <c r="N53" s="188"/>
      <c r="O53" s="188"/>
      <c r="P53" s="143"/>
      <c r="Q53" s="188"/>
      <c r="R53" s="143"/>
      <c r="S53" s="143"/>
      <c r="T53" s="338"/>
      <c r="U53" s="124"/>
      <c r="V53" s="190"/>
      <c r="W53" s="124"/>
      <c r="X53" s="338"/>
      <c r="Y53" s="338"/>
      <c r="Z53" s="338"/>
      <c r="AA53" s="338"/>
      <c r="AB53" s="338"/>
      <c r="AC53" s="305"/>
      <c r="AD53" s="305"/>
      <c r="AE53" s="305"/>
    </row>
    <row r="54" spans="1:31">
      <c r="A54" s="370"/>
      <c r="B54" s="371"/>
      <c r="C54" s="124"/>
      <c r="D54" s="124"/>
      <c r="E54" s="190"/>
      <c r="F54" s="124"/>
      <c r="G54" s="188"/>
      <c r="H54" s="188"/>
      <c r="I54" s="188"/>
      <c r="J54" s="188"/>
      <c r="K54" s="188"/>
      <c r="L54" s="143">
        <f>+I54+J54-K54</f>
        <v>0</v>
      </c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  <c r="AC54" s="305"/>
      <c r="AD54" s="305"/>
      <c r="AE54" s="305"/>
    </row>
    <row r="55" spans="1:31">
      <c r="A55" s="178"/>
      <c r="B55" s="142"/>
      <c r="C55" s="124"/>
      <c r="D55" s="124"/>
      <c r="E55" s="190"/>
      <c r="F55" s="124"/>
      <c r="G55" s="188"/>
      <c r="H55" s="188"/>
      <c r="I55" s="188"/>
      <c r="J55" s="188"/>
      <c r="K55" s="188"/>
      <c r="L55" s="143">
        <f>+I55+J55-K55</f>
        <v>0</v>
      </c>
      <c r="M55" s="188"/>
      <c r="N55" s="188"/>
      <c r="O55" s="188"/>
      <c r="P55" s="143"/>
      <c r="Q55" s="188"/>
      <c r="R55" s="143"/>
      <c r="S55" s="143"/>
      <c r="T55" s="338"/>
      <c r="U55" s="124"/>
      <c r="V55" s="190"/>
      <c r="W55" s="124"/>
      <c r="X55" s="338"/>
      <c r="Y55" s="338"/>
      <c r="Z55" s="338"/>
      <c r="AA55" s="338"/>
      <c r="AB55" s="338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>
        <f>+I56+J56-K56</f>
        <v>0</v>
      </c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>
        <f>U56*V56</f>
        <v>0</v>
      </c>
      <c r="X56" s="338"/>
      <c r="Y56" s="338"/>
      <c r="Z56" s="338"/>
      <c r="AA56" s="338"/>
      <c r="AB56" s="338"/>
      <c r="AC56" s="305"/>
      <c r="AD56" s="305"/>
      <c r="AE56" s="305"/>
    </row>
    <row r="57" spans="1:31">
      <c r="A57" s="339" t="s">
        <v>97</v>
      </c>
      <c r="B57" s="340" t="s">
        <v>17</v>
      </c>
      <c r="C57" s="372">
        <f>SUM(C16:C56)</f>
        <v>120000</v>
      </c>
      <c r="D57" s="372"/>
      <c r="E57" s="373"/>
      <c r="F57" s="372">
        <f>SUM(F16:F56)</f>
        <v>120000</v>
      </c>
      <c r="G57" s="372">
        <f t="shared" ref="G57:N57" si="3">SUM(G15:G56)</f>
        <v>0</v>
      </c>
      <c r="H57" s="372">
        <f t="shared" si="3"/>
        <v>0</v>
      </c>
      <c r="I57" s="372">
        <f t="shared" si="3"/>
        <v>120000</v>
      </c>
      <c r="J57" s="372">
        <f t="shared" si="3"/>
        <v>0</v>
      </c>
      <c r="K57" s="372">
        <f t="shared" si="3"/>
        <v>0</v>
      </c>
      <c r="L57" s="372">
        <f t="shared" si="3"/>
        <v>120000</v>
      </c>
      <c r="M57" s="372">
        <f t="shared" si="3"/>
        <v>0</v>
      </c>
      <c r="N57" s="372">
        <f t="shared" si="3"/>
        <v>0</v>
      </c>
      <c r="O57" s="372"/>
      <c r="P57" s="372">
        <f>SUM(P15:P56)</f>
        <v>120000</v>
      </c>
      <c r="Q57" s="372"/>
      <c r="R57" s="372">
        <f>SUM(R15:R56)</f>
        <v>0</v>
      </c>
      <c r="S57" s="372">
        <f>SUM(S15:S56)</f>
        <v>0</v>
      </c>
      <c r="T57" s="374">
        <f>W57-L57</f>
        <v>0</v>
      </c>
      <c r="U57" s="372"/>
      <c r="V57" s="372"/>
      <c r="W57" s="372">
        <f>SUM(W16:W56)</f>
        <v>120000</v>
      </c>
      <c r="X57" s="372">
        <f>SUM(X15:X56)</f>
        <v>120000</v>
      </c>
      <c r="Y57" s="372">
        <f>SUM(Y15:Y56)</f>
        <v>0</v>
      </c>
      <c r="Z57" s="372">
        <f>SUM(Z15:Z56)</f>
        <v>120000</v>
      </c>
      <c r="AA57" s="372">
        <f>SUM(AA15:AA56)</f>
        <v>0</v>
      </c>
      <c r="AB57" s="372">
        <f>SUM(AB15:AB56)</f>
        <v>120000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AC61" s="305"/>
      <c r="AD61" s="305"/>
      <c r="AE61" s="305"/>
    </row>
    <row r="62" spans="1:31">
      <c r="R62" s="304"/>
      <c r="AC62" s="305"/>
      <c r="AD62" s="305"/>
      <c r="AE62" s="305"/>
    </row>
    <row r="63" spans="1:31">
      <c r="A63" s="304" t="s">
        <v>59</v>
      </c>
      <c r="F63" s="343"/>
      <c r="W63" s="343"/>
      <c r="AC63" s="305"/>
      <c r="AD63" s="305"/>
      <c r="AE63" s="305"/>
    </row>
    <row r="75" spans="2:2" s="305" customFormat="1">
      <c r="B75" s="304" t="s">
        <v>126</v>
      </c>
    </row>
  </sheetData>
  <mergeCells count="6">
    <mergeCell ref="E1:F1"/>
    <mergeCell ref="AB8:AB12"/>
    <mergeCell ref="X8:X12"/>
    <mergeCell ref="Y8:Y12"/>
    <mergeCell ref="Z8:Z12"/>
    <mergeCell ref="AA8:AA12"/>
  </mergeCells>
  <conditionalFormatting sqref="U8:W9 X8:AB12">
    <cfRule type="cellIs" dxfId="62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5" orientation="landscape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4">
    <pageSetUpPr fitToPage="1"/>
  </sheetPr>
  <dimension ref="A1:AE75"/>
  <sheetViews>
    <sheetView showGridLines="0" showZeros="0" view="pageBreakPreview" zoomScaleNormal="100" workbookViewId="0">
      <selection activeCell="Z16" sqref="Z16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2.875" style="304" bestFit="1" customWidth="1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395</v>
      </c>
      <c r="C2" s="828"/>
      <c r="D2" s="828"/>
      <c r="E2" s="831"/>
      <c r="F2" s="828"/>
      <c r="G2" s="828"/>
      <c r="H2" s="828"/>
      <c r="I2" s="828"/>
      <c r="J2" s="828"/>
      <c r="K2" s="828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396</v>
      </c>
      <c r="H3" s="828"/>
      <c r="I3" s="828"/>
      <c r="J3" s="828"/>
      <c r="K3" s="828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397</v>
      </c>
      <c r="C4" s="1325"/>
      <c r="D4" s="1325"/>
      <c r="E4" s="2150"/>
      <c r="F4" s="1324"/>
      <c r="G4" s="825"/>
      <c r="H4" s="825"/>
      <c r="I4" s="825"/>
      <c r="J4" s="825"/>
      <c r="K4" s="825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653">
        <v>201400285</v>
      </c>
      <c r="C5" s="828"/>
      <c r="D5" s="828"/>
      <c r="E5" s="831"/>
      <c r="F5" s="825"/>
      <c r="G5" s="825"/>
      <c r="H5" s="828"/>
      <c r="I5" s="828"/>
      <c r="J5" s="825"/>
      <c r="K5" s="832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398</v>
      </c>
      <c r="C6" s="828"/>
      <c r="D6" s="828"/>
      <c r="E6" s="831"/>
      <c r="F6" s="825"/>
      <c r="G6" s="825"/>
      <c r="H6" s="833"/>
      <c r="I6" s="833"/>
      <c r="J6" s="1436"/>
      <c r="K6" s="1435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393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145"/>
      <c r="D15" s="335"/>
      <c r="E15" s="356"/>
      <c r="F15" s="188">
        <f>D15*E15</f>
        <v>0</v>
      </c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>
        <f>U15*V15</f>
        <v>0</v>
      </c>
      <c r="X15" s="136"/>
      <c r="Y15" s="136"/>
      <c r="Z15" s="136"/>
      <c r="AA15" s="136"/>
      <c r="AB15" s="136">
        <v>0</v>
      </c>
    </row>
    <row r="16" spans="1:31">
      <c r="A16" s="178">
        <v>1</v>
      </c>
      <c r="B16" s="168" t="s">
        <v>399</v>
      </c>
      <c r="C16" s="124">
        <f>F16</f>
        <v>180000</v>
      </c>
      <c r="D16" s="124">
        <f>150000*1.2</f>
        <v>180000</v>
      </c>
      <c r="E16" s="357">
        <v>1</v>
      </c>
      <c r="F16" s="124">
        <f>D16*E16</f>
        <v>180000</v>
      </c>
      <c r="G16" s="143">
        <v>53400</v>
      </c>
      <c r="H16" s="143" t="s">
        <v>373</v>
      </c>
      <c r="I16" s="187">
        <f>F16</f>
        <v>180000</v>
      </c>
      <c r="J16" s="143">
        <v>30000</v>
      </c>
      <c r="K16" s="143"/>
      <c r="L16" s="143">
        <f t="shared" ref="L16:L21" si="0">+I16-J16+K16</f>
        <v>150000</v>
      </c>
      <c r="M16" s="143"/>
      <c r="N16" s="143">
        <v>57000</v>
      </c>
      <c r="O16" s="143">
        <v>0.1</v>
      </c>
      <c r="P16" s="124">
        <f>O16*SUM(F16:F22)</f>
        <v>150000</v>
      </c>
      <c r="Q16" s="358"/>
      <c r="R16" s="124"/>
      <c r="S16" s="143"/>
      <c r="T16" s="1751">
        <f>W16-L16</f>
        <v>30000</v>
      </c>
      <c r="U16" s="1751">
        <f>F16</f>
        <v>180000</v>
      </c>
      <c r="V16" s="1752">
        <v>1</v>
      </c>
      <c r="W16" s="886">
        <f>U16*V16</f>
        <v>180000</v>
      </c>
      <c r="X16" s="143">
        <v>150000</v>
      </c>
      <c r="Y16" s="143">
        <v>57000</v>
      </c>
      <c r="Z16" s="143">
        <v>150000</v>
      </c>
      <c r="AA16" s="143"/>
      <c r="AB16" s="143"/>
    </row>
    <row r="17" spans="1:28">
      <c r="A17" s="178"/>
      <c r="B17" s="366"/>
      <c r="C17" s="124"/>
      <c r="D17" s="124"/>
      <c r="E17" s="357"/>
      <c r="F17" s="124"/>
      <c r="G17" s="143"/>
      <c r="H17" s="143"/>
      <c r="I17" s="143"/>
      <c r="J17" s="1519"/>
      <c r="K17" s="143"/>
      <c r="L17" s="143">
        <f t="shared" si="0"/>
        <v>0</v>
      </c>
      <c r="M17" s="143">
        <f>+M16/1.2</f>
        <v>0</v>
      </c>
      <c r="N17" s="143"/>
      <c r="O17" s="143"/>
      <c r="P17" s="143"/>
      <c r="Q17" s="141"/>
      <c r="R17" s="124"/>
      <c r="S17" s="143"/>
      <c r="T17" s="1751">
        <f t="shared" ref="T17:T22" si="1">W17-L17</f>
        <v>0</v>
      </c>
      <c r="U17" s="143"/>
      <c r="V17" s="190"/>
      <c r="W17" s="124"/>
      <c r="X17" s="143"/>
      <c r="Y17" s="143"/>
      <c r="Z17" s="143"/>
      <c r="AA17" s="143"/>
      <c r="AB17" s="143"/>
    </row>
    <row r="18" spans="1:28" ht="22.5">
      <c r="A18" s="178">
        <v>2</v>
      </c>
      <c r="B18" s="168" t="s">
        <v>400</v>
      </c>
      <c r="C18" s="124">
        <f>F18</f>
        <v>744000</v>
      </c>
      <c r="D18" s="124">
        <f>620000*1.2</f>
        <v>744000</v>
      </c>
      <c r="E18" s="357">
        <v>1</v>
      </c>
      <c r="F18" s="124">
        <f>D18*E18</f>
        <v>744000</v>
      </c>
      <c r="G18" s="143"/>
      <c r="H18" s="143"/>
      <c r="I18" s="143"/>
      <c r="J18" s="143"/>
      <c r="K18" s="143"/>
      <c r="L18" s="143">
        <f t="shared" si="0"/>
        <v>0</v>
      </c>
      <c r="M18" s="143"/>
      <c r="N18" s="143"/>
      <c r="O18" s="143"/>
      <c r="P18" s="1517"/>
      <c r="Q18" s="141"/>
      <c r="R18" s="143"/>
      <c r="S18" s="143"/>
      <c r="T18" s="1751">
        <f t="shared" si="1"/>
        <v>744000</v>
      </c>
      <c r="U18" s="1751">
        <f>F18</f>
        <v>744000</v>
      </c>
      <c r="V18" s="1752">
        <v>1</v>
      </c>
      <c r="W18" s="886">
        <f>U18*V18</f>
        <v>744000</v>
      </c>
      <c r="X18" s="143"/>
      <c r="Y18" s="143"/>
      <c r="Z18" s="143"/>
      <c r="AA18" s="143"/>
      <c r="AB18" s="143"/>
    </row>
    <row r="19" spans="1:28">
      <c r="A19" s="178"/>
      <c r="B19" s="366"/>
      <c r="C19" s="124"/>
      <c r="D19" s="124"/>
      <c r="E19" s="357"/>
      <c r="F19" s="124"/>
      <c r="G19" s="143"/>
      <c r="H19" s="143"/>
      <c r="I19" s="143"/>
      <c r="J19" s="143"/>
      <c r="K19" s="143"/>
      <c r="L19" s="143">
        <f t="shared" si="0"/>
        <v>0</v>
      </c>
      <c r="M19" s="143"/>
      <c r="N19" s="143"/>
      <c r="O19" s="143"/>
      <c r="P19" s="143"/>
      <c r="Q19" s="141"/>
      <c r="R19" s="143"/>
      <c r="S19" s="143"/>
      <c r="T19" s="1751">
        <f t="shared" si="1"/>
        <v>0</v>
      </c>
      <c r="U19" s="143"/>
      <c r="V19" s="190"/>
      <c r="W19" s="124"/>
      <c r="X19" s="143"/>
      <c r="Y19" s="143"/>
      <c r="Z19" s="143"/>
      <c r="AA19" s="143"/>
      <c r="AB19" s="143"/>
    </row>
    <row r="20" spans="1:28">
      <c r="A20" s="178">
        <v>3</v>
      </c>
      <c r="B20" s="168" t="s">
        <v>401</v>
      </c>
      <c r="C20" s="124">
        <f>F20</f>
        <v>480000</v>
      </c>
      <c r="D20" s="124">
        <f>400000*1.2</f>
        <v>480000</v>
      </c>
      <c r="E20" s="357">
        <v>1</v>
      </c>
      <c r="F20" s="124">
        <f>D20*E20</f>
        <v>480000</v>
      </c>
      <c r="G20" s="143"/>
      <c r="H20" s="143"/>
      <c r="I20" s="143"/>
      <c r="J20" s="143"/>
      <c r="K20" s="143"/>
      <c r="L20" s="143">
        <f t="shared" si="0"/>
        <v>0</v>
      </c>
      <c r="M20" s="143"/>
      <c r="N20" s="143"/>
      <c r="O20" s="143"/>
      <c r="P20" s="143"/>
      <c r="Q20" s="141"/>
      <c r="R20" s="124"/>
      <c r="S20" s="143">
        <f>+P20-R20</f>
        <v>0</v>
      </c>
      <c r="T20" s="1751">
        <f t="shared" si="1"/>
        <v>480000</v>
      </c>
      <c r="U20" s="1751">
        <f>F20</f>
        <v>480000</v>
      </c>
      <c r="V20" s="1752">
        <v>1</v>
      </c>
      <c r="W20" s="886">
        <f>U20*V20</f>
        <v>480000</v>
      </c>
      <c r="X20" s="143"/>
      <c r="Y20" s="143"/>
      <c r="Z20" s="143"/>
      <c r="AA20" s="143"/>
      <c r="AB20" s="143"/>
    </row>
    <row r="21" spans="1:28" ht="12.75" customHeight="1">
      <c r="A21" s="354"/>
      <c r="B21" s="366"/>
      <c r="C21" s="124"/>
      <c r="D21" s="124"/>
      <c r="E21" s="357"/>
      <c r="F21" s="124"/>
      <c r="G21" s="143"/>
      <c r="H21" s="143"/>
      <c r="I21" s="143"/>
      <c r="J21" s="143"/>
      <c r="K21" s="143"/>
      <c r="L21" s="143">
        <f t="shared" si="0"/>
        <v>0</v>
      </c>
      <c r="M21" s="143"/>
      <c r="N21" s="143"/>
      <c r="O21" s="143"/>
      <c r="P21" s="143"/>
      <c r="Q21" s="141"/>
      <c r="R21" s="124"/>
      <c r="S21" s="143"/>
      <c r="T21" s="1751">
        <f t="shared" si="1"/>
        <v>0</v>
      </c>
      <c r="U21" s="143"/>
      <c r="V21" s="190"/>
      <c r="W21" s="124">
        <f>U21*V21</f>
        <v>0</v>
      </c>
      <c r="X21" s="143"/>
      <c r="Y21" s="143"/>
      <c r="Z21" s="143"/>
      <c r="AA21" s="143"/>
      <c r="AB21" s="143"/>
    </row>
    <row r="22" spans="1:28" ht="22.5">
      <c r="A22" s="178">
        <v>4</v>
      </c>
      <c r="B22" s="168" t="s">
        <v>402</v>
      </c>
      <c r="C22" s="124">
        <f>F22</f>
        <v>96000</v>
      </c>
      <c r="D22" s="124">
        <f>80000*1.2</f>
        <v>96000</v>
      </c>
      <c r="E22" s="357">
        <v>1</v>
      </c>
      <c r="F22" s="124">
        <f>D22*E22</f>
        <v>96000</v>
      </c>
      <c r="G22" s="143"/>
      <c r="H22" s="143"/>
      <c r="I22" s="143"/>
      <c r="J22" s="143"/>
      <c r="K22" s="143"/>
      <c r="L22" s="143">
        <f t="shared" ref="L22:L43" si="2">+I22+J22-K22</f>
        <v>0</v>
      </c>
      <c r="M22" s="143"/>
      <c r="N22" s="143"/>
      <c r="O22" s="143"/>
      <c r="P22" s="143"/>
      <c r="Q22" s="141"/>
      <c r="R22" s="143"/>
      <c r="S22" s="143"/>
      <c r="T22" s="1751">
        <f t="shared" si="1"/>
        <v>96000</v>
      </c>
      <c r="U22" s="1751">
        <f>F22</f>
        <v>96000</v>
      </c>
      <c r="V22" s="1752">
        <v>1</v>
      </c>
      <c r="W22" s="886">
        <f>U22*V22</f>
        <v>96000</v>
      </c>
      <c r="X22" s="143"/>
      <c r="Y22" s="143"/>
      <c r="Z22" s="143"/>
      <c r="AA22" s="143"/>
      <c r="AB22" s="143"/>
    </row>
    <row r="23" spans="1:28">
      <c r="A23" s="178"/>
      <c r="B23" s="366"/>
      <c r="C23" s="124"/>
      <c r="D23" s="124"/>
      <c r="E23" s="357"/>
      <c r="F23" s="124"/>
      <c r="G23" s="143"/>
      <c r="H23" s="143"/>
      <c r="I23" s="143"/>
      <c r="J23" s="143"/>
      <c r="K23" s="143"/>
      <c r="L23" s="143">
        <f t="shared" si="2"/>
        <v>0</v>
      </c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>
      <c r="A24" s="178"/>
      <c r="B24" s="366"/>
      <c r="C24" s="124"/>
      <c r="D24" s="124"/>
      <c r="E24" s="357"/>
      <c r="F24" s="124"/>
      <c r="G24" s="143"/>
      <c r="H24" s="143"/>
      <c r="I24" s="143"/>
      <c r="J24" s="143"/>
      <c r="K24" s="143"/>
      <c r="L24" s="143">
        <f t="shared" si="2"/>
        <v>0</v>
      </c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>
        <f t="shared" si="2"/>
        <v>0</v>
      </c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>
        <f t="shared" si="2"/>
        <v>0</v>
      </c>
      <c r="M26" s="143"/>
      <c r="N26" s="143"/>
      <c r="O26" s="143"/>
      <c r="P26" s="143"/>
      <c r="Q26" s="337"/>
      <c r="R26" s="143"/>
      <c r="S26" s="143"/>
      <c r="T26" s="143"/>
      <c r="U26" s="143"/>
      <c r="V26" s="356"/>
      <c r="W26" s="124"/>
      <c r="X26" s="143"/>
      <c r="Y26" s="143"/>
      <c r="Z26" s="143"/>
      <c r="AA26" s="143"/>
      <c r="AB26" s="143"/>
    </row>
    <row r="27" spans="1:28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>
        <f t="shared" si="2"/>
        <v>0</v>
      </c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</row>
    <row r="28" spans="1:28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>
        <f t="shared" si="2"/>
        <v>0</v>
      </c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</row>
    <row r="29" spans="1:28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>
        <f t="shared" si="2"/>
        <v>0</v>
      </c>
      <c r="M29" s="124"/>
      <c r="N29" s="124"/>
      <c r="O29" s="124"/>
      <c r="P29" s="143"/>
      <c r="Q29" s="184"/>
      <c r="R29" s="143"/>
      <c r="S29" s="143"/>
      <c r="T29" s="338"/>
      <c r="U29" s="143"/>
      <c r="V29" s="190"/>
      <c r="W29" s="124"/>
      <c r="X29" s="338"/>
      <c r="Y29" s="338"/>
      <c r="Z29" s="338"/>
      <c r="AA29" s="338"/>
      <c r="AB29" s="338"/>
    </row>
    <row r="30" spans="1:28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>
        <f t="shared" si="2"/>
        <v>0</v>
      </c>
      <c r="M30" s="124"/>
      <c r="N30" s="124"/>
      <c r="O30" s="124"/>
      <c r="P30" s="124"/>
      <c r="Q30" s="184"/>
      <c r="R30" s="143"/>
      <c r="S30" s="143"/>
      <c r="T30" s="338"/>
      <c r="U30" s="124"/>
      <c r="V30" s="190"/>
      <c r="W30" s="124"/>
      <c r="X30" s="338"/>
      <c r="Y30" s="338"/>
      <c r="Z30" s="338"/>
      <c r="AA30" s="338"/>
      <c r="AB30" s="338"/>
    </row>
    <row r="31" spans="1:28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si="2"/>
        <v>0</v>
      </c>
      <c r="M31" s="124"/>
      <c r="N31" s="124"/>
      <c r="O31" s="124"/>
      <c r="P31" s="124"/>
      <c r="Q31" s="184"/>
      <c r="R31" s="143"/>
      <c r="S31" s="143"/>
      <c r="T31" s="338"/>
      <c r="U31" s="124"/>
      <c r="V31" s="190"/>
      <c r="W31" s="124"/>
      <c r="X31" s="338"/>
      <c r="Y31" s="338"/>
      <c r="Z31" s="338"/>
      <c r="AA31" s="338"/>
      <c r="AB31" s="338"/>
    </row>
    <row r="32" spans="1:28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2"/>
        <v>0</v>
      </c>
      <c r="M32" s="124"/>
      <c r="N32" s="124"/>
      <c r="O32" s="124"/>
      <c r="P32" s="124"/>
      <c r="Q32" s="184"/>
      <c r="R32" s="143"/>
      <c r="S32" s="143"/>
      <c r="T32" s="338"/>
      <c r="U32" s="124"/>
      <c r="V32" s="190"/>
      <c r="W32" s="124"/>
      <c r="X32" s="338"/>
      <c r="Y32" s="338"/>
      <c r="Z32" s="338"/>
      <c r="AA32" s="338"/>
      <c r="AB32" s="338"/>
    </row>
    <row r="33" spans="1:28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2"/>
        <v>0</v>
      </c>
      <c r="M33" s="124"/>
      <c r="N33" s="124"/>
      <c r="O33" s="124"/>
      <c r="P33" s="124"/>
      <c r="Q33" s="184"/>
      <c r="R33" s="143"/>
      <c r="S33" s="143"/>
      <c r="T33" s="338"/>
      <c r="U33" s="124"/>
      <c r="V33" s="190"/>
      <c r="W33" s="124"/>
      <c r="X33" s="338"/>
      <c r="Y33" s="338"/>
      <c r="Z33" s="338"/>
      <c r="AA33" s="338"/>
      <c r="AB33" s="338"/>
    </row>
    <row r="34" spans="1:28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2"/>
        <v>0</v>
      </c>
      <c r="M34" s="124"/>
      <c r="N34" s="124"/>
      <c r="O34" s="124"/>
      <c r="P34" s="143"/>
      <c r="Q34" s="124"/>
      <c r="R34" s="143"/>
      <c r="S34" s="143"/>
      <c r="T34" s="338"/>
      <c r="U34" s="124"/>
      <c r="V34" s="356"/>
      <c r="W34" s="124"/>
      <c r="X34" s="338"/>
      <c r="Y34" s="338"/>
      <c r="Z34" s="338"/>
      <c r="AA34" s="338"/>
      <c r="AB34" s="338"/>
    </row>
    <row r="35" spans="1:28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2"/>
        <v>0</v>
      </c>
      <c r="M35" s="124"/>
      <c r="N35" s="124"/>
      <c r="O35" s="124"/>
      <c r="P35" s="143"/>
      <c r="Q35" s="124"/>
      <c r="R35" s="143"/>
      <c r="S35" s="143"/>
      <c r="T35" s="338"/>
      <c r="U35" s="124"/>
      <c r="V35" s="356"/>
      <c r="W35" s="124"/>
      <c r="X35" s="338"/>
      <c r="Y35" s="338"/>
      <c r="Z35" s="338"/>
      <c r="AA35" s="338"/>
      <c r="AB35" s="338"/>
    </row>
    <row r="36" spans="1:28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2"/>
        <v>0</v>
      </c>
      <c r="M36" s="124"/>
      <c r="N36" s="124"/>
      <c r="O36" s="124"/>
      <c r="P36" s="143"/>
      <c r="Q36" s="124"/>
      <c r="R36" s="143"/>
      <c r="S36" s="143"/>
      <c r="T36" s="338"/>
      <c r="U36" s="124"/>
      <c r="V36" s="356"/>
      <c r="W36" s="124"/>
      <c r="X36" s="338"/>
      <c r="Y36" s="338"/>
      <c r="Z36" s="338"/>
      <c r="AA36" s="338"/>
      <c r="AB36" s="338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2"/>
        <v>0</v>
      </c>
      <c r="M37" s="124"/>
      <c r="N37" s="124"/>
      <c r="O37" s="124"/>
      <c r="P37" s="143"/>
      <c r="Q37" s="124"/>
      <c r="R37" s="143"/>
      <c r="S37" s="143"/>
      <c r="T37" s="338"/>
      <c r="U37" s="124"/>
      <c r="V37" s="357"/>
      <c r="W37" s="124"/>
      <c r="X37" s="338"/>
      <c r="Y37" s="338"/>
      <c r="Z37" s="338"/>
      <c r="AA37" s="338"/>
      <c r="AB37" s="338"/>
    </row>
    <row r="38" spans="1:28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2"/>
        <v>0</v>
      </c>
      <c r="M38" s="124"/>
      <c r="N38" s="124"/>
      <c r="O38" s="124"/>
      <c r="P38" s="143"/>
      <c r="Q38" s="124"/>
      <c r="R38" s="143"/>
      <c r="S38" s="143"/>
      <c r="T38" s="338"/>
      <c r="U38" s="124"/>
      <c r="V38" s="357"/>
      <c r="W38" s="124"/>
      <c r="X38" s="338"/>
      <c r="Y38" s="338"/>
      <c r="Z38" s="338"/>
      <c r="AA38" s="338"/>
      <c r="AB38" s="338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2"/>
        <v>0</v>
      </c>
      <c r="M39" s="124"/>
      <c r="N39" s="124"/>
      <c r="O39" s="124"/>
      <c r="P39" s="143"/>
      <c r="Q39" s="124"/>
      <c r="R39" s="143"/>
      <c r="S39" s="143"/>
      <c r="T39" s="338"/>
      <c r="U39" s="124"/>
      <c r="V39" s="357"/>
      <c r="W39" s="124"/>
      <c r="X39" s="338"/>
      <c r="Y39" s="338"/>
      <c r="Z39" s="338"/>
      <c r="AA39" s="338"/>
      <c r="AB39" s="338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2"/>
        <v>0</v>
      </c>
      <c r="M40" s="124"/>
      <c r="N40" s="124"/>
      <c r="O40" s="124"/>
      <c r="P40" s="143"/>
      <c r="Q40" s="124"/>
      <c r="R40" s="143"/>
      <c r="S40" s="143"/>
      <c r="T40" s="338"/>
      <c r="U40" s="124"/>
      <c r="V40" s="357"/>
      <c r="W40" s="124"/>
      <c r="X40" s="338"/>
      <c r="Y40" s="338"/>
      <c r="Z40" s="338"/>
      <c r="AA40" s="338"/>
      <c r="AB40" s="338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2"/>
        <v>0</v>
      </c>
      <c r="M41" s="124"/>
      <c r="N41" s="124"/>
      <c r="O41" s="124"/>
      <c r="P41" s="143"/>
      <c r="Q41" s="124"/>
      <c r="R41" s="143"/>
      <c r="S41" s="143"/>
      <c r="T41" s="338"/>
      <c r="U41" s="124"/>
      <c r="V41" s="357"/>
      <c r="W41" s="124"/>
      <c r="X41" s="338"/>
      <c r="Y41" s="338"/>
      <c r="Z41" s="338"/>
      <c r="AA41" s="338"/>
      <c r="AB41" s="338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2"/>
        <v>0</v>
      </c>
      <c r="M42" s="124"/>
      <c r="N42" s="124"/>
      <c r="O42" s="124"/>
      <c r="P42" s="143"/>
      <c r="Q42" s="124"/>
      <c r="R42" s="143"/>
      <c r="S42" s="143"/>
      <c r="T42" s="338"/>
      <c r="U42" s="124"/>
      <c r="V42" s="357"/>
      <c r="W42" s="124"/>
      <c r="X42" s="338"/>
      <c r="Y42" s="338"/>
      <c r="Z42" s="338"/>
      <c r="AA42" s="338"/>
      <c r="AB42" s="338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2"/>
        <v>0</v>
      </c>
      <c r="M43" s="124"/>
      <c r="N43" s="124"/>
      <c r="O43" s="124"/>
      <c r="P43" s="143"/>
      <c r="Q43" s="124"/>
      <c r="R43" s="143"/>
      <c r="S43" s="143"/>
      <c r="T43" s="338"/>
      <c r="U43" s="124"/>
      <c r="V43" s="357"/>
      <c r="W43" s="124"/>
      <c r="X43" s="338"/>
      <c r="Y43" s="338"/>
      <c r="Z43" s="338"/>
      <c r="AA43" s="338"/>
      <c r="AB43" s="338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338"/>
      <c r="U44" s="124"/>
      <c r="V44" s="357"/>
      <c r="W44" s="124"/>
      <c r="X44" s="338"/>
      <c r="Y44" s="338"/>
      <c r="Z44" s="338"/>
      <c r="AA44" s="338"/>
      <c r="AB44" s="338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3">+I46+J46-K46</f>
        <v>0</v>
      </c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3"/>
        <v>0</v>
      </c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</row>
    <row r="48" spans="1:28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3"/>
        <v>0</v>
      </c>
      <c r="M48" s="124"/>
      <c r="N48" s="124"/>
      <c r="O48" s="124"/>
      <c r="P48" s="143"/>
      <c r="Q48" s="124"/>
      <c r="R48" s="143"/>
      <c r="S48" s="143"/>
      <c r="T48" s="338"/>
      <c r="U48" s="124"/>
      <c r="V48" s="190"/>
      <c r="W48" s="124"/>
      <c r="X48" s="338"/>
      <c r="Y48" s="338"/>
      <c r="Z48" s="338"/>
      <c r="AA48" s="338"/>
      <c r="AB48" s="338"/>
    </row>
    <row r="49" spans="1:28">
      <c r="A49" s="178"/>
      <c r="B49" s="365"/>
      <c r="C49" s="124"/>
      <c r="D49" s="124"/>
      <c r="E49" s="190"/>
      <c r="F49" s="124"/>
      <c r="G49" s="188"/>
      <c r="H49" s="188"/>
      <c r="I49" s="188"/>
      <c r="J49" s="188"/>
      <c r="K49" s="188"/>
      <c r="L49" s="143">
        <f t="shared" si="3"/>
        <v>0</v>
      </c>
      <c r="M49" s="188"/>
      <c r="N49" s="188"/>
      <c r="O49" s="188"/>
      <c r="P49" s="143">
        <f>O49*D49</f>
        <v>0</v>
      </c>
      <c r="Q49" s="188"/>
      <c r="R49" s="143">
        <f>Q49*D49</f>
        <v>0</v>
      </c>
      <c r="S49" s="143">
        <f>+P49-R49</f>
        <v>0</v>
      </c>
      <c r="T49" s="338"/>
      <c r="U49" s="124"/>
      <c r="V49" s="190"/>
      <c r="W49" s="124"/>
      <c r="X49" s="338">
        <f>+N49-W49</f>
        <v>0</v>
      </c>
      <c r="Y49" s="338"/>
      <c r="Z49" s="338"/>
      <c r="AA49" s="338"/>
      <c r="AB49" s="338"/>
    </row>
    <row r="50" spans="1:28">
      <c r="A50" s="178"/>
      <c r="B50" s="366"/>
      <c r="C50" s="124"/>
      <c r="D50" s="124"/>
      <c r="E50" s="190"/>
      <c r="F50" s="124"/>
      <c r="G50" s="188"/>
      <c r="H50" s="188"/>
      <c r="I50" s="188"/>
      <c r="J50" s="188"/>
      <c r="K50" s="188"/>
      <c r="L50" s="143">
        <f t="shared" si="3"/>
        <v>0</v>
      </c>
      <c r="M50" s="188"/>
      <c r="N50" s="188"/>
      <c r="O50" s="188"/>
      <c r="P50" s="143"/>
      <c r="Q50" s="188"/>
      <c r="R50" s="143"/>
      <c r="S50" s="143"/>
      <c r="T50" s="338"/>
      <c r="U50" s="124"/>
      <c r="V50" s="190"/>
      <c r="W50" s="124"/>
      <c r="X50" s="338"/>
      <c r="Y50" s="338"/>
      <c r="Z50" s="338"/>
      <c r="AA50" s="338"/>
      <c r="AB50" s="338"/>
    </row>
    <row r="51" spans="1:28">
      <c r="A51" s="178"/>
      <c r="B51" s="367"/>
      <c r="C51" s="868"/>
      <c r="D51" s="869"/>
      <c r="E51" s="870"/>
      <c r="F51" s="868"/>
      <c r="G51" s="188"/>
      <c r="H51" s="188"/>
      <c r="I51" s="188"/>
      <c r="J51" s="188"/>
      <c r="K51" s="188"/>
      <c r="L51" s="143">
        <f t="shared" si="3"/>
        <v>0</v>
      </c>
      <c r="M51" s="188"/>
      <c r="N51" s="188"/>
      <c r="O51" s="188"/>
      <c r="P51" s="143"/>
      <c r="Q51" s="188"/>
      <c r="R51" s="143"/>
      <c r="S51" s="143"/>
      <c r="T51" s="338"/>
      <c r="U51" s="869"/>
      <c r="V51" s="870"/>
      <c r="W51" s="868"/>
      <c r="X51" s="338"/>
      <c r="Y51" s="338"/>
      <c r="Z51" s="338"/>
      <c r="AA51" s="338"/>
      <c r="AB51" s="338"/>
    </row>
    <row r="52" spans="1:28">
      <c r="A52" s="178"/>
      <c r="B52" s="168"/>
      <c r="C52" s="124"/>
      <c r="D52" s="124"/>
      <c r="E52" s="190"/>
      <c r="F52" s="124"/>
      <c r="G52" s="188"/>
      <c r="H52" s="188"/>
      <c r="I52" s="188"/>
      <c r="J52" s="188"/>
      <c r="K52" s="188"/>
      <c r="L52" s="143">
        <f t="shared" si="3"/>
        <v>0</v>
      </c>
      <c r="M52" s="188"/>
      <c r="N52" s="188"/>
      <c r="O52" s="188"/>
      <c r="P52" s="143"/>
      <c r="Q52" s="188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</row>
    <row r="53" spans="1:28">
      <c r="A53" s="370"/>
      <c r="B53" s="189"/>
      <c r="C53" s="124"/>
      <c r="D53" s="124"/>
      <c r="E53" s="190"/>
      <c r="F53" s="124"/>
      <c r="G53" s="188"/>
      <c r="H53" s="188"/>
      <c r="I53" s="188"/>
      <c r="J53" s="188"/>
      <c r="K53" s="188"/>
      <c r="L53" s="143"/>
      <c r="M53" s="188"/>
      <c r="N53" s="188"/>
      <c r="O53" s="188"/>
      <c r="P53" s="143"/>
      <c r="Q53" s="188"/>
      <c r="R53" s="143"/>
      <c r="S53" s="143"/>
      <c r="T53" s="338"/>
      <c r="U53" s="124"/>
      <c r="V53" s="190"/>
      <c r="W53" s="124"/>
      <c r="X53" s="338"/>
      <c r="Y53" s="338"/>
      <c r="Z53" s="338"/>
      <c r="AA53" s="338"/>
      <c r="AB53" s="338"/>
    </row>
    <row r="54" spans="1:28">
      <c r="A54" s="370"/>
      <c r="B54" s="371"/>
      <c r="C54" s="124"/>
      <c r="D54" s="124"/>
      <c r="E54" s="190"/>
      <c r="F54" s="124"/>
      <c r="G54" s="188"/>
      <c r="H54" s="188"/>
      <c r="I54" s="188"/>
      <c r="J54" s="188"/>
      <c r="K54" s="188"/>
      <c r="L54" s="143">
        <f>+I54+J54-K54</f>
        <v>0</v>
      </c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</row>
    <row r="55" spans="1:28">
      <c r="A55" s="178"/>
      <c r="B55" s="142"/>
      <c r="C55" s="124"/>
      <c r="D55" s="124"/>
      <c r="E55" s="190"/>
      <c r="F55" s="124"/>
      <c r="G55" s="188"/>
      <c r="H55" s="188"/>
      <c r="I55" s="188"/>
      <c r="J55" s="188"/>
      <c r="K55" s="188"/>
      <c r="L55" s="143">
        <f>+I55+J55-K55</f>
        <v>0</v>
      </c>
      <c r="M55" s="188"/>
      <c r="N55" s="188"/>
      <c r="O55" s="188"/>
      <c r="P55" s="143"/>
      <c r="Q55" s="188"/>
      <c r="R55" s="143"/>
      <c r="S55" s="143"/>
      <c r="T55" s="338"/>
      <c r="U55" s="124"/>
      <c r="V55" s="190"/>
      <c r="W55" s="124"/>
      <c r="X55" s="338"/>
      <c r="Y55" s="338"/>
      <c r="Z55" s="338"/>
      <c r="AA55" s="338"/>
      <c r="AB55" s="338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>
        <f>+I56+J56-K56</f>
        <v>0</v>
      </c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>
        <f>U56*V56</f>
        <v>0</v>
      </c>
      <c r="X56" s="338"/>
      <c r="Y56" s="338"/>
      <c r="Z56" s="338"/>
      <c r="AA56" s="338"/>
      <c r="AB56" s="338"/>
    </row>
    <row r="57" spans="1:28">
      <c r="A57" s="339" t="s">
        <v>97</v>
      </c>
      <c r="B57" s="340" t="s">
        <v>17</v>
      </c>
      <c r="C57" s="372">
        <f>SUM(C16:C56)</f>
        <v>1500000</v>
      </c>
      <c r="D57" s="372">
        <f>SUM(D16:D56)</f>
        <v>1500000</v>
      </c>
      <c r="E57" s="373"/>
      <c r="F57" s="372">
        <f>SUM(F16:F56)</f>
        <v>1500000</v>
      </c>
      <c r="G57" s="372">
        <f t="shared" ref="G57:N57" si="4">SUM(G15:G56)</f>
        <v>53400</v>
      </c>
      <c r="H57" s="372">
        <f t="shared" si="4"/>
        <v>0</v>
      </c>
      <c r="I57" s="372">
        <f t="shared" si="4"/>
        <v>180000</v>
      </c>
      <c r="J57" s="372">
        <f t="shared" si="4"/>
        <v>30000</v>
      </c>
      <c r="K57" s="372">
        <f t="shared" si="4"/>
        <v>0</v>
      </c>
      <c r="L57" s="372">
        <f t="shared" si="4"/>
        <v>150000</v>
      </c>
      <c r="M57" s="372">
        <f t="shared" si="4"/>
        <v>0</v>
      </c>
      <c r="N57" s="372">
        <f t="shared" si="4"/>
        <v>57000</v>
      </c>
      <c r="O57" s="372"/>
      <c r="P57" s="372">
        <f>SUM(P15:P56)</f>
        <v>150000</v>
      </c>
      <c r="Q57" s="372"/>
      <c r="R57" s="372">
        <f>SUM(R15:R56)</f>
        <v>0</v>
      </c>
      <c r="S57" s="372">
        <f>SUM(S15:S56)</f>
        <v>0</v>
      </c>
      <c r="T57" s="374">
        <f>W57-L57</f>
        <v>1350000</v>
      </c>
      <c r="U57" s="372"/>
      <c r="V57" s="372"/>
      <c r="W57" s="372">
        <f>SUM(W16:W56)</f>
        <v>1500000</v>
      </c>
      <c r="X57" s="372">
        <f>SUM(X15:X56)</f>
        <v>150000</v>
      </c>
      <c r="Y57" s="372">
        <f>SUM(Y15:Y56)</f>
        <v>57000</v>
      </c>
      <c r="Z57" s="372">
        <f>SUM(Z15:Z56)</f>
        <v>150000</v>
      </c>
      <c r="AA57" s="372">
        <f>SUM(AA15:AA56)</f>
        <v>0</v>
      </c>
      <c r="AB57" s="372">
        <f>SUM(AB15:AB56)</f>
        <v>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6">
    <mergeCell ref="E1:F1"/>
    <mergeCell ref="AB8:AB12"/>
    <mergeCell ref="X8:X12"/>
    <mergeCell ref="Y8:Y12"/>
    <mergeCell ref="Z8:Z12"/>
    <mergeCell ref="AA8:AA12"/>
  </mergeCells>
  <phoneticPr fontId="0" type="noConversion"/>
  <conditionalFormatting sqref="U8:W9 X8:AB12">
    <cfRule type="cellIs" dxfId="61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4" orientation="landscape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pageSetUpPr fitToPage="1"/>
  </sheetPr>
  <dimension ref="A1:AE75"/>
  <sheetViews>
    <sheetView showGridLines="0" showZeros="0" topLeftCell="I7" zoomScaleNormal="100" workbookViewId="0">
      <selection activeCell="Z16" sqref="Z16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470</v>
      </c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65" t="s">
        <v>469</v>
      </c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309" t="s">
        <v>61</v>
      </c>
      <c r="B4" s="306" t="s">
        <v>468</v>
      </c>
      <c r="C4" s="1646" t="s">
        <v>467</v>
      </c>
      <c r="D4" s="1325" t="s">
        <v>466</v>
      </c>
      <c r="E4" s="2150"/>
      <c r="F4" s="1324"/>
      <c r="G4" s="302"/>
      <c r="H4" s="302"/>
      <c r="I4" s="302"/>
      <c r="J4" s="302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310" t="s">
        <v>119</v>
      </c>
      <c r="B5" s="578">
        <v>201400270</v>
      </c>
      <c r="C5" s="307"/>
      <c r="D5" s="307"/>
      <c r="E5" s="347"/>
      <c r="F5" s="302"/>
      <c r="G5" s="302"/>
      <c r="J5" s="302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310" t="s">
        <v>120</v>
      </c>
      <c r="B6" s="653" t="s">
        <v>465</v>
      </c>
      <c r="C6" s="307"/>
      <c r="D6" s="307"/>
      <c r="E6" s="347"/>
      <c r="F6" s="302"/>
      <c r="G6" s="302"/>
      <c r="H6" s="312"/>
      <c r="I6" s="313"/>
      <c r="J6" s="314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328" t="s">
        <v>86</v>
      </c>
      <c r="Y13" s="328"/>
      <c r="Z13" s="328"/>
      <c r="AA13" s="328"/>
      <c r="AB13" s="328"/>
    </row>
    <row r="14" spans="1:31" ht="15.75" customHeight="1">
      <c r="A14" s="349"/>
      <c r="B14" s="350"/>
      <c r="C14" s="351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354"/>
      <c r="B15" s="355"/>
      <c r="C15" s="145"/>
      <c r="D15" s="335"/>
      <c r="E15" s="356"/>
      <c r="F15" s="188">
        <f>D15*E15</f>
        <v>0</v>
      </c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>
        <f t="shared" ref="W15:W31" si="0">U15*V15</f>
        <v>0</v>
      </c>
      <c r="X15" s="136"/>
      <c r="Y15" s="136"/>
      <c r="Z15" s="136"/>
      <c r="AA15" s="136"/>
      <c r="AB15" s="136">
        <v>0</v>
      </c>
    </row>
    <row r="16" spans="1:31">
      <c r="A16" s="178">
        <v>1</v>
      </c>
      <c r="B16" s="366" t="s">
        <v>464</v>
      </c>
      <c r="C16" s="124">
        <v>63000</v>
      </c>
      <c r="D16" s="124">
        <v>27000</v>
      </c>
      <c r="E16" s="357">
        <v>1</v>
      </c>
      <c r="F16" s="124">
        <f>D16*E16</f>
        <v>27000</v>
      </c>
      <c r="G16" s="143"/>
      <c r="H16" s="143"/>
      <c r="I16" s="143">
        <f>U16</f>
        <v>27000</v>
      </c>
      <c r="J16" s="143"/>
      <c r="K16" s="143"/>
      <c r="L16" s="143">
        <f t="shared" ref="L16:L31" si="1">+I16-J16+K16</f>
        <v>27000</v>
      </c>
      <c r="M16" s="143"/>
      <c r="N16" s="143">
        <f>G16</f>
        <v>0</v>
      </c>
      <c r="O16" s="2331"/>
      <c r="P16" s="2332">
        <v>27000</v>
      </c>
      <c r="Q16" s="2333"/>
      <c r="R16" s="2332">
        <v>27000</v>
      </c>
      <c r="S16" s="143"/>
      <c r="T16" s="143">
        <f>W16-L16</f>
        <v>0</v>
      </c>
      <c r="U16" s="124">
        <v>27000</v>
      </c>
      <c r="V16" s="357">
        <v>1</v>
      </c>
      <c r="W16" s="124">
        <f t="shared" si="0"/>
        <v>27000</v>
      </c>
      <c r="X16" s="143">
        <v>27000</v>
      </c>
      <c r="Y16" s="143"/>
      <c r="Z16" s="143">
        <v>27000</v>
      </c>
      <c r="AA16" s="143"/>
      <c r="AB16" s="143"/>
    </row>
    <row r="17" spans="1:31">
      <c r="A17" s="178"/>
      <c r="B17" s="1485" t="s">
        <v>463</v>
      </c>
      <c r="C17" s="124"/>
      <c r="E17" s="357"/>
      <c r="F17" s="124"/>
      <c r="G17" s="143"/>
      <c r="H17" s="143"/>
      <c r="I17" s="143"/>
      <c r="J17" s="143"/>
      <c r="K17" s="143">
        <f>+K16/1.2</f>
        <v>0</v>
      </c>
      <c r="L17" s="143">
        <f t="shared" si="1"/>
        <v>0</v>
      </c>
      <c r="M17" s="143">
        <f>+M16/1.2</f>
        <v>0</v>
      </c>
      <c r="N17" s="143">
        <f>+N16/1.2</f>
        <v>0</v>
      </c>
      <c r="O17" s="2331"/>
      <c r="P17" s="2331"/>
      <c r="Q17" s="2334"/>
      <c r="R17" s="2331"/>
      <c r="S17" s="143"/>
      <c r="T17" s="143">
        <f t="shared" ref="T17:T31" si="2">W17-L17</f>
        <v>0</v>
      </c>
      <c r="U17" s="143"/>
      <c r="V17" s="357"/>
      <c r="W17" s="124">
        <f t="shared" si="0"/>
        <v>0</v>
      </c>
      <c r="X17" s="143"/>
      <c r="Y17" s="143"/>
      <c r="Z17" s="143"/>
      <c r="AA17" s="143"/>
      <c r="AB17" s="143"/>
      <c r="AC17" s="305"/>
      <c r="AD17" s="305"/>
      <c r="AE17" s="305"/>
    </row>
    <row r="18" spans="1:31">
      <c r="A18" s="178">
        <v>2</v>
      </c>
      <c r="B18" s="366" t="s">
        <v>462</v>
      </c>
      <c r="C18" s="124">
        <v>882000</v>
      </c>
      <c r="D18" s="124">
        <v>174840</v>
      </c>
      <c r="E18" s="357">
        <v>1</v>
      </c>
      <c r="F18" s="124">
        <f t="shared" ref="F18:F31" si="3">E18*D18</f>
        <v>174840</v>
      </c>
      <c r="G18" s="143"/>
      <c r="H18" s="143"/>
      <c r="I18" s="143">
        <f>U18</f>
        <v>174840</v>
      </c>
      <c r="J18" s="143"/>
      <c r="K18" s="143"/>
      <c r="L18" s="143">
        <f t="shared" si="1"/>
        <v>174840</v>
      </c>
      <c r="M18" s="143"/>
      <c r="N18" s="143"/>
      <c r="O18" s="2331"/>
      <c r="P18" s="2332">
        <v>140181.6</v>
      </c>
      <c r="Q18" s="2334"/>
      <c r="R18" s="2332">
        <v>140181.6</v>
      </c>
      <c r="S18" s="143"/>
      <c r="T18" s="143">
        <f t="shared" si="2"/>
        <v>0</v>
      </c>
      <c r="U18" s="124">
        <v>174840</v>
      </c>
      <c r="V18" s="357">
        <v>1</v>
      </c>
      <c r="W18" s="124">
        <f t="shared" si="0"/>
        <v>174840</v>
      </c>
      <c r="X18" s="143"/>
      <c r="Y18" s="143"/>
      <c r="Z18" s="143"/>
      <c r="AA18" s="143"/>
      <c r="AB18" s="143"/>
      <c r="AC18" s="305"/>
      <c r="AD18" s="305"/>
      <c r="AE18" s="305"/>
    </row>
    <row r="19" spans="1:31">
      <c r="A19" s="178">
        <v>3</v>
      </c>
      <c r="B19" s="366" t="s">
        <v>461</v>
      </c>
      <c r="C19" s="124">
        <v>882000</v>
      </c>
      <c r="D19" s="124">
        <v>784680</v>
      </c>
      <c r="E19" s="357">
        <v>1</v>
      </c>
      <c r="F19" s="124">
        <f t="shared" si="3"/>
        <v>784680</v>
      </c>
      <c r="G19" s="143"/>
      <c r="H19" s="143"/>
      <c r="I19" s="143"/>
      <c r="J19" s="143"/>
      <c r="K19" s="143"/>
      <c r="L19" s="143">
        <f t="shared" si="1"/>
        <v>0</v>
      </c>
      <c r="M19" s="143"/>
      <c r="N19" s="143"/>
      <c r="O19" s="2331"/>
      <c r="P19" s="2331"/>
      <c r="Q19" s="2334"/>
      <c r="R19" s="2331"/>
      <c r="S19" s="143"/>
      <c r="T19" s="143">
        <f t="shared" si="2"/>
        <v>112680</v>
      </c>
      <c r="U19" s="143">
        <v>112680</v>
      </c>
      <c r="V19" s="357">
        <v>1</v>
      </c>
      <c r="W19" s="124">
        <f t="shared" si="0"/>
        <v>112680</v>
      </c>
      <c r="X19" s="143"/>
      <c r="Y19" s="143"/>
      <c r="Z19" s="143"/>
      <c r="AA19" s="143"/>
      <c r="AB19" s="143"/>
      <c r="AC19" s="305"/>
      <c r="AD19" s="305"/>
      <c r="AE19" s="305"/>
    </row>
    <row r="20" spans="1:31">
      <c r="A20" s="178">
        <v>4</v>
      </c>
      <c r="B20" s="366" t="s">
        <v>460</v>
      </c>
      <c r="C20" s="124">
        <v>252000</v>
      </c>
      <c r="D20" s="124">
        <v>252000</v>
      </c>
      <c r="E20" s="357">
        <v>1</v>
      </c>
      <c r="F20" s="124">
        <f t="shared" si="3"/>
        <v>252000</v>
      </c>
      <c r="G20" s="143"/>
      <c r="H20" s="143"/>
      <c r="I20" s="143"/>
      <c r="J20" s="143"/>
      <c r="K20" s="143"/>
      <c r="L20" s="143">
        <f t="shared" si="1"/>
        <v>0</v>
      </c>
      <c r="M20" s="143"/>
      <c r="N20" s="143"/>
      <c r="O20" s="2331"/>
      <c r="P20" s="2331"/>
      <c r="Q20" s="2334"/>
      <c r="R20" s="2331"/>
      <c r="S20" s="143"/>
      <c r="T20" s="143">
        <f t="shared" si="2"/>
        <v>0</v>
      </c>
      <c r="U20" s="143"/>
      <c r="V20" s="357"/>
      <c r="W20" s="124">
        <f t="shared" si="0"/>
        <v>0</v>
      </c>
      <c r="X20" s="143"/>
      <c r="Y20" s="143"/>
      <c r="Z20" s="143"/>
      <c r="AA20" s="143"/>
      <c r="AB20" s="143"/>
      <c r="AC20" s="305"/>
      <c r="AD20" s="305"/>
      <c r="AE20" s="305"/>
    </row>
    <row r="21" spans="1:31">
      <c r="A21" s="178">
        <v>5</v>
      </c>
      <c r="B21" s="366" t="s">
        <v>710</v>
      </c>
      <c r="C21" s="124">
        <v>504000</v>
      </c>
      <c r="D21" s="124">
        <v>406680</v>
      </c>
      <c r="E21" s="357">
        <v>1</v>
      </c>
      <c r="F21" s="124">
        <f t="shared" si="3"/>
        <v>406680</v>
      </c>
      <c r="G21" s="143"/>
      <c r="H21" s="143"/>
      <c r="I21" s="143"/>
      <c r="J21" s="143"/>
      <c r="K21" s="143"/>
      <c r="L21" s="143">
        <f t="shared" si="1"/>
        <v>0</v>
      </c>
      <c r="M21" s="143"/>
      <c r="N21" s="143"/>
      <c r="O21" s="2331"/>
      <c r="P21" s="2331"/>
      <c r="Q21" s="2334"/>
      <c r="R21" s="2331"/>
      <c r="S21" s="143"/>
      <c r="T21" s="143">
        <f t="shared" si="2"/>
        <v>406680</v>
      </c>
      <c r="U21" s="143">
        <v>406680</v>
      </c>
      <c r="V21" s="357">
        <v>1</v>
      </c>
      <c r="W21" s="124">
        <f t="shared" si="0"/>
        <v>406680</v>
      </c>
      <c r="X21" s="143"/>
      <c r="Y21" s="143"/>
      <c r="Z21" s="143"/>
      <c r="AA21" s="143"/>
      <c r="AB21" s="143"/>
      <c r="AC21" s="305"/>
      <c r="AD21" s="305"/>
      <c r="AE21" s="305"/>
    </row>
    <row r="22" spans="1:31">
      <c r="A22" s="178"/>
      <c r="B22" s="1485" t="s">
        <v>709</v>
      </c>
      <c r="C22" s="124"/>
      <c r="D22" s="124"/>
      <c r="E22" s="357"/>
      <c r="F22" s="124">
        <f t="shared" si="3"/>
        <v>0</v>
      </c>
      <c r="G22" s="143"/>
      <c r="H22" s="143"/>
      <c r="I22" s="143"/>
      <c r="J22" s="143"/>
      <c r="K22" s="143"/>
      <c r="L22" s="143">
        <f t="shared" si="1"/>
        <v>0</v>
      </c>
      <c r="M22" s="143"/>
      <c r="N22" s="143"/>
      <c r="O22" s="2331"/>
      <c r="P22" s="2331"/>
      <c r="Q22" s="2334"/>
      <c r="R22" s="2331"/>
      <c r="S22" s="143"/>
      <c r="T22" s="143">
        <f t="shared" si="2"/>
        <v>0</v>
      </c>
      <c r="U22" s="143"/>
      <c r="V22" s="357"/>
      <c r="W22" s="124">
        <f t="shared" si="0"/>
        <v>0</v>
      </c>
      <c r="X22" s="143"/>
      <c r="Y22" s="143"/>
      <c r="Z22" s="143"/>
      <c r="AA22" s="143"/>
      <c r="AB22" s="143"/>
      <c r="AC22" s="305"/>
      <c r="AD22" s="305"/>
      <c r="AE22" s="305"/>
    </row>
    <row r="23" spans="1:31">
      <c r="A23" s="178">
        <v>6</v>
      </c>
      <c r="B23" s="366" t="s">
        <v>459</v>
      </c>
      <c r="C23" s="124">
        <v>882000</v>
      </c>
      <c r="D23" s="124">
        <v>182040</v>
      </c>
      <c r="E23" s="357">
        <v>1</v>
      </c>
      <c r="F23" s="124">
        <f t="shared" si="3"/>
        <v>182040</v>
      </c>
      <c r="G23" s="143"/>
      <c r="H23" s="143"/>
      <c r="I23" s="143">
        <f>U23</f>
        <v>182040</v>
      </c>
      <c r="J23" s="143"/>
      <c r="K23" s="143"/>
      <c r="L23" s="143">
        <f t="shared" si="1"/>
        <v>182040</v>
      </c>
      <c r="M23" s="143"/>
      <c r="N23" s="143"/>
      <c r="O23" s="2331"/>
      <c r="P23" s="2331">
        <v>140181.6</v>
      </c>
      <c r="Q23" s="2334"/>
      <c r="R23" s="2331">
        <v>140181.6</v>
      </c>
      <c r="S23" s="143"/>
      <c r="T23" s="143">
        <f t="shared" si="2"/>
        <v>0</v>
      </c>
      <c r="U23" s="143">
        <v>182040</v>
      </c>
      <c r="V23" s="357">
        <v>1</v>
      </c>
      <c r="W23" s="124">
        <f t="shared" si="0"/>
        <v>182040</v>
      </c>
      <c r="X23" s="143"/>
      <c r="Y23" s="143"/>
      <c r="Z23" s="143"/>
      <c r="AA23" s="143"/>
      <c r="AB23" s="143"/>
      <c r="AC23" s="305"/>
      <c r="AD23" s="305"/>
      <c r="AE23" s="305"/>
    </row>
    <row r="24" spans="1:31">
      <c r="A24" s="178">
        <v>7</v>
      </c>
      <c r="B24" s="366" t="s">
        <v>458</v>
      </c>
      <c r="C24" s="124">
        <v>882000</v>
      </c>
      <c r="D24" s="124">
        <v>785880</v>
      </c>
      <c r="E24" s="357">
        <v>1</v>
      </c>
      <c r="F24" s="124">
        <f t="shared" si="3"/>
        <v>785880</v>
      </c>
      <c r="G24" s="143"/>
      <c r="H24" s="143"/>
      <c r="I24" s="143"/>
      <c r="J24" s="143"/>
      <c r="K24" s="143"/>
      <c r="L24" s="143">
        <f t="shared" si="1"/>
        <v>0</v>
      </c>
      <c r="M24" s="143"/>
      <c r="N24" s="143"/>
      <c r="O24" s="2331"/>
      <c r="P24" s="2331"/>
      <c r="Q24" s="2334"/>
      <c r="R24" s="2331"/>
      <c r="S24" s="143">
        <f>+P24-R24</f>
        <v>0</v>
      </c>
      <c r="T24" s="143">
        <f t="shared" si="2"/>
        <v>113880</v>
      </c>
      <c r="U24" s="143">
        <v>113880</v>
      </c>
      <c r="V24" s="357">
        <v>1</v>
      </c>
      <c r="W24" s="124">
        <f t="shared" si="0"/>
        <v>113880</v>
      </c>
      <c r="X24" s="143"/>
      <c r="Y24" s="143"/>
      <c r="Z24" s="143"/>
      <c r="AA24" s="143"/>
      <c r="AB24" s="143"/>
      <c r="AC24" s="305"/>
      <c r="AD24" s="305"/>
      <c r="AE24" s="305"/>
    </row>
    <row r="25" spans="1:31" ht="12.75" customHeight="1">
      <c r="A25" s="354">
        <v>8</v>
      </c>
      <c r="B25" s="366" t="s">
        <v>457</v>
      </c>
      <c r="C25" s="124">
        <v>252000</v>
      </c>
      <c r="D25" s="124">
        <v>252000</v>
      </c>
      <c r="E25" s="357">
        <v>1</v>
      </c>
      <c r="F25" s="124">
        <f t="shared" si="3"/>
        <v>252000</v>
      </c>
      <c r="G25" s="143"/>
      <c r="H25" s="143"/>
      <c r="I25" s="143"/>
      <c r="J25" s="143"/>
      <c r="K25" s="143"/>
      <c r="L25" s="143">
        <f t="shared" si="1"/>
        <v>0</v>
      </c>
      <c r="M25" s="143"/>
      <c r="N25" s="143"/>
      <c r="O25" s="2331"/>
      <c r="P25" s="2331"/>
      <c r="Q25" s="2334"/>
      <c r="R25" s="2331"/>
      <c r="S25" s="143"/>
      <c r="T25" s="143">
        <f t="shared" si="2"/>
        <v>0</v>
      </c>
      <c r="U25" s="143"/>
      <c r="V25" s="357"/>
      <c r="W25" s="124">
        <f t="shared" si="0"/>
        <v>0</v>
      </c>
      <c r="X25" s="143"/>
      <c r="Y25" s="143"/>
      <c r="Z25" s="143"/>
      <c r="AA25" s="143"/>
      <c r="AB25" s="143"/>
      <c r="AC25" s="305"/>
      <c r="AD25" s="305"/>
      <c r="AE25" s="305"/>
    </row>
    <row r="26" spans="1:31">
      <c r="A26" s="178">
        <v>9</v>
      </c>
      <c r="B26" s="366" t="s">
        <v>711</v>
      </c>
      <c r="C26" s="124">
        <v>504000</v>
      </c>
      <c r="D26" s="124">
        <v>407880</v>
      </c>
      <c r="E26" s="357">
        <v>1</v>
      </c>
      <c r="F26" s="124">
        <f t="shared" si="3"/>
        <v>407880</v>
      </c>
      <c r="G26" s="143"/>
      <c r="H26" s="143"/>
      <c r="I26" s="143"/>
      <c r="J26" s="143"/>
      <c r="K26" s="143"/>
      <c r="L26" s="143">
        <f t="shared" si="1"/>
        <v>0</v>
      </c>
      <c r="M26" s="143"/>
      <c r="N26" s="143"/>
      <c r="O26" s="2331"/>
      <c r="P26" s="2331"/>
      <c r="Q26" s="2334"/>
      <c r="R26" s="2331"/>
      <c r="S26" s="143"/>
      <c r="T26" s="143">
        <f t="shared" si="2"/>
        <v>407880</v>
      </c>
      <c r="U26" s="143">
        <v>407880</v>
      </c>
      <c r="V26" s="357">
        <v>1</v>
      </c>
      <c r="W26" s="124">
        <f t="shared" si="0"/>
        <v>407880</v>
      </c>
      <c r="X26" s="143"/>
      <c r="Y26" s="143"/>
      <c r="Z26" s="143"/>
      <c r="AA26" s="143"/>
      <c r="AB26" s="143"/>
      <c r="AC26" s="305"/>
      <c r="AD26" s="305"/>
      <c r="AE26" s="305"/>
    </row>
    <row r="27" spans="1:31">
      <c r="A27" s="178"/>
      <c r="B27" s="1485" t="s">
        <v>456</v>
      </c>
      <c r="C27" s="124"/>
      <c r="D27" s="124"/>
      <c r="E27" s="357"/>
      <c r="F27" s="124">
        <f t="shared" si="3"/>
        <v>0</v>
      </c>
      <c r="G27" s="143"/>
      <c r="H27" s="143"/>
      <c r="I27" s="143"/>
      <c r="J27" s="143"/>
      <c r="K27" s="143"/>
      <c r="L27" s="143">
        <f t="shared" si="1"/>
        <v>0</v>
      </c>
      <c r="M27" s="143"/>
      <c r="N27" s="143"/>
      <c r="O27" s="2331"/>
      <c r="P27" s="2331"/>
      <c r="Q27" s="2334"/>
      <c r="R27" s="2331"/>
      <c r="S27" s="143"/>
      <c r="T27" s="143">
        <f t="shared" si="2"/>
        <v>0</v>
      </c>
      <c r="U27" s="143"/>
      <c r="V27" s="357"/>
      <c r="W27" s="124">
        <f t="shared" si="0"/>
        <v>0</v>
      </c>
      <c r="X27" s="143"/>
      <c r="Y27" s="143"/>
      <c r="Z27" s="143"/>
      <c r="AA27" s="143"/>
      <c r="AB27" s="143"/>
      <c r="AC27" s="305"/>
      <c r="AD27" s="305"/>
      <c r="AE27" s="305"/>
    </row>
    <row r="28" spans="1:31">
      <c r="A28" s="178">
        <v>10</v>
      </c>
      <c r="B28" s="366" t="s">
        <v>455</v>
      </c>
      <c r="C28" s="124">
        <v>418950</v>
      </c>
      <c r="D28" s="124">
        <v>69750</v>
      </c>
      <c r="E28" s="357">
        <v>1</v>
      </c>
      <c r="F28" s="124">
        <f t="shared" si="3"/>
        <v>69750</v>
      </c>
      <c r="G28" s="143"/>
      <c r="H28" s="143"/>
      <c r="I28" s="143">
        <f>U28</f>
        <v>69750</v>
      </c>
      <c r="J28" s="143"/>
      <c r="K28" s="143"/>
      <c r="L28" s="143">
        <f t="shared" si="1"/>
        <v>69750</v>
      </c>
      <c r="M28" s="143"/>
      <c r="N28" s="143"/>
      <c r="O28" s="2331"/>
      <c r="P28" s="2331">
        <v>66586.8</v>
      </c>
      <c r="Q28" s="2334"/>
      <c r="R28" s="2331">
        <v>66586.8</v>
      </c>
      <c r="S28" s="143"/>
      <c r="T28" s="143">
        <f t="shared" si="2"/>
        <v>0</v>
      </c>
      <c r="U28" s="143">
        <v>69750</v>
      </c>
      <c r="V28" s="357">
        <v>1</v>
      </c>
      <c r="W28" s="124">
        <f t="shared" si="0"/>
        <v>69750</v>
      </c>
      <c r="X28" s="143"/>
      <c r="Y28" s="143"/>
      <c r="Z28" s="143"/>
      <c r="AA28" s="143"/>
      <c r="AB28" s="143"/>
      <c r="AC28" s="305"/>
      <c r="AD28" s="305"/>
      <c r="AE28" s="305"/>
    </row>
    <row r="29" spans="1:31">
      <c r="A29" s="178">
        <v>11</v>
      </c>
      <c r="B29" s="366" t="s">
        <v>454</v>
      </c>
      <c r="C29" s="124">
        <v>418950</v>
      </c>
      <c r="D29" s="124">
        <v>368550</v>
      </c>
      <c r="E29" s="357">
        <v>1</v>
      </c>
      <c r="F29" s="124">
        <f t="shared" si="3"/>
        <v>368550</v>
      </c>
      <c r="G29" s="143"/>
      <c r="H29" s="143"/>
      <c r="I29" s="143"/>
      <c r="J29" s="143"/>
      <c r="K29" s="143"/>
      <c r="L29" s="143">
        <f t="shared" si="1"/>
        <v>0</v>
      </c>
      <c r="M29" s="143"/>
      <c r="N29" s="143"/>
      <c r="O29" s="143"/>
      <c r="P29" s="143"/>
      <c r="Q29" s="141"/>
      <c r="R29" s="143"/>
      <c r="S29" s="143"/>
      <c r="T29" s="143">
        <f t="shared" si="2"/>
        <v>32550</v>
      </c>
      <c r="U29" s="143">
        <v>32550</v>
      </c>
      <c r="V29" s="357">
        <v>1</v>
      </c>
      <c r="W29" s="124">
        <f t="shared" si="0"/>
        <v>32550</v>
      </c>
      <c r="X29" s="143"/>
      <c r="Y29" s="143"/>
      <c r="Z29" s="143"/>
      <c r="AA29" s="143"/>
      <c r="AB29" s="143"/>
      <c r="AC29" s="305"/>
      <c r="AD29" s="305"/>
      <c r="AE29" s="305"/>
    </row>
    <row r="30" spans="1:31">
      <c r="A30" s="178">
        <v>12</v>
      </c>
      <c r="B30" s="366" t="s">
        <v>453</v>
      </c>
      <c r="C30" s="124">
        <v>119700</v>
      </c>
      <c r="D30" s="124">
        <v>119700</v>
      </c>
      <c r="E30" s="357">
        <v>1</v>
      </c>
      <c r="F30" s="124">
        <f t="shared" si="3"/>
        <v>119700</v>
      </c>
      <c r="G30" s="143"/>
      <c r="H30" s="143"/>
      <c r="I30" s="143"/>
      <c r="J30" s="143"/>
      <c r="K30" s="143"/>
      <c r="L30" s="143">
        <f t="shared" si="1"/>
        <v>0</v>
      </c>
      <c r="M30" s="143"/>
      <c r="N30" s="143"/>
      <c r="O30" s="143"/>
      <c r="P30" s="143"/>
      <c r="Q30" s="184"/>
      <c r="R30" s="143"/>
      <c r="S30" s="143"/>
      <c r="T30" s="143">
        <f t="shared" si="2"/>
        <v>0</v>
      </c>
      <c r="U30" s="143"/>
      <c r="V30" s="357"/>
      <c r="W30" s="124">
        <f t="shared" si="0"/>
        <v>0</v>
      </c>
      <c r="X30" s="143"/>
      <c r="Y30" s="143"/>
      <c r="Z30" s="143"/>
      <c r="AA30" s="143"/>
      <c r="AB30" s="143"/>
      <c r="AC30" s="305"/>
      <c r="AD30" s="305"/>
      <c r="AE30" s="305"/>
    </row>
    <row r="31" spans="1:31">
      <c r="A31" s="178">
        <v>13</v>
      </c>
      <c r="B31" s="366" t="s">
        <v>712</v>
      </c>
      <c r="C31" s="124">
        <v>239400</v>
      </c>
      <c r="D31" s="124">
        <v>189000</v>
      </c>
      <c r="E31" s="357">
        <v>1</v>
      </c>
      <c r="F31" s="124">
        <f t="shared" si="3"/>
        <v>189000</v>
      </c>
      <c r="G31" s="143"/>
      <c r="H31" s="143"/>
      <c r="I31" s="143"/>
      <c r="J31" s="143"/>
      <c r="K31" s="143"/>
      <c r="L31" s="143">
        <f t="shared" si="1"/>
        <v>0</v>
      </c>
      <c r="M31" s="143"/>
      <c r="N31" s="143"/>
      <c r="O31" s="143"/>
      <c r="P31" s="143"/>
      <c r="Q31" s="184"/>
      <c r="R31" s="143"/>
      <c r="S31" s="143"/>
      <c r="T31" s="143">
        <f t="shared" si="2"/>
        <v>189000</v>
      </c>
      <c r="U31" s="143">
        <v>189000</v>
      </c>
      <c r="V31" s="357">
        <v>1</v>
      </c>
      <c r="W31" s="124">
        <f t="shared" si="0"/>
        <v>189000</v>
      </c>
      <c r="X31" s="143"/>
      <c r="Y31" s="143"/>
      <c r="Z31" s="143"/>
      <c r="AA31" s="143"/>
      <c r="AB31" s="143">
        <v>0</v>
      </c>
      <c r="AC31" s="305"/>
      <c r="AD31" s="305"/>
      <c r="AE31" s="305"/>
    </row>
    <row r="32" spans="1:31">
      <c r="A32" s="178"/>
      <c r="B32" s="366"/>
      <c r="C32" s="124"/>
      <c r="D32" s="124"/>
      <c r="E32" s="357"/>
      <c r="F32" s="124"/>
      <c r="G32" s="143"/>
      <c r="H32" s="143"/>
      <c r="I32" s="143"/>
      <c r="J32" s="143"/>
      <c r="K32" s="143"/>
      <c r="L32" s="143">
        <f t="shared" ref="L32:L47" si="4">+I32+J32-K32</f>
        <v>0</v>
      </c>
      <c r="M32" s="143"/>
      <c r="N32" s="143"/>
      <c r="O32" s="143"/>
      <c r="P32" s="143"/>
      <c r="Q32" s="184"/>
      <c r="R32" s="143"/>
      <c r="S32" s="143"/>
      <c r="T32" s="143"/>
      <c r="U32" s="143"/>
      <c r="V32" s="190"/>
      <c r="W32" s="124"/>
      <c r="X32" s="143"/>
      <c r="Y32" s="143"/>
      <c r="Z32" s="143"/>
      <c r="AA32" s="143"/>
      <c r="AB32" s="143">
        <v>0</v>
      </c>
      <c r="AC32" s="305"/>
      <c r="AD32" s="305"/>
      <c r="AE32" s="305"/>
    </row>
    <row r="33" spans="1:31">
      <c r="A33" s="178"/>
      <c r="B33" s="366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4"/>
        <v>0</v>
      </c>
      <c r="M33" s="124"/>
      <c r="N33" s="124"/>
      <c r="O33" s="124"/>
      <c r="P33" s="143"/>
      <c r="Q33" s="184"/>
      <c r="R33" s="143"/>
      <c r="S33" s="143"/>
      <c r="T33" s="877"/>
      <c r="U33" s="143"/>
      <c r="V33" s="190"/>
      <c r="W33" s="124"/>
      <c r="X33" s="877"/>
      <c r="Y33" s="877"/>
      <c r="Z33" s="877"/>
      <c r="AA33" s="877"/>
      <c r="AB33" s="877"/>
      <c r="AC33" s="305"/>
      <c r="AD33" s="305"/>
      <c r="AE33" s="305"/>
    </row>
    <row r="34" spans="1:31">
      <c r="A34" s="178"/>
      <c r="B34" s="366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4"/>
        <v>0</v>
      </c>
      <c r="M34" s="124"/>
      <c r="N34" s="124"/>
      <c r="O34" s="124"/>
      <c r="P34" s="124"/>
      <c r="Q34" s="18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  <c r="AC34" s="305"/>
      <c r="AD34" s="305"/>
      <c r="AE34" s="305"/>
    </row>
    <row r="35" spans="1:31">
      <c r="A35" s="178"/>
      <c r="B35" s="366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4"/>
        <v>0</v>
      </c>
      <c r="M35" s="124"/>
      <c r="N35" s="124"/>
      <c r="O35" s="124"/>
      <c r="P35" s="124"/>
      <c r="Q35" s="18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  <c r="AC35" s="305"/>
      <c r="AD35" s="305"/>
      <c r="AE35" s="305"/>
    </row>
    <row r="36" spans="1:31">
      <c r="A36" s="178"/>
      <c r="B36" s="360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4"/>
        <v>0</v>
      </c>
      <c r="M36" s="124"/>
      <c r="N36" s="124"/>
      <c r="O36" s="124"/>
      <c r="P36" s="124"/>
      <c r="Q36" s="18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4"/>
        <v>0</v>
      </c>
      <c r="M37" s="124"/>
      <c r="N37" s="124"/>
      <c r="O37" s="124"/>
      <c r="P37" s="124"/>
      <c r="Q37" s="184"/>
      <c r="R37" s="143"/>
      <c r="S37" s="143"/>
      <c r="T37" s="877"/>
      <c r="U37" s="124"/>
      <c r="V37" s="190"/>
      <c r="W37" s="124"/>
      <c r="X37" s="877"/>
      <c r="Y37" s="877"/>
      <c r="Z37" s="877"/>
      <c r="AA37" s="877"/>
      <c r="AB37" s="877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4"/>
        <v>0</v>
      </c>
      <c r="M38" s="124"/>
      <c r="N38" s="124"/>
      <c r="O38" s="124"/>
      <c r="P38" s="143"/>
      <c r="Q38" s="124"/>
      <c r="R38" s="143"/>
      <c r="S38" s="143"/>
      <c r="T38" s="877"/>
      <c r="U38" s="124"/>
      <c r="V38" s="190"/>
      <c r="W38" s="124"/>
      <c r="X38" s="877"/>
      <c r="Y38" s="877"/>
      <c r="Z38" s="877"/>
      <c r="AA38" s="877"/>
      <c r="AB38" s="877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4"/>
        <v>0</v>
      </c>
      <c r="M39" s="124"/>
      <c r="N39" s="124"/>
      <c r="O39" s="124"/>
      <c r="P39" s="143"/>
      <c r="Q39" s="124"/>
      <c r="R39" s="143"/>
      <c r="S39" s="143"/>
      <c r="T39" s="877"/>
      <c r="U39" s="124"/>
      <c r="V39" s="190"/>
      <c r="W39" s="124"/>
      <c r="X39" s="877"/>
      <c r="Y39" s="877"/>
      <c r="Z39" s="877"/>
      <c r="AA39" s="877"/>
      <c r="AB39" s="877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4"/>
        <v>0</v>
      </c>
      <c r="M40" s="124"/>
      <c r="N40" s="124"/>
      <c r="O40" s="124"/>
      <c r="P40" s="143"/>
      <c r="Q40" s="124"/>
      <c r="R40" s="143"/>
      <c r="S40" s="143"/>
      <c r="T40" s="877"/>
      <c r="U40" s="124"/>
      <c r="V40" s="190"/>
      <c r="W40" s="124"/>
      <c r="X40" s="877"/>
      <c r="Y40" s="877"/>
      <c r="Z40" s="877"/>
      <c r="AA40" s="877"/>
      <c r="AB40" s="877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4"/>
        <v>0</v>
      </c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  <c r="AC41" s="305"/>
      <c r="AD41" s="305"/>
      <c r="AE41" s="305"/>
    </row>
    <row r="42" spans="1:31">
      <c r="A42" s="178"/>
      <c r="B42" s="179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4"/>
        <v>0</v>
      </c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4"/>
        <v>0</v>
      </c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>
        <f t="shared" si="4"/>
        <v>0</v>
      </c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>
        <f t="shared" si="4"/>
        <v>0</v>
      </c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si="4"/>
        <v>0</v>
      </c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4"/>
        <v>0</v>
      </c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  <c r="AC47" s="305"/>
      <c r="AD47" s="305"/>
      <c r="AE47" s="305"/>
    </row>
    <row r="48" spans="1:31">
      <c r="A48" s="178"/>
      <c r="B48" s="179"/>
      <c r="C48" s="124"/>
      <c r="D48" s="124"/>
      <c r="E48" s="357"/>
      <c r="F48" s="124"/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338"/>
      <c r="U48" s="124"/>
      <c r="V48" s="357"/>
      <c r="W48" s="124"/>
      <c r="X48" s="338"/>
      <c r="Y48" s="338"/>
      <c r="Z48" s="338"/>
      <c r="AA48" s="338"/>
      <c r="AB48" s="338"/>
      <c r="AC48" s="305"/>
      <c r="AD48" s="305"/>
      <c r="AE48" s="305"/>
    </row>
    <row r="49" spans="1:31">
      <c r="A49" s="178"/>
      <c r="B49" s="179"/>
      <c r="C49" s="124"/>
      <c r="D49" s="124"/>
      <c r="E49" s="357"/>
      <c r="F49" s="124"/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338"/>
      <c r="U49" s="124"/>
      <c r="V49" s="357"/>
      <c r="W49" s="124"/>
      <c r="X49" s="338"/>
      <c r="Y49" s="338"/>
      <c r="Z49" s="338"/>
      <c r="AA49" s="338"/>
      <c r="AB49" s="338"/>
      <c r="AC49" s="305"/>
      <c r="AD49" s="305"/>
      <c r="AE49" s="305"/>
    </row>
    <row r="50" spans="1:31">
      <c r="A50" s="178"/>
      <c r="B50" s="363"/>
      <c r="C50" s="124"/>
      <c r="D50" s="124"/>
      <c r="E50" s="357"/>
      <c r="F50" s="124"/>
      <c r="G50" s="124"/>
      <c r="H50" s="124"/>
      <c r="I50" s="191"/>
      <c r="J50" s="124"/>
      <c r="K50" s="124"/>
      <c r="L50" s="143">
        <f t="shared" ref="L50:L54" si="5">+I50+J50-K50</f>
        <v>0</v>
      </c>
      <c r="M50" s="124"/>
      <c r="N50" s="124"/>
      <c r="O50" s="124"/>
      <c r="P50" s="143"/>
      <c r="Q50" s="124"/>
      <c r="R50" s="143"/>
      <c r="S50" s="143"/>
      <c r="T50" s="338"/>
      <c r="U50" s="124"/>
      <c r="V50" s="357"/>
      <c r="W50" s="124"/>
      <c r="X50" s="338"/>
      <c r="Y50" s="338"/>
      <c r="Z50" s="338"/>
      <c r="AA50" s="338"/>
      <c r="AB50" s="338"/>
      <c r="AC50" s="305"/>
      <c r="AD50" s="305"/>
      <c r="AE50" s="305"/>
    </row>
    <row r="51" spans="1:31">
      <c r="A51" s="178"/>
      <c r="B51" s="179"/>
      <c r="C51" s="124"/>
      <c r="D51" s="124"/>
      <c r="E51" s="357"/>
      <c r="F51" s="124"/>
      <c r="G51" s="124"/>
      <c r="H51" s="124"/>
      <c r="I51" s="191"/>
      <c r="J51" s="124"/>
      <c r="K51" s="124"/>
      <c r="L51" s="143">
        <f t="shared" si="5"/>
        <v>0</v>
      </c>
      <c r="M51" s="124"/>
      <c r="N51" s="124"/>
      <c r="O51" s="124"/>
      <c r="P51" s="143"/>
      <c r="Q51" s="124"/>
      <c r="R51" s="143"/>
      <c r="S51" s="143"/>
      <c r="T51" s="338"/>
      <c r="U51" s="124"/>
      <c r="V51" s="357"/>
      <c r="W51" s="124"/>
      <c r="X51" s="338"/>
      <c r="Y51" s="338"/>
      <c r="Z51" s="338"/>
      <c r="AA51" s="338"/>
      <c r="AB51" s="338"/>
      <c r="AC51" s="305"/>
      <c r="AD51" s="305"/>
      <c r="AE51" s="305"/>
    </row>
    <row r="52" spans="1:31" ht="15.75">
      <c r="A52" s="364"/>
      <c r="B52" s="145"/>
      <c r="C52" s="124"/>
      <c r="D52" s="124"/>
      <c r="E52" s="190"/>
      <c r="F52" s="124"/>
      <c r="G52" s="124"/>
      <c r="H52" s="124"/>
      <c r="I52" s="124"/>
      <c r="J52" s="124"/>
      <c r="K52" s="124"/>
      <c r="L52" s="143">
        <f t="shared" si="5"/>
        <v>0</v>
      </c>
      <c r="M52" s="124"/>
      <c r="N52" s="124"/>
      <c r="O52" s="124"/>
      <c r="P52" s="143"/>
      <c r="Q52" s="124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  <c r="AC52" s="305"/>
      <c r="AD52" s="305"/>
      <c r="AE52" s="305"/>
    </row>
    <row r="53" spans="1:31">
      <c r="A53" s="178"/>
      <c r="B53" s="365"/>
      <c r="C53" s="124"/>
      <c r="D53" s="124"/>
      <c r="E53" s="190"/>
      <c r="F53" s="124"/>
      <c r="G53" s="188"/>
      <c r="H53" s="188"/>
      <c r="I53" s="188"/>
      <c r="J53" s="188"/>
      <c r="K53" s="188"/>
      <c r="L53" s="143">
        <f t="shared" si="5"/>
        <v>0</v>
      </c>
      <c r="M53" s="188"/>
      <c r="N53" s="188"/>
      <c r="O53" s="188"/>
      <c r="P53" s="143">
        <f>O53*D53</f>
        <v>0</v>
      </c>
      <c r="Q53" s="188"/>
      <c r="R53" s="143">
        <f>Q53*D53</f>
        <v>0</v>
      </c>
      <c r="S53" s="143">
        <f>+P53-R53</f>
        <v>0</v>
      </c>
      <c r="T53" s="338"/>
      <c r="U53" s="124"/>
      <c r="V53" s="190"/>
      <c r="W53" s="124"/>
      <c r="X53" s="338">
        <f>+N53-W53</f>
        <v>0</v>
      </c>
      <c r="Y53" s="338"/>
      <c r="Z53" s="338"/>
      <c r="AA53" s="338"/>
      <c r="AB53" s="338"/>
      <c r="AC53" s="305"/>
      <c r="AD53" s="305"/>
      <c r="AE53" s="305"/>
    </row>
    <row r="54" spans="1:31">
      <c r="A54" s="178"/>
      <c r="B54" s="366"/>
      <c r="C54" s="124"/>
      <c r="D54" s="124"/>
      <c r="E54" s="190"/>
      <c r="F54" s="124"/>
      <c r="G54" s="188"/>
      <c r="H54" s="188"/>
      <c r="I54" s="188"/>
      <c r="J54" s="188"/>
      <c r="K54" s="188"/>
      <c r="L54" s="143">
        <f t="shared" si="5"/>
        <v>0</v>
      </c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  <c r="AC54" s="305"/>
      <c r="AD54" s="305"/>
      <c r="AE54" s="305"/>
    </row>
    <row r="55" spans="1:31">
      <c r="A55" s="178"/>
      <c r="B55" s="142" t="s">
        <v>768</v>
      </c>
      <c r="C55" s="124"/>
      <c r="D55" s="124"/>
      <c r="E55" s="190"/>
      <c r="F55" s="124"/>
      <c r="G55" s="188"/>
      <c r="H55" s="188"/>
      <c r="I55" s="188"/>
      <c r="J55" s="188"/>
      <c r="K55" s="188"/>
      <c r="L55" s="143">
        <v>0</v>
      </c>
      <c r="M55" s="188"/>
      <c r="N55" s="188"/>
      <c r="O55" s="188"/>
      <c r="P55" s="143"/>
      <c r="Q55" s="188"/>
      <c r="R55" s="2331">
        <v>469790</v>
      </c>
      <c r="S55" s="143"/>
      <c r="T55" s="338"/>
      <c r="U55" s="124"/>
      <c r="V55" s="190"/>
      <c r="W55" s="124"/>
      <c r="X55" s="338"/>
      <c r="Y55" s="338"/>
      <c r="Z55" s="338"/>
      <c r="AA55" s="338"/>
      <c r="AB55" s="338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>
        <f>+I56+J56-K56</f>
        <v>0</v>
      </c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>
        <f>U56*V56</f>
        <v>0</v>
      </c>
      <c r="X56" s="338"/>
      <c r="Y56" s="338"/>
      <c r="Z56" s="338"/>
      <c r="AA56" s="338"/>
      <c r="AB56" s="338"/>
      <c r="AC56" s="305"/>
      <c r="AD56" s="305"/>
      <c r="AE56" s="305"/>
    </row>
    <row r="57" spans="1:31">
      <c r="A57" s="339" t="s">
        <v>97</v>
      </c>
      <c r="B57" s="340" t="s">
        <v>17</v>
      </c>
      <c r="C57" s="372">
        <f>SUM(C16:C56)</f>
        <v>6300000</v>
      </c>
      <c r="D57" s="372"/>
      <c r="E57" s="373"/>
      <c r="F57" s="372">
        <f>SUM(F16:F56)</f>
        <v>4020000</v>
      </c>
      <c r="G57" s="372">
        <f t="shared" ref="G57:N57" si="6">SUM(G15:G56)</f>
        <v>0</v>
      </c>
      <c r="H57" s="372">
        <f t="shared" si="6"/>
        <v>0</v>
      </c>
      <c r="I57" s="372">
        <f t="shared" si="6"/>
        <v>453630</v>
      </c>
      <c r="J57" s="372">
        <f t="shared" si="6"/>
        <v>0</v>
      </c>
      <c r="K57" s="372">
        <f t="shared" si="6"/>
        <v>0</v>
      </c>
      <c r="L57" s="372">
        <f t="shared" si="6"/>
        <v>453630</v>
      </c>
      <c r="M57" s="372">
        <f t="shared" si="6"/>
        <v>0</v>
      </c>
      <c r="N57" s="372">
        <f t="shared" si="6"/>
        <v>0</v>
      </c>
      <c r="O57" s="372"/>
      <c r="P57" s="372">
        <f>SUM(P15:P56)</f>
        <v>373950</v>
      </c>
      <c r="Q57" s="372"/>
      <c r="R57" s="372">
        <f>SUM(R15:R56)</f>
        <v>843740</v>
      </c>
      <c r="S57" s="372">
        <f>SUM(S15:S56)</f>
        <v>0</v>
      </c>
      <c r="T57" s="374">
        <f>W57-L57</f>
        <v>1262670</v>
      </c>
      <c r="U57" s="372"/>
      <c r="V57" s="372"/>
      <c r="W57" s="372">
        <f>SUM(W16:W56)</f>
        <v>1716300</v>
      </c>
      <c r="X57" s="372">
        <f>SUM(X15:X56)</f>
        <v>27000</v>
      </c>
      <c r="Y57" s="372">
        <f>SUM(Y15:Y56)</f>
        <v>0</v>
      </c>
      <c r="Z57" s="372">
        <f>SUM(Z15:Z56)</f>
        <v>27000</v>
      </c>
      <c r="AA57" s="372">
        <f>SUM(AA15:AA56)</f>
        <v>0</v>
      </c>
      <c r="AB57" s="372">
        <f>SUM(AB15:AB56)</f>
        <v>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X61" s="305"/>
      <c r="Y61" s="305"/>
      <c r="Z61" s="305"/>
      <c r="AA61" s="305"/>
      <c r="AB61" s="305"/>
      <c r="AC61" s="305"/>
      <c r="AD61" s="305"/>
      <c r="AE61" s="305"/>
    </row>
    <row r="62" spans="1:31">
      <c r="R62" s="304"/>
      <c r="X62" s="305"/>
      <c r="Y62" s="305"/>
      <c r="Z62" s="305"/>
      <c r="AA62" s="305"/>
      <c r="AB62" s="305"/>
      <c r="AC62" s="305"/>
      <c r="AD62" s="305"/>
      <c r="AE62" s="305"/>
    </row>
    <row r="63" spans="1:31">
      <c r="A63" s="304" t="s">
        <v>59</v>
      </c>
      <c r="F63" s="343"/>
      <c r="W63" s="343"/>
      <c r="X63" s="305"/>
      <c r="Y63" s="305"/>
      <c r="Z63" s="305"/>
      <c r="AA63" s="305"/>
      <c r="AB63" s="305"/>
      <c r="AC63" s="305"/>
      <c r="AD63" s="305"/>
      <c r="AE63" s="305"/>
    </row>
    <row r="75" spans="2:31">
      <c r="B75" s="304" t="s">
        <v>126</v>
      </c>
      <c r="X75" s="305"/>
      <c r="Y75" s="305"/>
      <c r="Z75" s="305"/>
      <c r="AA75" s="305"/>
      <c r="AB75" s="305"/>
      <c r="AC75" s="305"/>
      <c r="AD75" s="305"/>
      <c r="AE75" s="305"/>
    </row>
  </sheetData>
  <mergeCells count="6">
    <mergeCell ref="E1:F1"/>
    <mergeCell ref="AB8:AB12"/>
    <mergeCell ref="X8:X12"/>
    <mergeCell ref="Y8:Y12"/>
    <mergeCell ref="Z8:Z12"/>
    <mergeCell ref="AA8:AA12"/>
  </mergeCells>
  <conditionalFormatting sqref="U8:W9 X8:AB12">
    <cfRule type="cellIs" dxfId="60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59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pageSetUpPr fitToPage="1"/>
  </sheetPr>
  <dimension ref="A1:AE75"/>
  <sheetViews>
    <sheetView showGridLines="0" showZeros="0" view="pageBreakPreview" zoomScaleNormal="100" zoomScaleSheetLayoutView="100" workbookViewId="0">
      <selection activeCell="Z15" sqref="Z15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475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65" t="s">
        <v>469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468</v>
      </c>
      <c r="C4" s="1646" t="s">
        <v>467</v>
      </c>
      <c r="D4" s="1325" t="s">
        <v>466</v>
      </c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201400269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653" t="s">
        <v>474</v>
      </c>
      <c r="C6" s="828"/>
      <c r="D6" s="828"/>
      <c r="E6" s="831"/>
      <c r="F6" s="825"/>
      <c r="G6" s="825"/>
      <c r="H6" s="833"/>
      <c r="I6" s="834"/>
      <c r="J6" s="878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56</v>
      </c>
      <c r="V11" s="858"/>
      <c r="W11" s="855" t="s">
        <v>56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876" t="s">
        <v>86</v>
      </c>
      <c r="Y13" s="328"/>
      <c r="Z13" s="328"/>
      <c r="AA13" s="328"/>
      <c r="AB13" s="328"/>
    </row>
    <row r="14" spans="1:31" ht="15.75" customHeight="1">
      <c r="A14" s="349"/>
      <c r="B14" s="350"/>
      <c r="C14" s="351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178">
        <v>1</v>
      </c>
      <c r="B15" s="366" t="s">
        <v>464</v>
      </c>
      <c r="C15" s="124">
        <f>65300*1.2</f>
        <v>78360</v>
      </c>
      <c r="D15" s="124">
        <f>(35300*1.2)</f>
        <v>42360</v>
      </c>
      <c r="E15" s="357">
        <v>1</v>
      </c>
      <c r="F15" s="124">
        <f>D15*E15</f>
        <v>42360</v>
      </c>
      <c r="G15" s="188"/>
      <c r="H15" s="188"/>
      <c r="I15" s="124">
        <f>U15</f>
        <v>42360</v>
      </c>
      <c r="J15" s="188"/>
      <c r="K15" s="188"/>
      <c r="L15" s="143">
        <f t="shared" ref="L15:L30" si="0">+I15-J15+K15</f>
        <v>42360</v>
      </c>
      <c r="M15" s="188"/>
      <c r="N15" s="188"/>
      <c r="O15" s="2336"/>
      <c r="P15" s="2332">
        <v>42360</v>
      </c>
      <c r="Q15" s="2336"/>
      <c r="R15" s="2337">
        <v>42360</v>
      </c>
      <c r="S15" s="191"/>
      <c r="T15" s="1508"/>
      <c r="U15" s="124">
        <v>42360</v>
      </c>
      <c r="V15" s="357">
        <v>1</v>
      </c>
      <c r="W15" s="124">
        <f>V15*U15</f>
        <v>42360</v>
      </c>
      <c r="X15" s="143">
        <v>42360</v>
      </c>
      <c r="Z15" s="1508">
        <v>42360</v>
      </c>
      <c r="AA15" s="136"/>
      <c r="AB15" s="136">
        <v>0</v>
      </c>
    </row>
    <row r="16" spans="1:31">
      <c r="A16" s="178"/>
      <c r="B16" s="366" t="s">
        <v>473</v>
      </c>
      <c r="C16" s="124"/>
      <c r="D16" s="124"/>
      <c r="E16" s="357"/>
      <c r="F16" s="124"/>
      <c r="G16" s="143"/>
      <c r="H16" s="143"/>
      <c r="I16" s="187"/>
      <c r="J16" s="143"/>
      <c r="K16" s="143"/>
      <c r="L16" s="143">
        <f t="shared" si="0"/>
        <v>0</v>
      </c>
      <c r="M16" s="143"/>
      <c r="N16" s="143">
        <f>G16</f>
        <v>0</v>
      </c>
      <c r="O16" s="2331"/>
      <c r="P16" s="2332"/>
      <c r="Q16" s="2333"/>
      <c r="R16" s="2332"/>
      <c r="S16" s="143"/>
      <c r="T16" s="1508"/>
      <c r="V16" s="879"/>
      <c r="X16" s="143">
        <v>0</v>
      </c>
      <c r="Y16" s="143"/>
      <c r="Z16" s="143"/>
      <c r="AA16" s="143"/>
      <c r="AB16" s="143"/>
    </row>
    <row r="17" spans="1:31">
      <c r="A17" s="178">
        <v>2</v>
      </c>
      <c r="B17" s="366" t="s">
        <v>462</v>
      </c>
      <c r="C17" s="124">
        <f>754215*1.2</f>
        <v>905058</v>
      </c>
      <c r="D17" s="124">
        <f>1.2*325048</f>
        <v>390057.6</v>
      </c>
      <c r="E17" s="357">
        <v>1</v>
      </c>
      <c r="F17" s="124">
        <f t="shared" ref="F17:F30" si="1">D17*E17</f>
        <v>390057.6</v>
      </c>
      <c r="G17" s="143"/>
      <c r="H17" s="143"/>
      <c r="I17" s="143">
        <f>U17</f>
        <v>390057.6</v>
      </c>
      <c r="J17" s="143"/>
      <c r="K17" s="143"/>
      <c r="L17" s="143">
        <f t="shared" si="0"/>
        <v>390057.6</v>
      </c>
      <c r="M17" s="143">
        <f>+M16/1.2</f>
        <v>0</v>
      </c>
      <c r="N17" s="143">
        <f>+N16/1.2</f>
        <v>0</v>
      </c>
      <c r="O17" s="2331"/>
      <c r="P17" s="2331">
        <v>400257.6</v>
      </c>
      <c r="Q17" s="2334"/>
      <c r="R17" s="2332">
        <v>400257.6</v>
      </c>
      <c r="S17" s="143"/>
      <c r="T17" s="1508">
        <f t="shared" ref="T17:T30" si="2">W17-L17</f>
        <v>0</v>
      </c>
      <c r="U17" s="124">
        <v>390057.6</v>
      </c>
      <c r="V17" s="190">
        <v>1</v>
      </c>
      <c r="W17" s="124">
        <f t="shared" ref="W17:W30" si="3">V17*U17</f>
        <v>390057.6</v>
      </c>
      <c r="X17" s="143">
        <v>156023.04000000001</v>
      </c>
      <c r="Y17" s="143"/>
      <c r="Z17" s="143"/>
      <c r="AA17" s="143"/>
      <c r="AB17" s="143"/>
      <c r="AC17" s="305"/>
      <c r="AD17" s="305"/>
      <c r="AE17" s="305"/>
    </row>
    <row r="18" spans="1:31">
      <c r="A18" s="178">
        <v>3</v>
      </c>
      <c r="B18" s="366" t="s">
        <v>461</v>
      </c>
      <c r="C18" s="124">
        <f>754215*1.2</f>
        <v>905058</v>
      </c>
      <c r="D18" s="124">
        <f>(654465*1.2)</f>
        <v>785358</v>
      </c>
      <c r="E18" s="357">
        <v>1</v>
      </c>
      <c r="F18" s="124">
        <f t="shared" si="1"/>
        <v>785358</v>
      </c>
      <c r="G18" s="143"/>
      <c r="H18" s="143"/>
      <c r="I18" s="143"/>
      <c r="J18" s="143"/>
      <c r="K18" s="143"/>
      <c r="L18" s="143">
        <f t="shared" si="0"/>
        <v>0</v>
      </c>
      <c r="M18" s="143"/>
      <c r="N18" s="143"/>
      <c r="O18" s="2331"/>
      <c r="P18" s="2335"/>
      <c r="Q18" s="2334"/>
      <c r="R18" s="2331"/>
      <c r="S18" s="143"/>
      <c r="T18" s="1508">
        <f t="shared" si="2"/>
        <v>145357.20000000001</v>
      </c>
      <c r="U18" s="124">
        <v>145357.20000000001</v>
      </c>
      <c r="V18" s="190">
        <v>1</v>
      </c>
      <c r="W18" s="124">
        <f t="shared" si="3"/>
        <v>145357.20000000001</v>
      </c>
      <c r="X18" s="143">
        <v>0</v>
      </c>
      <c r="Y18" s="143"/>
      <c r="Z18" s="143"/>
      <c r="AA18" s="143"/>
      <c r="AB18" s="143"/>
      <c r="AC18" s="305"/>
      <c r="AD18" s="305"/>
      <c r="AE18" s="305"/>
    </row>
    <row r="19" spans="1:31">
      <c r="A19" s="178">
        <v>4</v>
      </c>
      <c r="B19" s="366" t="s">
        <v>460</v>
      </c>
      <c r="C19" s="124">
        <f>1.2*215490</f>
        <v>258588</v>
      </c>
      <c r="D19" s="124">
        <f>215490*1.2</f>
        <v>258588</v>
      </c>
      <c r="E19" s="357">
        <v>1</v>
      </c>
      <c r="F19" s="124">
        <f t="shared" si="1"/>
        <v>258588</v>
      </c>
      <c r="G19" s="143"/>
      <c r="H19" s="143"/>
      <c r="I19" s="143"/>
      <c r="J19" s="143"/>
      <c r="K19" s="143"/>
      <c r="L19" s="143">
        <f t="shared" si="0"/>
        <v>0</v>
      </c>
      <c r="M19" s="143"/>
      <c r="N19" s="143"/>
      <c r="O19" s="2331"/>
      <c r="P19" s="2331"/>
      <c r="Q19" s="2334"/>
      <c r="R19" s="2331"/>
      <c r="S19" s="143"/>
      <c r="T19" s="1508"/>
      <c r="U19" s="124"/>
      <c r="V19" s="190"/>
      <c r="W19" s="124">
        <f t="shared" si="3"/>
        <v>0</v>
      </c>
      <c r="X19" s="143">
        <v>0</v>
      </c>
      <c r="Y19" s="143"/>
      <c r="Z19" s="143"/>
      <c r="AA19" s="143"/>
      <c r="AB19" s="143"/>
      <c r="AC19" s="305"/>
      <c r="AD19" s="305"/>
      <c r="AE19" s="305"/>
    </row>
    <row r="20" spans="1:31">
      <c r="A20" s="178">
        <v>5</v>
      </c>
      <c r="B20" s="366" t="s">
        <v>710</v>
      </c>
      <c r="C20" s="124">
        <f>1.2*430980</f>
        <v>517176</v>
      </c>
      <c r="D20" s="124">
        <f>(293230*1.2)</f>
        <v>351876</v>
      </c>
      <c r="E20" s="357">
        <v>1</v>
      </c>
      <c r="F20" s="124">
        <f t="shared" si="1"/>
        <v>351876</v>
      </c>
      <c r="G20" s="143"/>
      <c r="H20" s="143"/>
      <c r="I20" s="143"/>
      <c r="J20" s="143"/>
      <c r="K20" s="143"/>
      <c r="L20" s="143">
        <f t="shared" si="0"/>
        <v>0</v>
      </c>
      <c r="M20" s="143"/>
      <c r="N20" s="143"/>
      <c r="O20" s="2331"/>
      <c r="P20" s="2331"/>
      <c r="Q20" s="2334"/>
      <c r="R20" s="2332"/>
      <c r="S20" s="143">
        <f>+P20-R20</f>
        <v>0</v>
      </c>
      <c r="T20" s="1508">
        <f t="shared" si="2"/>
        <v>351876</v>
      </c>
      <c r="U20" s="124">
        <v>351876</v>
      </c>
      <c r="V20" s="190">
        <v>1</v>
      </c>
      <c r="W20" s="124">
        <f t="shared" si="3"/>
        <v>351876</v>
      </c>
      <c r="X20" s="143">
        <v>0</v>
      </c>
      <c r="Y20" s="143"/>
      <c r="Z20" s="143"/>
      <c r="AA20" s="143"/>
      <c r="AB20" s="143"/>
      <c r="AC20" s="305"/>
      <c r="AD20" s="305"/>
      <c r="AE20" s="305"/>
    </row>
    <row r="21" spans="1:31" ht="12.75" customHeight="1">
      <c r="A21" s="178"/>
      <c r="B21" s="366" t="s">
        <v>472</v>
      </c>
      <c r="C21" s="124"/>
      <c r="D21" s="124"/>
      <c r="E21" s="357"/>
      <c r="F21" s="124">
        <f t="shared" si="1"/>
        <v>0</v>
      </c>
      <c r="G21" s="143"/>
      <c r="H21" s="143"/>
      <c r="I21" s="143"/>
      <c r="J21" s="143"/>
      <c r="K21" s="143"/>
      <c r="L21" s="143">
        <f t="shared" si="0"/>
        <v>0</v>
      </c>
      <c r="M21" s="143"/>
      <c r="N21" s="143"/>
      <c r="O21" s="2331"/>
      <c r="P21" s="2331"/>
      <c r="Q21" s="2334"/>
      <c r="R21" s="2332"/>
      <c r="S21" s="143"/>
      <c r="T21" s="1508"/>
      <c r="U21" s="124"/>
      <c r="V21" s="190"/>
      <c r="W21" s="124">
        <f t="shared" si="3"/>
        <v>0</v>
      </c>
      <c r="X21" s="143">
        <v>0</v>
      </c>
      <c r="Y21" s="143"/>
      <c r="Z21" s="143"/>
      <c r="AA21" s="143"/>
      <c r="AB21" s="143"/>
      <c r="AC21" s="305"/>
      <c r="AD21" s="305"/>
      <c r="AE21" s="305"/>
    </row>
    <row r="22" spans="1:31">
      <c r="A22" s="178">
        <v>6</v>
      </c>
      <c r="B22" s="366" t="s">
        <v>459</v>
      </c>
      <c r="C22" s="124">
        <f>754215*1.2</f>
        <v>905058</v>
      </c>
      <c r="D22" s="124">
        <f>1.2*325049</f>
        <v>390058.8</v>
      </c>
      <c r="E22" s="357">
        <v>1</v>
      </c>
      <c r="F22" s="124">
        <f t="shared" si="1"/>
        <v>390058.8</v>
      </c>
      <c r="G22" s="143"/>
      <c r="H22" s="143"/>
      <c r="I22" s="143">
        <f>U22</f>
        <v>390058.8</v>
      </c>
      <c r="J22" s="143"/>
      <c r="K22" s="143"/>
      <c r="L22" s="143">
        <f t="shared" si="0"/>
        <v>390058.8</v>
      </c>
      <c r="M22" s="143"/>
      <c r="N22" s="143"/>
      <c r="O22" s="2331"/>
      <c r="P22" s="2331">
        <v>400258.8</v>
      </c>
      <c r="Q22" s="2334"/>
      <c r="R22" s="2331">
        <v>400258.8</v>
      </c>
      <c r="S22" s="143"/>
      <c r="T22" s="1508">
        <f t="shared" si="2"/>
        <v>0</v>
      </c>
      <c r="U22" s="124">
        <v>390058.8</v>
      </c>
      <c r="V22" s="190">
        <v>1</v>
      </c>
      <c r="W22" s="124">
        <f t="shared" si="3"/>
        <v>390058.8</v>
      </c>
      <c r="X22" s="143">
        <v>0</v>
      </c>
      <c r="Y22" s="143"/>
      <c r="Z22" s="143"/>
      <c r="AA22" s="143"/>
      <c r="AB22" s="143"/>
      <c r="AC22" s="305"/>
      <c r="AD22" s="305"/>
      <c r="AE22" s="305"/>
    </row>
    <row r="23" spans="1:31">
      <c r="A23" s="178">
        <v>7</v>
      </c>
      <c r="B23" s="366" t="s">
        <v>458</v>
      </c>
      <c r="C23" s="124">
        <f>754215*1.2</f>
        <v>905058</v>
      </c>
      <c r="D23" s="124">
        <f>(654465*1.2)</f>
        <v>785358</v>
      </c>
      <c r="E23" s="357">
        <v>1</v>
      </c>
      <c r="F23" s="124">
        <f t="shared" si="1"/>
        <v>785358</v>
      </c>
      <c r="G23" s="143"/>
      <c r="H23" s="143"/>
      <c r="I23" s="143"/>
      <c r="J23" s="143"/>
      <c r="K23" s="143"/>
      <c r="L23" s="143">
        <f t="shared" si="0"/>
        <v>0</v>
      </c>
      <c r="M23" s="143"/>
      <c r="N23" s="143"/>
      <c r="O23" s="2331"/>
      <c r="P23" s="2331"/>
      <c r="Q23" s="2334"/>
      <c r="R23" s="2331"/>
      <c r="S23" s="143"/>
      <c r="T23" s="1508">
        <f t="shared" si="2"/>
        <v>145358.39999999999</v>
      </c>
      <c r="U23" s="124">
        <v>145358.39999999999</v>
      </c>
      <c r="V23" s="190">
        <v>1</v>
      </c>
      <c r="W23" s="124">
        <f t="shared" si="3"/>
        <v>145358.39999999999</v>
      </c>
      <c r="X23" s="143">
        <v>0</v>
      </c>
      <c r="Y23" s="143"/>
      <c r="Z23" s="143"/>
      <c r="AA23" s="143"/>
      <c r="AB23" s="143"/>
      <c r="AC23" s="305"/>
      <c r="AD23" s="305"/>
      <c r="AE23" s="305"/>
    </row>
    <row r="24" spans="1:31">
      <c r="A24" s="354">
        <v>8</v>
      </c>
      <c r="B24" s="366" t="s">
        <v>457</v>
      </c>
      <c r="C24" s="124">
        <f>1.2*215490</f>
        <v>258588</v>
      </c>
      <c r="D24" s="124">
        <f>215490*1.2</f>
        <v>258588</v>
      </c>
      <c r="E24" s="357">
        <v>1</v>
      </c>
      <c r="F24" s="124">
        <f t="shared" si="1"/>
        <v>258588</v>
      </c>
      <c r="G24" s="143"/>
      <c r="H24" s="143"/>
      <c r="I24" s="143"/>
      <c r="J24" s="143"/>
      <c r="K24" s="143"/>
      <c r="L24" s="143">
        <f t="shared" si="0"/>
        <v>0</v>
      </c>
      <c r="M24" s="143"/>
      <c r="N24" s="143"/>
      <c r="O24" s="2331"/>
      <c r="P24" s="2331"/>
      <c r="Q24" s="2334"/>
      <c r="R24" s="2331"/>
      <c r="S24" s="143"/>
      <c r="T24" s="1508"/>
      <c r="U24" s="124"/>
      <c r="V24" s="190"/>
      <c r="W24" s="124">
        <f t="shared" si="3"/>
        <v>0</v>
      </c>
      <c r="X24" s="143">
        <v>0</v>
      </c>
      <c r="Y24" s="143"/>
      <c r="Z24" s="143"/>
      <c r="AA24" s="143"/>
      <c r="AB24" s="143"/>
      <c r="AC24" s="305"/>
      <c r="AD24" s="305"/>
      <c r="AE24" s="305"/>
    </row>
    <row r="25" spans="1:31">
      <c r="A25" s="178">
        <v>9</v>
      </c>
      <c r="B25" s="366" t="s">
        <v>711</v>
      </c>
      <c r="C25" s="124">
        <f>1.2*430980</f>
        <v>517176</v>
      </c>
      <c r="D25" s="124">
        <f>(293230*1.2)</f>
        <v>351876</v>
      </c>
      <c r="E25" s="357">
        <v>1</v>
      </c>
      <c r="F25" s="124">
        <f t="shared" si="1"/>
        <v>351876</v>
      </c>
      <c r="G25" s="143"/>
      <c r="H25" s="143"/>
      <c r="I25" s="143"/>
      <c r="J25" s="143"/>
      <c r="K25" s="143"/>
      <c r="L25" s="143">
        <f t="shared" si="0"/>
        <v>0</v>
      </c>
      <c r="M25" s="143"/>
      <c r="N25" s="143"/>
      <c r="O25" s="2331"/>
      <c r="P25" s="2331"/>
      <c r="Q25" s="2334"/>
      <c r="R25" s="2331"/>
      <c r="S25" s="143"/>
      <c r="T25" s="1508">
        <f t="shared" si="2"/>
        <v>351876</v>
      </c>
      <c r="U25" s="124">
        <v>351876</v>
      </c>
      <c r="V25" s="190">
        <v>1</v>
      </c>
      <c r="W25" s="124">
        <f t="shared" si="3"/>
        <v>351876</v>
      </c>
      <c r="X25" s="143">
        <v>0</v>
      </c>
      <c r="Y25" s="143"/>
      <c r="Z25" s="143"/>
      <c r="AA25" s="143"/>
      <c r="AB25" s="143"/>
      <c r="AC25" s="305"/>
      <c r="AD25" s="305"/>
      <c r="AE25" s="305"/>
    </row>
    <row r="26" spans="1:31">
      <c r="A26" s="178"/>
      <c r="B26" s="366" t="s">
        <v>471</v>
      </c>
      <c r="C26" s="124"/>
      <c r="D26" s="124"/>
      <c r="E26" s="357"/>
      <c r="F26" s="124">
        <f t="shared" si="1"/>
        <v>0</v>
      </c>
      <c r="G26" s="143"/>
      <c r="H26" s="143"/>
      <c r="I26" s="143"/>
      <c r="J26" s="143"/>
      <c r="K26" s="143"/>
      <c r="L26" s="143">
        <f t="shared" si="0"/>
        <v>0</v>
      </c>
      <c r="M26" s="143"/>
      <c r="N26" s="143"/>
      <c r="O26" s="2331"/>
      <c r="P26" s="2331"/>
      <c r="Q26" s="2338"/>
      <c r="R26" s="2331"/>
      <c r="S26" s="143"/>
      <c r="T26" s="1508"/>
      <c r="U26" s="124"/>
      <c r="V26" s="356"/>
      <c r="W26" s="124">
        <f t="shared" si="3"/>
        <v>0</v>
      </c>
      <c r="X26" s="143">
        <v>0</v>
      </c>
      <c r="Y26" s="143"/>
      <c r="Z26" s="143"/>
      <c r="AA26" s="143"/>
      <c r="AB26" s="143"/>
      <c r="AC26" s="305"/>
      <c r="AD26" s="305"/>
      <c r="AE26" s="305"/>
    </row>
    <row r="27" spans="1:31">
      <c r="A27" s="178">
        <v>10</v>
      </c>
      <c r="B27" s="366" t="s">
        <v>455</v>
      </c>
      <c r="C27" s="124">
        <f>754215*1.2</f>
        <v>905058</v>
      </c>
      <c r="D27" s="124">
        <f>1.2*325048</f>
        <v>390057.6</v>
      </c>
      <c r="E27" s="357">
        <v>1</v>
      </c>
      <c r="F27" s="124">
        <f t="shared" si="1"/>
        <v>390057.6</v>
      </c>
      <c r="G27" s="143"/>
      <c r="H27" s="143"/>
      <c r="I27" s="143">
        <f>U27</f>
        <v>390057.6</v>
      </c>
      <c r="J27" s="143"/>
      <c r="K27" s="143"/>
      <c r="L27" s="143">
        <f t="shared" si="0"/>
        <v>390057.6</v>
      </c>
      <c r="M27" s="143"/>
      <c r="N27" s="143"/>
      <c r="O27" s="2331"/>
      <c r="P27" s="2331">
        <v>400257.6</v>
      </c>
      <c r="Q27" s="2339"/>
      <c r="R27" s="2331">
        <v>400257.6</v>
      </c>
      <c r="S27" s="143"/>
      <c r="T27" s="1508">
        <f t="shared" si="2"/>
        <v>0</v>
      </c>
      <c r="U27" s="124">
        <v>390057.6</v>
      </c>
      <c r="V27" s="190">
        <v>1</v>
      </c>
      <c r="W27" s="124">
        <f t="shared" si="3"/>
        <v>390057.6</v>
      </c>
      <c r="X27" s="143">
        <v>117017.27999999998</v>
      </c>
      <c r="Y27" s="143"/>
      <c r="Z27" s="143"/>
      <c r="AA27" s="143"/>
      <c r="AB27" s="143">
        <v>0</v>
      </c>
      <c r="AC27" s="305"/>
      <c r="AD27" s="305"/>
      <c r="AE27" s="305"/>
    </row>
    <row r="28" spans="1:31">
      <c r="A28" s="178">
        <v>11</v>
      </c>
      <c r="B28" s="366" t="s">
        <v>454</v>
      </c>
      <c r="C28" s="124">
        <f>754215*1.2</f>
        <v>905058</v>
      </c>
      <c r="D28" s="124">
        <f>(654465*1.2)</f>
        <v>785358</v>
      </c>
      <c r="E28" s="357">
        <v>1</v>
      </c>
      <c r="F28" s="124">
        <f t="shared" si="1"/>
        <v>785358</v>
      </c>
      <c r="G28" s="143"/>
      <c r="H28" s="143"/>
      <c r="I28" s="143"/>
      <c r="J28" s="143"/>
      <c r="K28" s="143"/>
      <c r="L28" s="143">
        <f t="shared" si="0"/>
        <v>0</v>
      </c>
      <c r="M28" s="143"/>
      <c r="N28" s="143"/>
      <c r="O28" s="143"/>
      <c r="P28" s="143"/>
      <c r="Q28" s="184"/>
      <c r="R28" s="143"/>
      <c r="S28" s="143"/>
      <c r="T28" s="1508">
        <f t="shared" si="2"/>
        <v>145358.39999999999</v>
      </c>
      <c r="U28" s="124">
        <v>145358.39999999999</v>
      </c>
      <c r="V28" s="190">
        <v>1</v>
      </c>
      <c r="W28" s="124">
        <f t="shared" si="3"/>
        <v>145358.39999999999</v>
      </c>
      <c r="X28" s="143"/>
      <c r="Y28" s="143"/>
      <c r="Z28" s="143"/>
      <c r="AA28" s="143"/>
      <c r="AB28" s="143">
        <v>0</v>
      </c>
      <c r="AC28" s="305"/>
      <c r="AD28" s="305"/>
      <c r="AE28" s="305"/>
    </row>
    <row r="29" spans="1:31">
      <c r="A29" s="178">
        <v>12</v>
      </c>
      <c r="B29" s="366" t="s">
        <v>453</v>
      </c>
      <c r="C29" s="124">
        <f>1.2*215490</f>
        <v>258588</v>
      </c>
      <c r="D29" s="124">
        <f>215490*1.2</f>
        <v>258588</v>
      </c>
      <c r="E29" s="357">
        <v>1</v>
      </c>
      <c r="F29" s="124">
        <f t="shared" si="1"/>
        <v>258588</v>
      </c>
      <c r="G29" s="124"/>
      <c r="H29" s="124"/>
      <c r="I29" s="191"/>
      <c r="J29" s="124"/>
      <c r="K29" s="124"/>
      <c r="L29" s="143">
        <f t="shared" si="0"/>
        <v>0</v>
      </c>
      <c r="M29" s="124"/>
      <c r="N29" s="124"/>
      <c r="O29" s="124"/>
      <c r="P29" s="143"/>
      <c r="Q29" s="184"/>
      <c r="R29" s="143"/>
      <c r="S29" s="143"/>
      <c r="T29" s="1508"/>
      <c r="U29" s="124"/>
      <c r="V29" s="190"/>
      <c r="W29" s="124">
        <f t="shared" si="3"/>
        <v>0</v>
      </c>
      <c r="X29" s="143"/>
      <c r="Y29" s="338"/>
      <c r="Z29" s="338"/>
      <c r="AA29" s="338"/>
      <c r="AB29" s="338"/>
      <c r="AC29" s="305"/>
      <c r="AD29" s="305"/>
      <c r="AE29" s="305"/>
    </row>
    <row r="30" spans="1:31">
      <c r="A30" s="178">
        <v>13</v>
      </c>
      <c r="B30" s="366" t="s">
        <v>712</v>
      </c>
      <c r="C30" s="124">
        <f>1.2*430980</f>
        <v>517176</v>
      </c>
      <c r="D30" s="124">
        <f>(293230*1.2)</f>
        <v>351876</v>
      </c>
      <c r="E30" s="357">
        <v>1</v>
      </c>
      <c r="F30" s="124">
        <f t="shared" si="1"/>
        <v>351876</v>
      </c>
      <c r="G30" s="124"/>
      <c r="H30" s="124"/>
      <c r="I30" s="191"/>
      <c r="J30" s="124"/>
      <c r="K30" s="124"/>
      <c r="L30" s="143">
        <f t="shared" si="0"/>
        <v>0</v>
      </c>
      <c r="M30" s="124"/>
      <c r="N30" s="124"/>
      <c r="O30" s="124"/>
      <c r="P30" s="124"/>
      <c r="Q30" s="184"/>
      <c r="R30" s="143"/>
      <c r="S30" s="143"/>
      <c r="T30" s="1508">
        <f t="shared" si="2"/>
        <v>351876</v>
      </c>
      <c r="U30" s="124">
        <v>351876</v>
      </c>
      <c r="V30" s="190">
        <v>1</v>
      </c>
      <c r="W30" s="124">
        <f t="shared" si="3"/>
        <v>351876</v>
      </c>
      <c r="X30" s="338"/>
      <c r="Y30" s="338"/>
      <c r="Z30" s="338"/>
      <c r="AA30" s="338"/>
      <c r="AB30" s="338"/>
      <c r="AC30" s="305"/>
      <c r="AD30" s="305"/>
      <c r="AE30" s="305"/>
    </row>
    <row r="31" spans="1:31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ref="L31:L43" si="4">+I31+J31-K31</f>
        <v>0</v>
      </c>
      <c r="M31" s="124"/>
      <c r="N31" s="124"/>
      <c r="O31" s="124"/>
      <c r="P31" s="124"/>
      <c r="Q31" s="184"/>
      <c r="R31" s="143"/>
      <c r="S31" s="143"/>
      <c r="T31" s="338"/>
      <c r="U31" s="124"/>
      <c r="V31" s="190"/>
      <c r="W31" s="124"/>
      <c r="X31" s="338"/>
      <c r="Y31" s="338"/>
      <c r="Z31" s="338"/>
      <c r="AA31" s="338"/>
      <c r="AB31" s="338"/>
      <c r="AC31" s="305"/>
      <c r="AD31" s="305"/>
      <c r="AE31" s="305"/>
    </row>
    <row r="32" spans="1:31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4"/>
        <v>0</v>
      </c>
      <c r="M32" s="124"/>
      <c r="N32" s="124"/>
      <c r="O32" s="124"/>
      <c r="P32" s="124"/>
      <c r="Q32" s="184"/>
      <c r="R32" s="143"/>
      <c r="S32" s="143"/>
      <c r="T32" s="338"/>
      <c r="U32" s="124"/>
      <c r="V32" s="190"/>
      <c r="W32" s="124"/>
      <c r="X32" s="338"/>
      <c r="Y32" s="338"/>
      <c r="Z32" s="338"/>
      <c r="AA32" s="338"/>
      <c r="AB32" s="338"/>
      <c r="AC32" s="305"/>
      <c r="AD32" s="305"/>
      <c r="AE32" s="305"/>
    </row>
    <row r="33" spans="1:31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4"/>
        <v>0</v>
      </c>
      <c r="M33" s="124"/>
      <c r="N33" s="124"/>
      <c r="O33" s="124"/>
      <c r="P33" s="124"/>
      <c r="Q33" s="184"/>
      <c r="R33" s="143"/>
      <c r="S33" s="143"/>
      <c r="T33" s="338"/>
      <c r="U33" s="124"/>
      <c r="V33" s="190"/>
      <c r="W33" s="124"/>
      <c r="X33" s="338"/>
      <c r="Y33" s="338"/>
      <c r="Z33" s="338"/>
      <c r="AA33" s="338"/>
      <c r="AB33" s="338"/>
      <c r="AC33" s="305"/>
      <c r="AD33" s="305"/>
      <c r="AE33" s="305"/>
    </row>
    <row r="34" spans="1:31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4"/>
        <v>0</v>
      </c>
      <c r="M34" s="124"/>
      <c r="N34" s="124"/>
      <c r="O34" s="124"/>
      <c r="P34" s="143"/>
      <c r="Q34" s="124"/>
      <c r="R34" s="143"/>
      <c r="S34" s="143"/>
      <c r="T34" s="338"/>
      <c r="U34" s="124"/>
      <c r="V34" s="356"/>
      <c r="W34" s="124"/>
      <c r="X34" s="338"/>
      <c r="Y34" s="338"/>
      <c r="Z34" s="338"/>
      <c r="AA34" s="338"/>
      <c r="AB34" s="338"/>
      <c r="AC34" s="305"/>
      <c r="AD34" s="305"/>
      <c r="AE34" s="305"/>
    </row>
    <row r="35" spans="1:31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4"/>
        <v>0</v>
      </c>
      <c r="M35" s="124"/>
      <c r="N35" s="124"/>
      <c r="O35" s="124"/>
      <c r="P35" s="143"/>
      <c r="Q35" s="124"/>
      <c r="R35" s="143"/>
      <c r="S35" s="143"/>
      <c r="T35" s="338"/>
      <c r="U35" s="124"/>
      <c r="V35" s="356"/>
      <c r="W35" s="124"/>
      <c r="X35" s="338"/>
      <c r="Y35" s="338"/>
      <c r="Z35" s="338"/>
      <c r="AA35" s="338"/>
      <c r="AB35" s="338"/>
      <c r="AC35" s="305"/>
      <c r="AD35" s="305"/>
      <c r="AE35" s="305"/>
    </row>
    <row r="36" spans="1:31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4"/>
        <v>0</v>
      </c>
      <c r="M36" s="124"/>
      <c r="N36" s="124"/>
      <c r="O36" s="124"/>
      <c r="P36" s="143"/>
      <c r="Q36" s="124"/>
      <c r="R36" s="143"/>
      <c r="S36" s="143"/>
      <c r="T36" s="338"/>
      <c r="U36" s="124"/>
      <c r="V36" s="356"/>
      <c r="W36" s="124"/>
      <c r="X36" s="338"/>
      <c r="Y36" s="338"/>
      <c r="Z36" s="338"/>
      <c r="AA36" s="338"/>
      <c r="AB36" s="338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4"/>
        <v>0</v>
      </c>
      <c r="M37" s="124"/>
      <c r="N37" s="124"/>
      <c r="O37" s="124"/>
      <c r="P37" s="143"/>
      <c r="Q37" s="124"/>
      <c r="R37" s="143"/>
      <c r="S37" s="143"/>
      <c r="T37" s="338"/>
      <c r="U37" s="124"/>
      <c r="V37" s="357"/>
      <c r="W37" s="124"/>
      <c r="X37" s="338"/>
      <c r="Y37" s="338"/>
      <c r="Z37" s="338"/>
      <c r="AA37" s="338"/>
      <c r="AB37" s="338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4"/>
        <v>0</v>
      </c>
      <c r="M38" s="124"/>
      <c r="N38" s="124"/>
      <c r="O38" s="124"/>
      <c r="P38" s="143"/>
      <c r="Q38" s="124"/>
      <c r="R38" s="143"/>
      <c r="S38" s="143"/>
      <c r="T38" s="338"/>
      <c r="U38" s="124"/>
      <c r="V38" s="357"/>
      <c r="W38" s="124"/>
      <c r="X38" s="338"/>
      <c r="Y38" s="338"/>
      <c r="Z38" s="338"/>
      <c r="AA38" s="338"/>
      <c r="AB38" s="338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4"/>
        <v>0</v>
      </c>
      <c r="M39" s="124"/>
      <c r="N39" s="124"/>
      <c r="O39" s="124"/>
      <c r="P39" s="143"/>
      <c r="Q39" s="124"/>
      <c r="R39" s="143"/>
      <c r="S39" s="143"/>
      <c r="T39" s="338"/>
      <c r="U39" s="124"/>
      <c r="V39" s="357"/>
      <c r="W39" s="124"/>
      <c r="X39" s="338"/>
      <c r="Y39" s="338"/>
      <c r="Z39" s="338"/>
      <c r="AA39" s="338"/>
      <c r="AB39" s="338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4"/>
        <v>0</v>
      </c>
      <c r="M40" s="124"/>
      <c r="N40" s="124"/>
      <c r="O40" s="124"/>
      <c r="P40" s="143"/>
      <c r="Q40" s="124"/>
      <c r="R40" s="143"/>
      <c r="S40" s="143"/>
      <c r="T40" s="338"/>
      <c r="U40" s="124"/>
      <c r="V40" s="357"/>
      <c r="W40" s="124"/>
      <c r="X40" s="338"/>
      <c r="Y40" s="338"/>
      <c r="Z40" s="338"/>
      <c r="AA40" s="338"/>
      <c r="AB40" s="338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4"/>
        <v>0</v>
      </c>
      <c r="M41" s="124"/>
      <c r="N41" s="124"/>
      <c r="O41" s="124"/>
      <c r="P41" s="143"/>
      <c r="Q41" s="124"/>
      <c r="R41" s="143"/>
      <c r="S41" s="143"/>
      <c r="T41" s="338"/>
      <c r="U41" s="124"/>
      <c r="V41" s="357"/>
      <c r="W41" s="124"/>
      <c r="X41" s="338"/>
      <c r="Y41" s="338"/>
      <c r="Z41" s="338"/>
      <c r="AA41" s="338"/>
      <c r="AB41" s="338"/>
      <c r="AC41" s="305"/>
      <c r="AD41" s="305"/>
      <c r="AE41" s="305"/>
    </row>
    <row r="42" spans="1:31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4"/>
        <v>0</v>
      </c>
      <c r="M42" s="124"/>
      <c r="N42" s="124"/>
      <c r="O42" s="124"/>
      <c r="P42" s="143"/>
      <c r="Q42" s="124"/>
      <c r="R42" s="143"/>
      <c r="S42" s="143"/>
      <c r="T42" s="338"/>
      <c r="U42" s="124"/>
      <c r="V42" s="357"/>
      <c r="W42" s="124"/>
      <c r="X42" s="338"/>
      <c r="Y42" s="338"/>
      <c r="Z42" s="338"/>
      <c r="AA42" s="338"/>
      <c r="AB42" s="338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4"/>
        <v>0</v>
      </c>
      <c r="M43" s="124"/>
      <c r="N43" s="124"/>
      <c r="O43" s="124"/>
      <c r="P43" s="143"/>
      <c r="Q43" s="124"/>
      <c r="R43" s="143"/>
      <c r="S43" s="143"/>
      <c r="T43" s="338"/>
      <c r="U43" s="124"/>
      <c r="V43" s="357"/>
      <c r="W43" s="124"/>
      <c r="X43" s="338"/>
      <c r="Y43" s="338"/>
      <c r="Z43" s="338"/>
      <c r="AA43" s="338"/>
      <c r="AB43" s="338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338"/>
      <c r="U44" s="124"/>
      <c r="V44" s="357"/>
      <c r="W44" s="124"/>
      <c r="X44" s="338"/>
      <c r="Y44" s="338"/>
      <c r="Z44" s="338"/>
      <c r="AA44" s="338"/>
      <c r="AB44" s="338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5">+I46+J46-K46</f>
        <v>0</v>
      </c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5"/>
        <v>0</v>
      </c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  <c r="AC47" s="305"/>
      <c r="AD47" s="305"/>
      <c r="AE47" s="305"/>
    </row>
    <row r="48" spans="1:31" ht="15.75">
      <c r="A48" s="364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5"/>
        <v>0</v>
      </c>
      <c r="M48" s="124"/>
      <c r="N48" s="124"/>
      <c r="O48" s="124"/>
      <c r="P48" s="143"/>
      <c r="Q48" s="124"/>
      <c r="R48" s="143"/>
      <c r="S48" s="143"/>
      <c r="T48" s="338"/>
      <c r="U48" s="124"/>
      <c r="V48" s="190"/>
      <c r="W48" s="124"/>
      <c r="X48" s="338"/>
      <c r="Y48" s="338"/>
      <c r="Z48" s="338"/>
      <c r="AA48" s="338"/>
      <c r="AB48" s="338"/>
      <c r="AC48" s="305"/>
      <c r="AD48" s="305"/>
      <c r="AE48" s="305"/>
    </row>
    <row r="49" spans="1:31">
      <c r="A49" s="178"/>
      <c r="B49" s="365"/>
      <c r="C49" s="124"/>
      <c r="D49" s="124"/>
      <c r="E49" s="190"/>
      <c r="F49" s="124"/>
      <c r="G49" s="188"/>
      <c r="H49" s="188"/>
      <c r="I49" s="188"/>
      <c r="J49" s="188"/>
      <c r="K49" s="188"/>
      <c r="L49" s="143">
        <f t="shared" si="5"/>
        <v>0</v>
      </c>
      <c r="M49" s="188"/>
      <c r="N49" s="188"/>
      <c r="O49" s="188"/>
      <c r="P49" s="143">
        <f>O49*D49</f>
        <v>0</v>
      </c>
      <c r="Q49" s="188"/>
      <c r="R49" s="143">
        <f>Q49*D49</f>
        <v>0</v>
      </c>
      <c r="S49" s="143">
        <f>+P49-R49</f>
        <v>0</v>
      </c>
      <c r="T49" s="338"/>
      <c r="U49" s="124"/>
      <c r="V49" s="190"/>
      <c r="W49" s="124"/>
      <c r="X49" s="338">
        <f>+N49-W49</f>
        <v>0</v>
      </c>
      <c r="Y49" s="338"/>
      <c r="Z49" s="338"/>
      <c r="AA49" s="338"/>
      <c r="AB49" s="338"/>
      <c r="AC49" s="305"/>
      <c r="AD49" s="305"/>
      <c r="AE49" s="305"/>
    </row>
    <row r="50" spans="1:31">
      <c r="A50" s="178"/>
      <c r="B50" s="366"/>
      <c r="C50" s="124"/>
      <c r="D50" s="124"/>
      <c r="E50" s="190"/>
      <c r="F50" s="124"/>
      <c r="G50" s="188"/>
      <c r="H50" s="188"/>
      <c r="I50" s="188"/>
      <c r="J50" s="188"/>
      <c r="K50" s="188"/>
      <c r="L50" s="143">
        <f t="shared" si="5"/>
        <v>0</v>
      </c>
      <c r="M50" s="188"/>
      <c r="N50" s="188"/>
      <c r="O50" s="188"/>
      <c r="P50" s="143"/>
      <c r="Q50" s="188"/>
      <c r="R50" s="143"/>
      <c r="S50" s="143"/>
      <c r="T50" s="338"/>
      <c r="U50" s="124"/>
      <c r="V50" s="190"/>
      <c r="W50" s="124"/>
      <c r="X50" s="338"/>
      <c r="Y50" s="338"/>
      <c r="Z50" s="338"/>
      <c r="AA50" s="338"/>
      <c r="AB50" s="338"/>
      <c r="AC50" s="305"/>
      <c r="AD50" s="305"/>
      <c r="AE50" s="305"/>
    </row>
    <row r="51" spans="1:31">
      <c r="A51" s="178"/>
      <c r="B51" s="367"/>
      <c r="C51" s="305"/>
      <c r="D51" s="368"/>
      <c r="E51" s="369"/>
      <c r="F51" s="305"/>
      <c r="G51" s="188"/>
      <c r="H51" s="188"/>
      <c r="I51" s="188"/>
      <c r="J51" s="188"/>
      <c r="K51" s="188"/>
      <c r="L51" s="143">
        <f t="shared" si="5"/>
        <v>0</v>
      </c>
      <c r="M51" s="188"/>
      <c r="N51" s="188"/>
      <c r="O51" s="188"/>
      <c r="P51" s="143"/>
      <c r="Q51" s="188"/>
      <c r="R51" s="143"/>
      <c r="S51" s="143"/>
      <c r="T51" s="338"/>
      <c r="U51" s="368"/>
      <c r="V51" s="369"/>
      <c r="W51" s="305"/>
      <c r="X51" s="338"/>
      <c r="Y51" s="338"/>
      <c r="Z51" s="338"/>
      <c r="AA51" s="338"/>
      <c r="AB51" s="338"/>
      <c r="AC51" s="305"/>
      <c r="AD51" s="305"/>
      <c r="AE51" s="305"/>
    </row>
    <row r="52" spans="1:31">
      <c r="A52" s="178"/>
      <c r="B52" s="168"/>
      <c r="C52" s="124"/>
      <c r="D52" s="124"/>
      <c r="E52" s="190"/>
      <c r="F52" s="124"/>
      <c r="G52" s="188"/>
      <c r="H52" s="188"/>
      <c r="I52" s="188"/>
      <c r="J52" s="188"/>
      <c r="K52" s="188"/>
      <c r="L52" s="143">
        <f t="shared" si="5"/>
        <v>0</v>
      </c>
      <c r="M52" s="188"/>
      <c r="N52" s="188"/>
      <c r="O52" s="188"/>
      <c r="P52" s="143"/>
      <c r="Q52" s="188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  <c r="AC52" s="305"/>
      <c r="AD52" s="305"/>
      <c r="AE52" s="305"/>
    </row>
    <row r="53" spans="1:31">
      <c r="A53" s="370"/>
      <c r="B53" s="189" t="s">
        <v>768</v>
      </c>
      <c r="C53" s="124"/>
      <c r="D53" s="124"/>
      <c r="E53" s="190"/>
      <c r="F53" s="124"/>
      <c r="G53" s="188"/>
      <c r="H53" s="188"/>
      <c r="I53" s="188"/>
      <c r="J53" s="188"/>
      <c r="K53" s="188"/>
      <c r="L53" s="143"/>
      <c r="M53" s="188"/>
      <c r="N53" s="188"/>
      <c r="O53" s="188"/>
      <c r="P53" s="143"/>
      <c r="Q53" s="188"/>
      <c r="R53" s="143">
        <v>389122</v>
      </c>
      <c r="T53" s="338"/>
      <c r="U53" s="124"/>
      <c r="V53" s="190"/>
      <c r="W53" s="124"/>
      <c r="X53" s="338"/>
      <c r="Y53" s="338"/>
      <c r="Z53" s="338"/>
      <c r="AA53" s="338"/>
      <c r="AB53" s="338"/>
      <c r="AC53" s="305"/>
      <c r="AD53" s="305"/>
      <c r="AE53" s="305"/>
    </row>
    <row r="54" spans="1:31">
      <c r="A54" s="370"/>
      <c r="B54" s="371"/>
      <c r="C54" s="124"/>
      <c r="D54" s="124"/>
      <c r="E54" s="190"/>
      <c r="F54" s="124"/>
      <c r="G54" s="188"/>
      <c r="H54" s="188"/>
      <c r="I54" s="188"/>
      <c r="J54" s="188"/>
      <c r="K54" s="188"/>
      <c r="L54" s="143">
        <f>+I54+J54-K54</f>
        <v>0</v>
      </c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  <c r="AC54" s="305"/>
      <c r="AD54" s="305"/>
      <c r="AE54" s="305"/>
    </row>
    <row r="55" spans="1:31">
      <c r="A55" s="178"/>
      <c r="B55" s="142"/>
      <c r="C55" s="124"/>
      <c r="D55" s="124"/>
      <c r="E55" s="190"/>
      <c r="F55" s="124"/>
      <c r="G55" s="188"/>
      <c r="H55" s="188"/>
      <c r="I55" s="188"/>
      <c r="J55" s="188"/>
      <c r="K55" s="188"/>
      <c r="L55" s="143">
        <f>+I55+J55-K55</f>
        <v>0</v>
      </c>
      <c r="M55" s="188"/>
      <c r="N55" s="188"/>
      <c r="O55" s="188"/>
      <c r="P55" s="143"/>
      <c r="Q55" s="188"/>
      <c r="R55" s="143"/>
      <c r="S55" s="143"/>
      <c r="T55" s="338"/>
      <c r="U55" s="124"/>
      <c r="V55" s="190"/>
      <c r="W55" s="124"/>
      <c r="X55" s="338"/>
      <c r="Y55" s="338"/>
      <c r="Z55" s="338"/>
      <c r="AA55" s="338"/>
      <c r="AB55" s="338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>
        <f>+I56+J56-K56</f>
        <v>0</v>
      </c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>
        <f>U56*V56</f>
        <v>0</v>
      </c>
      <c r="X56" s="338"/>
      <c r="Y56" s="338"/>
      <c r="Z56" s="338"/>
      <c r="AA56" s="338"/>
      <c r="AB56" s="338"/>
      <c r="AC56" s="305"/>
      <c r="AD56" s="305"/>
      <c r="AE56" s="305"/>
    </row>
    <row r="57" spans="1:31">
      <c r="A57" s="339" t="s">
        <v>97</v>
      </c>
      <c r="B57" s="340" t="s">
        <v>17</v>
      </c>
      <c r="C57" s="372">
        <f>SUM(C14:C56)</f>
        <v>7836000</v>
      </c>
      <c r="D57" s="372"/>
      <c r="E57" s="373"/>
      <c r="F57" s="372">
        <f>SUM(F14:F56)</f>
        <v>5400000</v>
      </c>
      <c r="G57" s="372">
        <f t="shared" ref="G57:N57" si="6">SUM(G15:G56)</f>
        <v>0</v>
      </c>
      <c r="H57" s="372">
        <f t="shared" si="6"/>
        <v>0</v>
      </c>
      <c r="I57" s="372">
        <f t="shared" si="6"/>
        <v>1212534</v>
      </c>
      <c r="J57" s="372">
        <f t="shared" si="6"/>
        <v>0</v>
      </c>
      <c r="K57" s="372">
        <f t="shared" si="6"/>
        <v>0</v>
      </c>
      <c r="L57" s="372">
        <f t="shared" si="6"/>
        <v>1212534</v>
      </c>
      <c r="M57" s="372">
        <f t="shared" si="6"/>
        <v>0</v>
      </c>
      <c r="N57" s="372">
        <f t="shared" si="6"/>
        <v>0</v>
      </c>
      <c r="O57" s="372"/>
      <c r="P57" s="372">
        <f>SUM(P15:P56)</f>
        <v>1243134</v>
      </c>
      <c r="Q57" s="372"/>
      <c r="R57" s="372">
        <f>SUM(R15:R56)</f>
        <v>1632256</v>
      </c>
      <c r="S57" s="372">
        <f>SUM(S15:S56)</f>
        <v>0</v>
      </c>
      <c r="T57" s="374">
        <f>W57-L57</f>
        <v>1491702</v>
      </c>
      <c r="U57" s="372"/>
      <c r="V57" s="372"/>
      <c r="W57" s="372">
        <f t="shared" ref="W57:AB57" si="7">SUM(W15:W56)</f>
        <v>2704236</v>
      </c>
      <c r="X57" s="372">
        <f t="shared" si="7"/>
        <v>315400.32000000001</v>
      </c>
      <c r="Y57" s="372">
        <f t="shared" si="7"/>
        <v>0</v>
      </c>
      <c r="Z57" s="372">
        <f>SUM(Z15:Z56)</f>
        <v>42360</v>
      </c>
      <c r="AA57" s="372">
        <f t="shared" si="7"/>
        <v>0</v>
      </c>
      <c r="AB57" s="372">
        <f t="shared" si="7"/>
        <v>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AC61" s="305"/>
      <c r="AD61" s="305"/>
      <c r="AE61" s="305"/>
    </row>
    <row r="62" spans="1:31">
      <c r="C62" s="654"/>
      <c r="R62" s="304"/>
      <c r="AC62" s="305"/>
      <c r="AD62" s="305"/>
      <c r="AE62" s="305"/>
    </row>
    <row r="63" spans="1:31">
      <c r="A63" s="304" t="s">
        <v>59</v>
      </c>
      <c r="F63" s="343"/>
      <c r="W63" s="343"/>
      <c r="AC63" s="305"/>
      <c r="AD63" s="305"/>
      <c r="AE63" s="305"/>
    </row>
    <row r="75" spans="2:2" s="305" customFormat="1">
      <c r="B75" s="304" t="s">
        <v>126</v>
      </c>
    </row>
  </sheetData>
  <mergeCells count="6">
    <mergeCell ref="AB8:AB12"/>
    <mergeCell ref="E1:F1"/>
    <mergeCell ref="X8:X12"/>
    <mergeCell ref="Y8:Y12"/>
    <mergeCell ref="Z8:Z12"/>
    <mergeCell ref="AA8:AA12"/>
  </mergeCells>
  <conditionalFormatting sqref="U8:W9 X8:AB12">
    <cfRule type="cellIs" dxfId="59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56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5">
    <pageSetUpPr fitToPage="1"/>
  </sheetPr>
  <dimension ref="A1:CC68"/>
  <sheetViews>
    <sheetView showGridLines="0" showZeros="0" view="pageBreakPreview" zoomScaleNormal="100" workbookViewId="0">
      <selection activeCell="E81" sqref="E81:P81"/>
    </sheetView>
  </sheetViews>
  <sheetFormatPr baseColWidth="10" defaultRowHeight="12.75"/>
  <cols>
    <col min="1" max="1" width="10.25" style="582" customWidth="1"/>
    <col min="2" max="2" width="35.375" style="582" customWidth="1"/>
    <col min="3" max="3" width="10.125" style="582" customWidth="1"/>
    <col min="4" max="4" width="10.375" style="582" customWidth="1"/>
    <col min="5" max="5" width="2.5" style="582" bestFit="1" customWidth="1"/>
    <col min="6" max="9" width="10.25" style="582" customWidth="1"/>
    <col min="10" max="10" width="12" style="582" customWidth="1"/>
    <col min="11" max="11" width="10.25" style="582" customWidth="1"/>
    <col min="12" max="12" width="9" style="582" customWidth="1"/>
    <col min="13" max="13" width="9.75" style="582" customWidth="1"/>
    <col min="14" max="14" width="8.75" style="582" customWidth="1"/>
    <col min="15" max="15" width="6.5" style="582" customWidth="1"/>
    <col min="16" max="16" width="11" style="582"/>
    <col min="17" max="17" width="5.875" style="583" customWidth="1"/>
    <col min="18" max="19" width="11" style="583"/>
    <col min="20" max="20" width="10.875" style="583" customWidth="1"/>
    <col min="21" max="21" width="9" style="582" customWidth="1"/>
    <col min="22" max="22" width="4.875" style="582" customWidth="1"/>
    <col min="23" max="23" width="10.25" style="582" customWidth="1"/>
    <col min="24" max="28" width="10.875" style="583" customWidth="1"/>
    <col min="29" max="30" width="11" style="583"/>
    <col min="31" max="16384" width="11" style="584"/>
  </cols>
  <sheetData>
    <row r="1" spans="1:81" customFormat="1" ht="24" customHeight="1">
      <c r="A1" s="241" t="s">
        <v>57</v>
      </c>
      <c r="B1" s="579"/>
      <c r="C1" s="2284"/>
      <c r="D1" s="652"/>
      <c r="E1" s="2398">
        <v>42369</v>
      </c>
      <c r="F1" s="2398"/>
      <c r="G1" s="2284"/>
      <c r="H1" s="2284"/>
      <c r="I1" s="2284"/>
      <c r="J1" s="2284"/>
      <c r="K1" s="2284"/>
      <c r="L1" s="2284"/>
      <c r="M1" s="2284"/>
      <c r="N1" s="2284"/>
      <c r="O1" s="2284"/>
      <c r="P1" s="2284"/>
      <c r="Q1" s="2284"/>
      <c r="R1" s="2284"/>
      <c r="S1" s="2285"/>
      <c r="T1" s="2285"/>
      <c r="U1" s="2284"/>
      <c r="V1" s="2284"/>
      <c r="W1" s="2284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M1" s="212"/>
      <c r="AN1" s="212"/>
      <c r="AO1" s="212"/>
      <c r="AP1" s="212"/>
      <c r="AQ1" s="212"/>
      <c r="AR1" s="212"/>
      <c r="AS1" s="212"/>
      <c r="AT1" s="212"/>
      <c r="AU1" s="212"/>
      <c r="AV1" s="1"/>
      <c r="AW1" s="212"/>
      <c r="AX1" s="212"/>
      <c r="AY1" s="212"/>
      <c r="AZ1" s="212"/>
      <c r="BA1" s="212"/>
      <c r="BB1" s="1"/>
      <c r="BC1" s="212"/>
      <c r="BD1" s="212"/>
      <c r="BE1" s="212"/>
      <c r="BF1" s="212"/>
      <c r="BG1" s="212"/>
      <c r="BH1" s="1"/>
      <c r="BI1" s="212"/>
      <c r="BJ1" s="212"/>
      <c r="BK1" s="212"/>
      <c r="BL1" s="212"/>
      <c r="BM1" s="212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1">
      <c r="A2" s="1437" t="s">
        <v>49</v>
      </c>
      <c r="B2" s="65" t="s">
        <v>441</v>
      </c>
      <c r="C2" s="65"/>
      <c r="D2" s="65"/>
      <c r="E2" s="65"/>
      <c r="F2" s="65"/>
      <c r="G2" s="65"/>
      <c r="H2" s="581"/>
      <c r="I2" s="581"/>
      <c r="Q2" s="582"/>
      <c r="R2" s="582"/>
    </row>
    <row r="3" spans="1:81">
      <c r="A3" s="1438" t="s">
        <v>60</v>
      </c>
      <c r="B3" s="1438" t="s">
        <v>50</v>
      </c>
      <c r="C3" s="65" t="s">
        <v>66</v>
      </c>
      <c r="D3" s="65" t="s">
        <v>52</v>
      </c>
      <c r="E3" s="65"/>
      <c r="F3" s="65" t="s">
        <v>84</v>
      </c>
      <c r="G3" s="2286" t="s">
        <v>396</v>
      </c>
      <c r="H3" s="65"/>
      <c r="I3" s="586"/>
      <c r="J3" s="586"/>
      <c r="K3" s="586"/>
      <c r="L3" s="586"/>
      <c r="M3" s="586"/>
      <c r="N3" s="586"/>
      <c r="O3" s="586"/>
      <c r="P3" s="586"/>
      <c r="Q3" s="586"/>
      <c r="R3" s="586"/>
      <c r="S3" s="587"/>
      <c r="T3" s="587"/>
      <c r="U3" s="585"/>
      <c r="V3" s="586"/>
      <c r="W3" s="586"/>
      <c r="X3" s="587"/>
      <c r="Y3" s="587"/>
      <c r="Z3" s="587"/>
      <c r="AA3" s="587"/>
      <c r="AB3" s="587"/>
    </row>
    <row r="4" spans="1:81">
      <c r="A4" s="1487" t="s">
        <v>61</v>
      </c>
      <c r="B4" s="581" t="s">
        <v>380</v>
      </c>
      <c r="C4" s="216" t="s">
        <v>81</v>
      </c>
      <c r="D4" s="2287" t="s">
        <v>144</v>
      </c>
      <c r="E4" s="2287"/>
      <c r="F4" s="2286"/>
      <c r="G4" s="2286"/>
      <c r="H4" s="2286"/>
      <c r="I4" s="580"/>
      <c r="J4" s="580"/>
      <c r="K4" s="580"/>
      <c r="L4" s="580"/>
      <c r="M4" s="580"/>
      <c r="N4" s="580"/>
      <c r="O4" s="586"/>
      <c r="P4" s="580"/>
      <c r="Q4" s="586"/>
      <c r="R4" s="586"/>
      <c r="S4" s="587"/>
      <c r="T4" s="587"/>
      <c r="U4" s="586"/>
      <c r="V4" s="586"/>
      <c r="W4" s="580"/>
      <c r="X4" s="587"/>
      <c r="Y4" s="587"/>
      <c r="Z4" s="587"/>
      <c r="AA4" s="587"/>
      <c r="AB4" s="587"/>
    </row>
    <row r="5" spans="1:81">
      <c r="A5" s="1439" t="s">
        <v>62</v>
      </c>
      <c r="B5" s="590">
        <v>201400193</v>
      </c>
      <c r="C5" s="1440"/>
      <c r="D5" s="1440"/>
      <c r="E5" s="1440"/>
      <c r="F5" s="1437"/>
      <c r="G5" s="1437"/>
      <c r="H5" s="1441"/>
      <c r="J5" s="580"/>
      <c r="K5" s="584"/>
      <c r="L5" s="580"/>
      <c r="M5" s="580"/>
      <c r="N5" s="580"/>
      <c r="O5" s="586"/>
      <c r="P5" s="580"/>
      <c r="Q5" s="586"/>
      <c r="R5" s="586"/>
      <c r="S5" s="580"/>
      <c r="T5" s="587"/>
      <c r="U5" s="586"/>
      <c r="V5" s="586"/>
      <c r="W5" s="580"/>
      <c r="X5" s="587"/>
      <c r="Y5" s="587"/>
      <c r="Z5" s="587"/>
      <c r="AA5" s="587"/>
      <c r="AB5" s="587"/>
    </row>
    <row r="6" spans="1:81" ht="15.75">
      <c r="A6" s="1439" t="s">
        <v>51</v>
      </c>
      <c r="B6" s="74" t="s">
        <v>427</v>
      </c>
      <c r="C6" s="1440"/>
      <c r="D6" s="2408"/>
      <c r="E6" s="2408"/>
      <c r="F6" s="1437"/>
      <c r="G6" s="1437"/>
      <c r="H6" s="1442"/>
      <c r="I6" s="592"/>
      <c r="J6" s="593"/>
      <c r="K6" s="588"/>
      <c r="L6" s="588"/>
      <c r="M6" s="587"/>
      <c r="N6" s="583"/>
      <c r="O6" s="583"/>
      <c r="P6" s="583"/>
      <c r="Q6" s="587"/>
      <c r="R6" s="586"/>
      <c r="S6" s="587"/>
      <c r="T6" s="587"/>
      <c r="U6" s="586"/>
      <c r="V6" s="586"/>
      <c r="W6" s="580"/>
      <c r="X6" s="587"/>
      <c r="Y6" s="587"/>
      <c r="Z6" s="587"/>
      <c r="AA6" s="587"/>
      <c r="AB6" s="587"/>
    </row>
    <row r="7" spans="1:81">
      <c r="A7" s="589"/>
      <c r="B7" s="594"/>
      <c r="C7" s="586"/>
      <c r="D7" s="586"/>
      <c r="E7" s="586"/>
      <c r="F7" s="580"/>
      <c r="G7" s="580"/>
      <c r="H7" s="591"/>
      <c r="I7" s="592"/>
      <c r="J7" s="593"/>
      <c r="K7" s="588"/>
      <c r="L7" s="588"/>
      <c r="M7" s="587"/>
      <c r="N7" s="583"/>
      <c r="O7" s="583"/>
      <c r="P7" s="583"/>
      <c r="Q7" s="587"/>
      <c r="R7" s="586"/>
      <c r="S7" s="587"/>
      <c r="T7" s="587"/>
      <c r="U7" s="586"/>
      <c r="V7" s="586"/>
      <c r="W7" s="580"/>
      <c r="X7" s="587"/>
      <c r="Y7" s="587"/>
      <c r="Z7" s="587"/>
      <c r="AA7" s="587"/>
      <c r="AB7" s="587"/>
    </row>
    <row r="8" spans="1:81" s="596" customFormat="1" ht="16.5" customHeight="1">
      <c r="A8" s="1443" t="s">
        <v>0</v>
      </c>
      <c r="B8" s="1443" t="s">
        <v>1</v>
      </c>
      <c r="C8" s="1444" t="s">
        <v>2</v>
      </c>
      <c r="D8" s="1445" t="s">
        <v>3</v>
      </c>
      <c r="E8" s="1446"/>
      <c r="F8" s="1447"/>
      <c r="G8" s="1448" t="s">
        <v>4</v>
      </c>
      <c r="H8" s="1449"/>
      <c r="I8" s="1448" t="s">
        <v>5</v>
      </c>
      <c r="J8" s="1449"/>
      <c r="K8" s="1450" t="s">
        <v>6</v>
      </c>
      <c r="L8" s="1450"/>
      <c r="M8" s="1450"/>
      <c r="N8" s="1450"/>
      <c r="O8" s="1446" t="s">
        <v>7</v>
      </c>
      <c r="P8" s="1447"/>
      <c r="Q8" s="1446" t="s">
        <v>8</v>
      </c>
      <c r="R8" s="1447"/>
      <c r="S8" s="1451"/>
      <c r="T8" s="1452"/>
      <c r="U8" s="1453" t="s">
        <v>82</v>
      </c>
      <c r="V8" s="1454"/>
      <c r="W8" s="1455"/>
      <c r="X8" s="2409" t="str">
        <f>"Production cumulée au 31/12/"&amp;(YEAR($E$1)-1)</f>
        <v>Production cumulée au 31/12/2014</v>
      </c>
      <c r="Y8" s="2409" t="str">
        <f>"sous traitance cumulée au 31/12/"&amp;(YEAR($E$1)-1)</f>
        <v>sous traitance cumulée au 31/12/2014</v>
      </c>
      <c r="Z8" s="2409" t="str">
        <f>"Facturation cumulée au 31/12/"&amp;(YEAR($E$1)-1)</f>
        <v>Facturation cumulée au 31/12/2014</v>
      </c>
      <c r="AA8" s="2409" t="str">
        <f>"Encaissement cumulé au 31/12/"&amp;(YEAR($E$1)-1)</f>
        <v>Encaissement cumulé au 31/12/2014</v>
      </c>
      <c r="AB8" s="2409" t="s">
        <v>64</v>
      </c>
      <c r="AC8" s="595"/>
      <c r="AD8" s="595"/>
    </row>
    <row r="9" spans="1:81" s="596" customFormat="1" ht="10.5">
      <c r="A9" s="1456" t="s">
        <v>9</v>
      </c>
      <c r="B9" s="1457"/>
      <c r="C9" s="1458"/>
      <c r="D9" s="1459"/>
      <c r="E9" s="1460"/>
      <c r="F9" s="1461"/>
      <c r="G9" s="1462"/>
      <c r="H9" s="1463"/>
      <c r="I9" s="1462" t="s">
        <v>10</v>
      </c>
      <c r="J9" s="1462"/>
      <c r="K9" s="1464" t="s">
        <v>11</v>
      </c>
      <c r="L9" s="1464"/>
      <c r="M9" s="1464"/>
      <c r="N9" s="1464" t="s">
        <v>12</v>
      </c>
      <c r="O9" s="1460"/>
      <c r="P9" s="1461"/>
      <c r="Q9" s="1460"/>
      <c r="R9" s="1465"/>
      <c r="S9" s="1466" t="s">
        <v>13</v>
      </c>
      <c r="T9" s="1467" t="s">
        <v>14</v>
      </c>
      <c r="U9" s="601"/>
      <c r="V9" s="602"/>
      <c r="W9" s="603"/>
      <c r="X9" s="2410"/>
      <c r="Y9" s="2410"/>
      <c r="Z9" s="2410"/>
      <c r="AA9" s="2410"/>
      <c r="AB9" s="2410"/>
      <c r="AC9" s="595"/>
      <c r="AD9" s="595"/>
    </row>
    <row r="10" spans="1:81" s="596" customFormat="1" ht="8.25" customHeight="1">
      <c r="A10" s="1457"/>
      <c r="B10" s="1457"/>
      <c r="C10" s="1458"/>
      <c r="D10" s="1468" t="s">
        <v>15</v>
      </c>
      <c r="E10" s="1468" t="s">
        <v>16</v>
      </c>
      <c r="F10" s="1450" t="s">
        <v>17</v>
      </c>
      <c r="G10" s="1462"/>
      <c r="H10" s="1463"/>
      <c r="I10" s="1462"/>
      <c r="J10" s="1462"/>
      <c r="K10" s="1469" t="s">
        <v>18</v>
      </c>
      <c r="L10" s="1469" t="s">
        <v>17</v>
      </c>
      <c r="M10" s="1469" t="s">
        <v>19</v>
      </c>
      <c r="N10" s="1469" t="s">
        <v>20</v>
      </c>
      <c r="O10" s="1468" t="s">
        <v>16</v>
      </c>
      <c r="P10" s="1450" t="s">
        <v>17</v>
      </c>
      <c r="Q10" s="1468" t="s">
        <v>16</v>
      </c>
      <c r="R10" s="1450" t="s">
        <v>17</v>
      </c>
      <c r="S10" s="1466" t="s">
        <v>21</v>
      </c>
      <c r="T10" s="1467" t="s">
        <v>22</v>
      </c>
      <c r="U10" s="1468" t="s">
        <v>15</v>
      </c>
      <c r="V10" s="1468" t="s">
        <v>16</v>
      </c>
      <c r="W10" s="1450" t="s">
        <v>17</v>
      </c>
      <c r="X10" s="2410"/>
      <c r="Y10" s="2410"/>
      <c r="Z10" s="2410"/>
      <c r="AA10" s="2410"/>
      <c r="AB10" s="2410"/>
      <c r="AC10" s="595"/>
      <c r="AD10" s="595"/>
    </row>
    <row r="11" spans="1:81" s="596" customFormat="1" ht="8.25" customHeight="1">
      <c r="A11" s="1457"/>
      <c r="B11" s="1457"/>
      <c r="C11" s="1458"/>
      <c r="D11" s="1466" t="s">
        <v>23</v>
      </c>
      <c r="E11" s="1466"/>
      <c r="F11" s="1464" t="s">
        <v>23</v>
      </c>
      <c r="G11" s="1450" t="s">
        <v>24</v>
      </c>
      <c r="H11" s="1450" t="s">
        <v>25</v>
      </c>
      <c r="I11" s="1450" t="s">
        <v>26</v>
      </c>
      <c r="J11" s="1450" t="s">
        <v>27</v>
      </c>
      <c r="K11" s="1464" t="s">
        <v>28</v>
      </c>
      <c r="L11" s="1464" t="s">
        <v>29</v>
      </c>
      <c r="M11" s="1464" t="s">
        <v>30</v>
      </c>
      <c r="N11" s="1464" t="s">
        <v>31</v>
      </c>
      <c r="O11" s="1466"/>
      <c r="P11" s="1464" t="s">
        <v>23</v>
      </c>
      <c r="Q11" s="1466"/>
      <c r="R11" s="1464" t="s">
        <v>23</v>
      </c>
      <c r="S11" s="1458"/>
      <c r="T11" s="1467" t="s">
        <v>32</v>
      </c>
      <c r="U11" s="1466" t="s">
        <v>23</v>
      </c>
      <c r="V11" s="1466"/>
      <c r="W11" s="1464" t="s">
        <v>23</v>
      </c>
      <c r="X11" s="2410"/>
      <c r="Y11" s="2410"/>
      <c r="Z11" s="2410"/>
      <c r="AA11" s="2410"/>
      <c r="AB11" s="2410"/>
      <c r="AC11" s="595"/>
      <c r="AD11" s="595"/>
    </row>
    <row r="12" spans="1:81">
      <c r="A12" s="1457"/>
      <c r="B12" s="1457"/>
      <c r="C12" s="1458"/>
      <c r="D12" s="1458"/>
      <c r="E12" s="1458"/>
      <c r="F12" s="1470"/>
      <c r="G12" s="1470"/>
      <c r="H12" s="1470"/>
      <c r="I12" s="1470"/>
      <c r="J12" s="1464" t="s">
        <v>33</v>
      </c>
      <c r="K12" s="1464" t="s">
        <v>34</v>
      </c>
      <c r="L12" s="1464"/>
      <c r="M12" s="1464"/>
      <c r="N12" s="1464"/>
      <c r="O12" s="1458"/>
      <c r="P12" s="1470"/>
      <c r="Q12" s="1458"/>
      <c r="R12" s="1470"/>
      <c r="S12" s="1471"/>
      <c r="T12" s="1472"/>
      <c r="U12" s="1458"/>
      <c r="V12" s="1458"/>
      <c r="W12" s="1470"/>
      <c r="X12" s="2410"/>
      <c r="Y12" s="2410"/>
      <c r="Z12" s="2410"/>
      <c r="AA12" s="2410"/>
      <c r="AB12" s="2410"/>
    </row>
    <row r="13" spans="1:81">
      <c r="A13" s="1473"/>
      <c r="B13" s="1473" t="s">
        <v>35</v>
      </c>
      <c r="C13" s="1474" t="s">
        <v>36</v>
      </c>
      <c r="D13" s="1474"/>
      <c r="E13" s="1474"/>
      <c r="F13" s="1475" t="s">
        <v>37</v>
      </c>
      <c r="G13" s="1475" t="s">
        <v>38</v>
      </c>
      <c r="H13" s="1475" t="s">
        <v>39</v>
      </c>
      <c r="I13" s="1475" t="s">
        <v>40</v>
      </c>
      <c r="J13" s="1475" t="s">
        <v>41</v>
      </c>
      <c r="K13" s="1475" t="s">
        <v>42</v>
      </c>
      <c r="L13" s="1475" t="s">
        <v>43</v>
      </c>
      <c r="M13" s="1475" t="s">
        <v>44</v>
      </c>
      <c r="N13" s="1475" t="s">
        <v>45</v>
      </c>
      <c r="O13" s="1474"/>
      <c r="P13" s="1475" t="s">
        <v>37</v>
      </c>
      <c r="Q13" s="1474" t="s">
        <v>46</v>
      </c>
      <c r="R13" s="1474"/>
      <c r="S13" s="1476" t="s">
        <v>47</v>
      </c>
      <c r="T13" s="1477" t="s">
        <v>48</v>
      </c>
      <c r="U13" s="1474"/>
      <c r="V13" s="1474"/>
      <c r="W13" s="1475" t="s">
        <v>37</v>
      </c>
      <c r="X13" s="1478" t="s">
        <v>86</v>
      </c>
      <c r="Y13" s="1478"/>
      <c r="Z13" s="1478"/>
      <c r="AA13" s="1478"/>
      <c r="AB13" s="1478"/>
    </row>
    <row r="14" spans="1:81">
      <c r="A14" s="597"/>
      <c r="B14" s="604" t="s">
        <v>428</v>
      </c>
      <c r="C14" s="599"/>
      <c r="D14" s="599"/>
      <c r="E14" s="599"/>
      <c r="F14" s="598"/>
      <c r="G14" s="598"/>
      <c r="H14" s="598"/>
      <c r="I14" s="598"/>
      <c r="J14" s="598"/>
      <c r="K14" s="598"/>
      <c r="L14" s="598"/>
      <c r="M14" s="598"/>
      <c r="N14" s="598"/>
      <c r="O14" s="599"/>
      <c r="P14" s="598"/>
      <c r="Q14" s="599"/>
      <c r="R14" s="599"/>
      <c r="S14" s="605"/>
      <c r="T14" s="600"/>
      <c r="U14" s="599"/>
      <c r="V14" s="599"/>
      <c r="W14" s="598"/>
      <c r="X14" s="600"/>
      <c r="Y14" s="600"/>
      <c r="Z14" s="600"/>
      <c r="AA14" s="600"/>
      <c r="AB14" s="600"/>
    </row>
    <row r="15" spans="1:81">
      <c r="A15" s="606"/>
      <c r="B15" s="607" t="s">
        <v>112</v>
      </c>
      <c r="C15" s="599"/>
      <c r="D15" s="608"/>
      <c r="E15" s="606"/>
      <c r="F15" s="598"/>
      <c r="G15" s="598"/>
      <c r="H15" s="598"/>
      <c r="I15" s="598"/>
      <c r="J15" s="598"/>
      <c r="K15" s="598"/>
      <c r="L15" s="598"/>
      <c r="M15" s="598"/>
      <c r="N15" s="598"/>
      <c r="O15" s="599"/>
      <c r="P15" s="598"/>
      <c r="Q15" s="599"/>
      <c r="R15" s="599"/>
      <c r="S15" s="605"/>
      <c r="T15" s="600"/>
      <c r="U15" s="599"/>
      <c r="V15" s="606"/>
      <c r="W15" s="598"/>
      <c r="X15" s="598"/>
      <c r="Y15" s="598"/>
      <c r="Z15" s="598"/>
      <c r="AA15" s="599"/>
      <c r="AB15" s="600"/>
    </row>
    <row r="16" spans="1:81">
      <c r="A16" s="609"/>
      <c r="B16" s="607"/>
      <c r="C16" s="610">
        <f>D16*E16</f>
        <v>0</v>
      </c>
      <c r="D16" s="608"/>
      <c r="E16" s="606"/>
      <c r="F16" s="610">
        <f>D16*E16</f>
        <v>0</v>
      </c>
      <c r="G16" s="598"/>
      <c r="H16" s="598"/>
      <c r="I16" s="598"/>
      <c r="J16" s="598"/>
      <c r="K16" s="598"/>
      <c r="L16" s="598"/>
      <c r="M16" s="598"/>
      <c r="N16" s="598"/>
      <c r="O16" s="599"/>
      <c r="P16" s="598"/>
      <c r="Q16" s="599"/>
      <c r="R16" s="599"/>
      <c r="S16" s="605"/>
      <c r="T16" s="600"/>
      <c r="U16" s="599"/>
      <c r="V16" s="606"/>
      <c r="W16" s="610">
        <f>U16*V16</f>
        <v>0</v>
      </c>
      <c r="X16" s="598"/>
      <c r="Y16" s="598"/>
      <c r="Z16" s="598"/>
      <c r="AA16" s="599"/>
      <c r="AB16" s="600"/>
    </row>
    <row r="17" spans="1:28">
      <c r="A17" s="611">
        <v>1</v>
      </c>
      <c r="B17" s="612" t="s">
        <v>429</v>
      </c>
      <c r="C17" s="610">
        <f>D17*E17</f>
        <v>96000</v>
      </c>
      <c r="D17" s="613">
        <f>80000*1.2</f>
        <v>96000</v>
      </c>
      <c r="E17" s="614">
        <v>1</v>
      </c>
      <c r="F17" s="610">
        <f>D17*E17</f>
        <v>96000</v>
      </c>
      <c r="G17" s="582">
        <v>9180</v>
      </c>
      <c r="H17" s="616" t="s">
        <v>104</v>
      </c>
      <c r="I17" s="616">
        <f>F17</f>
        <v>96000</v>
      </c>
      <c r="J17" s="615"/>
      <c r="K17" s="615"/>
      <c r="L17" s="886">
        <f>I17-J17+K17</f>
        <v>96000</v>
      </c>
      <c r="M17" s="615"/>
      <c r="N17" s="582">
        <f>G17</f>
        <v>9180</v>
      </c>
      <c r="O17" s="615"/>
      <c r="P17" s="616"/>
      <c r="Q17" s="615"/>
      <c r="R17" s="617"/>
      <c r="S17" s="617"/>
      <c r="T17" s="618"/>
      <c r="U17" s="613"/>
      <c r="V17" s="614"/>
      <c r="W17" s="610">
        <v>96000</v>
      </c>
      <c r="X17" s="610">
        <v>48000</v>
      </c>
      <c r="Y17" s="2358">
        <v>9180</v>
      </c>
      <c r="Z17" s="616"/>
      <c r="AA17" s="617"/>
      <c r="AB17" s="618">
        <f>W17</f>
        <v>96000</v>
      </c>
    </row>
    <row r="18" spans="1:28">
      <c r="A18" s="619"/>
      <c r="B18" s="604" t="s">
        <v>430</v>
      </c>
      <c r="C18" s="610"/>
      <c r="D18" s="613"/>
      <c r="E18" s="614"/>
      <c r="F18" s="610"/>
      <c r="G18" s="616"/>
      <c r="H18" s="620"/>
      <c r="I18" s="620"/>
      <c r="J18" s="620"/>
      <c r="K18" s="615"/>
      <c r="L18" s="615"/>
      <c r="M18" s="620"/>
      <c r="N18" s="615"/>
      <c r="O18" s="620"/>
      <c r="P18" s="621"/>
      <c r="Q18" s="610"/>
      <c r="R18" s="610"/>
      <c r="S18" s="620"/>
      <c r="T18" s="620"/>
      <c r="U18" s="613"/>
      <c r="V18" s="614"/>
      <c r="W18" s="610"/>
      <c r="X18" s="615"/>
      <c r="Y18" s="615"/>
      <c r="Z18" s="621"/>
      <c r="AA18" s="610"/>
      <c r="AB18" s="620"/>
    </row>
    <row r="19" spans="1:28">
      <c r="A19" s="622">
        <v>2.1</v>
      </c>
      <c r="B19" s="623" t="s">
        <v>431</v>
      </c>
      <c r="C19" s="610">
        <f>D19*E19</f>
        <v>72000</v>
      </c>
      <c r="D19" s="613">
        <f>60000*1.2</f>
        <v>72000</v>
      </c>
      <c r="E19" s="614">
        <v>1</v>
      </c>
      <c r="F19" s="610">
        <f>D19*E19</f>
        <v>72000</v>
      </c>
      <c r="G19" s="620"/>
      <c r="H19" s="620"/>
      <c r="I19" s="620"/>
      <c r="J19" s="620"/>
      <c r="K19" s="615"/>
      <c r="L19" s="615">
        <f>+I19-J19+K19</f>
        <v>0</v>
      </c>
      <c r="M19" s="620"/>
      <c r="N19" s="615"/>
      <c r="O19" s="620"/>
      <c r="P19" s="610"/>
      <c r="Q19" s="610"/>
      <c r="R19" s="610"/>
      <c r="S19" s="620"/>
      <c r="T19" s="620"/>
      <c r="U19" s="613"/>
      <c r="V19" s="614"/>
      <c r="W19" s="610"/>
      <c r="X19" s="615"/>
      <c r="Y19" s="615"/>
      <c r="Z19" s="610"/>
      <c r="AA19" s="624"/>
      <c r="AB19" s="620"/>
    </row>
    <row r="20" spans="1:28">
      <c r="A20" s="622">
        <v>2.2000000000000002</v>
      </c>
      <c r="B20" s="625" t="s">
        <v>432</v>
      </c>
      <c r="C20" s="610">
        <f>D20*E20</f>
        <v>72000</v>
      </c>
      <c r="D20" s="613">
        <f>60000*1.2</f>
        <v>72000</v>
      </c>
      <c r="E20" s="614">
        <v>1</v>
      </c>
      <c r="F20" s="610">
        <f>D20*E20</f>
        <v>72000</v>
      </c>
      <c r="G20" s="620"/>
      <c r="H20" s="620"/>
      <c r="I20" s="620"/>
      <c r="J20" s="620"/>
      <c r="K20" s="615"/>
      <c r="L20" s="615">
        <f>+I20-J20+K20</f>
        <v>0</v>
      </c>
      <c r="M20" s="620"/>
      <c r="N20" s="615"/>
      <c r="O20" s="620"/>
      <c r="P20" s="610"/>
      <c r="Q20" s="626"/>
      <c r="R20" s="624"/>
      <c r="S20" s="620"/>
      <c r="T20" s="620"/>
      <c r="U20" s="613"/>
      <c r="V20" s="614"/>
      <c r="W20" s="610"/>
      <c r="X20" s="620"/>
      <c r="Y20" s="615"/>
      <c r="Z20" s="610"/>
      <c r="AA20" s="624"/>
      <c r="AB20" s="620"/>
    </row>
    <row r="21" spans="1:28">
      <c r="A21" s="622">
        <v>2.2999999999999998</v>
      </c>
      <c r="B21" s="623" t="s">
        <v>433</v>
      </c>
      <c r="C21" s="610">
        <f>D21*E21</f>
        <v>72000</v>
      </c>
      <c r="D21" s="613">
        <f>60000*1.2</f>
        <v>72000</v>
      </c>
      <c r="E21" s="614">
        <v>1</v>
      </c>
      <c r="F21" s="610">
        <f>D21*E21</f>
        <v>72000</v>
      </c>
      <c r="G21" s="620"/>
      <c r="H21" s="620"/>
      <c r="I21" s="620"/>
      <c r="J21" s="620"/>
      <c r="K21" s="615"/>
      <c r="L21" s="615">
        <f>+I21-J21+K21</f>
        <v>0</v>
      </c>
      <c r="M21" s="620"/>
      <c r="N21" s="615"/>
      <c r="O21" s="620"/>
      <c r="P21" s="610"/>
      <c r="Q21" s="626"/>
      <c r="R21" s="624"/>
      <c r="S21" s="620"/>
      <c r="T21" s="620"/>
      <c r="U21" s="613"/>
      <c r="V21" s="614"/>
      <c r="W21" s="610"/>
      <c r="X21" s="620"/>
      <c r="Y21" s="615"/>
      <c r="Z21" s="610"/>
      <c r="AA21" s="624"/>
      <c r="AB21" s="620"/>
    </row>
    <row r="22" spans="1:28">
      <c r="A22" s="622">
        <v>2.4</v>
      </c>
      <c r="B22" s="623" t="s">
        <v>434</v>
      </c>
      <c r="C22" s="610">
        <f>D22*E22</f>
        <v>72000</v>
      </c>
      <c r="D22" s="613">
        <f>30000*1.2</f>
        <v>36000</v>
      </c>
      <c r="E22" s="614">
        <v>2</v>
      </c>
      <c r="F22" s="610">
        <f>D22*E22</f>
        <v>72000</v>
      </c>
      <c r="G22" s="620"/>
      <c r="H22" s="620"/>
      <c r="I22" s="620"/>
      <c r="J22" s="620"/>
      <c r="K22" s="615"/>
      <c r="L22" s="615"/>
      <c r="M22" s="620"/>
      <c r="N22" s="615"/>
      <c r="O22" s="620"/>
      <c r="P22" s="610"/>
      <c r="Q22" s="626"/>
      <c r="R22" s="624"/>
      <c r="S22" s="620"/>
      <c r="T22" s="620"/>
      <c r="U22" s="613"/>
      <c r="V22" s="614"/>
      <c r="W22" s="610"/>
      <c r="X22" s="620"/>
      <c r="Y22" s="615"/>
      <c r="Z22" s="610"/>
      <c r="AA22" s="624"/>
      <c r="AB22" s="620"/>
    </row>
    <row r="23" spans="1:28">
      <c r="A23" s="622">
        <v>2.5</v>
      </c>
      <c r="B23" s="627" t="s">
        <v>435</v>
      </c>
      <c r="C23" s="610">
        <f>D23*E23</f>
        <v>48000</v>
      </c>
      <c r="D23" s="613">
        <f>40000*1.2</f>
        <v>48000</v>
      </c>
      <c r="E23" s="614">
        <v>1</v>
      </c>
      <c r="F23" s="610">
        <f>D23*E23</f>
        <v>48000</v>
      </c>
      <c r="G23" s="620"/>
      <c r="H23" s="620"/>
      <c r="I23" s="620"/>
      <c r="J23" s="620"/>
      <c r="K23" s="615"/>
      <c r="L23" s="615">
        <f>+I23-J23+K23</f>
        <v>0</v>
      </c>
      <c r="M23" s="620"/>
      <c r="N23" s="615"/>
      <c r="O23" s="620"/>
      <c r="P23" s="624"/>
      <c r="Q23" s="626"/>
      <c r="R23" s="624"/>
      <c r="S23" s="620"/>
      <c r="T23" s="620"/>
      <c r="U23" s="613"/>
      <c r="V23" s="614"/>
      <c r="W23" s="610"/>
      <c r="X23" s="620"/>
      <c r="Y23" s="615"/>
      <c r="Z23" s="624"/>
      <c r="AA23" s="624"/>
      <c r="AB23" s="620"/>
    </row>
    <row r="24" spans="1:28">
      <c r="A24" s="622"/>
      <c r="B24" s="627" t="s">
        <v>436</v>
      </c>
      <c r="C24" s="610"/>
      <c r="D24" s="613"/>
      <c r="E24" s="614"/>
      <c r="F24" s="610"/>
      <c r="G24" s="620"/>
      <c r="H24" s="620"/>
      <c r="I24" s="620"/>
      <c r="J24" s="620"/>
      <c r="K24" s="615"/>
      <c r="L24" s="615">
        <f>+I24-J24+K24</f>
        <v>0</v>
      </c>
      <c r="M24" s="620"/>
      <c r="N24" s="615"/>
      <c r="O24" s="620"/>
      <c r="P24" s="624"/>
      <c r="Q24" s="626"/>
      <c r="R24" s="624"/>
      <c r="S24" s="620"/>
      <c r="T24" s="620"/>
      <c r="U24" s="613"/>
      <c r="V24" s="614"/>
      <c r="W24" s="610"/>
      <c r="X24" s="620"/>
      <c r="Y24" s="615"/>
      <c r="Z24" s="624"/>
      <c r="AA24" s="624"/>
      <c r="AB24" s="620"/>
    </row>
    <row r="25" spans="1:28">
      <c r="A25" s="622">
        <v>3.1</v>
      </c>
      <c r="B25" s="623" t="s">
        <v>431</v>
      </c>
      <c r="C25" s="610">
        <f>D25*E25</f>
        <v>72000</v>
      </c>
      <c r="D25" s="613">
        <f>60000*1.2</f>
        <v>72000</v>
      </c>
      <c r="E25" s="614">
        <v>1</v>
      </c>
      <c r="F25" s="610">
        <f>D25*E25</f>
        <v>72000</v>
      </c>
      <c r="G25" s="620"/>
      <c r="H25" s="620"/>
      <c r="I25" s="620"/>
      <c r="J25" s="620"/>
      <c r="K25" s="615"/>
      <c r="L25" s="615"/>
      <c r="M25" s="620"/>
      <c r="N25" s="615"/>
      <c r="O25" s="620"/>
      <c r="P25" s="620"/>
      <c r="Q25" s="628"/>
      <c r="R25" s="616"/>
      <c r="S25" s="620"/>
      <c r="T25" s="620"/>
      <c r="U25" s="613"/>
      <c r="V25" s="614"/>
      <c r="W25" s="610"/>
      <c r="X25" s="620"/>
      <c r="Y25" s="615"/>
      <c r="Z25" s="620"/>
      <c r="AA25" s="616"/>
      <c r="AB25" s="620"/>
    </row>
    <row r="26" spans="1:28">
      <c r="A26" s="622">
        <v>3.2</v>
      </c>
      <c r="B26" s="625" t="s">
        <v>432</v>
      </c>
      <c r="C26" s="610">
        <f>D26*E26</f>
        <v>60000</v>
      </c>
      <c r="D26" s="613">
        <f>50000*1.2</f>
        <v>60000</v>
      </c>
      <c r="E26" s="614">
        <v>1</v>
      </c>
      <c r="F26" s="610">
        <f>D26*E26</f>
        <v>60000</v>
      </c>
      <c r="G26" s="620"/>
      <c r="H26" s="620"/>
      <c r="I26" s="620"/>
      <c r="J26" s="620"/>
      <c r="K26" s="615"/>
      <c r="L26" s="615"/>
      <c r="M26" s="620"/>
      <c r="N26" s="615"/>
      <c r="O26" s="620"/>
      <c r="P26" s="620"/>
      <c r="Q26" s="628"/>
      <c r="R26" s="620"/>
      <c r="S26" s="620"/>
      <c r="T26" s="620"/>
      <c r="U26" s="613"/>
      <c r="V26" s="614"/>
      <c r="W26" s="610"/>
      <c r="X26" s="620"/>
      <c r="Y26" s="615"/>
      <c r="Z26" s="620"/>
      <c r="AA26" s="620"/>
      <c r="AB26" s="620"/>
    </row>
    <row r="27" spans="1:28">
      <c r="A27" s="622">
        <v>3.3</v>
      </c>
      <c r="B27" s="623" t="s">
        <v>433</v>
      </c>
      <c r="C27" s="610">
        <f>D27*E27</f>
        <v>60000</v>
      </c>
      <c r="D27" s="613">
        <f>50000*1.2</f>
        <v>60000</v>
      </c>
      <c r="E27" s="614">
        <v>1</v>
      </c>
      <c r="F27" s="610">
        <f>D27*E27</f>
        <v>60000</v>
      </c>
      <c r="G27" s="620"/>
      <c r="H27" s="620"/>
      <c r="I27" s="620"/>
      <c r="J27" s="620"/>
      <c r="K27" s="615"/>
      <c r="L27" s="615"/>
      <c r="M27" s="620"/>
      <c r="N27" s="615"/>
      <c r="O27" s="620"/>
      <c r="P27" s="629"/>
      <c r="Q27" s="628"/>
      <c r="R27" s="629"/>
      <c r="S27" s="620"/>
      <c r="T27" s="620"/>
      <c r="U27" s="613"/>
      <c r="V27" s="630"/>
      <c r="W27" s="610"/>
      <c r="X27" s="620"/>
      <c r="Y27" s="615"/>
      <c r="Z27" s="629"/>
      <c r="AA27" s="629"/>
      <c r="AB27" s="620"/>
    </row>
    <row r="28" spans="1:28">
      <c r="A28" s="622">
        <v>3.4</v>
      </c>
      <c r="B28" s="623" t="s">
        <v>434</v>
      </c>
      <c r="C28" s="610">
        <f>D28*E28</f>
        <v>60000</v>
      </c>
      <c r="D28" s="613">
        <f>25000*1.2</f>
        <v>30000</v>
      </c>
      <c r="E28" s="614">
        <v>2</v>
      </c>
      <c r="F28" s="610">
        <f>D28*E28</f>
        <v>60000</v>
      </c>
      <c r="G28" s="620"/>
      <c r="H28" s="620"/>
      <c r="I28" s="620"/>
      <c r="J28" s="620"/>
      <c r="K28" s="615"/>
      <c r="L28" s="615"/>
      <c r="M28" s="620"/>
      <c r="N28" s="615"/>
      <c r="O28" s="620"/>
      <c r="P28" s="629"/>
      <c r="Q28" s="628"/>
      <c r="R28" s="629"/>
      <c r="S28" s="620"/>
      <c r="T28" s="620"/>
      <c r="U28" s="613"/>
      <c r="V28" s="630"/>
      <c r="W28" s="610"/>
      <c r="X28" s="620"/>
      <c r="Y28" s="615"/>
      <c r="Z28" s="629"/>
      <c r="AA28" s="629"/>
      <c r="AB28" s="620"/>
    </row>
    <row r="29" spans="1:28">
      <c r="A29" s="622">
        <v>3.5</v>
      </c>
      <c r="B29" s="627" t="s">
        <v>435</v>
      </c>
      <c r="C29" s="610">
        <f>D29*E29</f>
        <v>36000</v>
      </c>
      <c r="D29" s="613">
        <f>30000*1.2</f>
        <v>36000</v>
      </c>
      <c r="E29" s="614">
        <v>1</v>
      </c>
      <c r="F29" s="610">
        <f>D29*E29</f>
        <v>36000</v>
      </c>
      <c r="G29" s="620"/>
      <c r="H29" s="620"/>
      <c r="I29" s="620"/>
      <c r="J29" s="620"/>
      <c r="K29" s="615"/>
      <c r="L29" s="615"/>
      <c r="M29" s="620"/>
      <c r="N29" s="615"/>
      <c r="O29" s="620"/>
      <c r="P29" s="620"/>
      <c r="Q29" s="628"/>
      <c r="R29" s="620"/>
      <c r="S29" s="620"/>
      <c r="T29" s="620"/>
      <c r="U29" s="613"/>
      <c r="V29" s="614"/>
      <c r="W29" s="610"/>
      <c r="X29" s="620"/>
      <c r="Y29" s="615"/>
      <c r="Z29" s="620"/>
      <c r="AA29" s="620"/>
      <c r="AB29" s="620"/>
    </row>
    <row r="30" spans="1:28">
      <c r="A30" s="622"/>
      <c r="B30" s="604" t="s">
        <v>437</v>
      </c>
      <c r="C30" s="610"/>
      <c r="D30" s="613"/>
      <c r="E30" s="630"/>
      <c r="F30" s="610"/>
      <c r="G30" s="620"/>
      <c r="H30" s="620"/>
      <c r="I30" s="620"/>
      <c r="J30" s="620"/>
      <c r="K30" s="615"/>
      <c r="L30" s="615">
        <f>+I30-J30+K30</f>
        <v>0</v>
      </c>
      <c r="M30" s="620"/>
      <c r="N30" s="615"/>
      <c r="O30" s="620"/>
      <c r="P30" s="629"/>
      <c r="Q30" s="628"/>
      <c r="R30" s="629"/>
      <c r="S30" s="620"/>
      <c r="T30" s="620"/>
      <c r="U30" s="613"/>
      <c r="V30" s="630"/>
      <c r="W30" s="610"/>
      <c r="X30" s="631"/>
      <c r="Y30" s="615"/>
      <c r="Z30" s="629"/>
      <c r="AA30" s="629"/>
      <c r="AB30" s="620"/>
    </row>
    <row r="31" spans="1:28">
      <c r="A31" s="632">
        <v>1.1000000000000001</v>
      </c>
      <c r="B31" s="623" t="s">
        <v>438</v>
      </c>
      <c r="C31" s="610">
        <f>D31*E31</f>
        <v>96000</v>
      </c>
      <c r="D31" s="613">
        <f>80000*1.2</f>
        <v>96000</v>
      </c>
      <c r="E31" s="614">
        <v>1</v>
      </c>
      <c r="F31" s="610">
        <f>D31*E31</f>
        <v>96000</v>
      </c>
      <c r="G31" s="620"/>
      <c r="H31" s="620"/>
      <c r="I31" s="620"/>
      <c r="J31" s="620"/>
      <c r="K31" s="615"/>
      <c r="L31" s="615">
        <f>+I31-J31+K31</f>
        <v>0</v>
      </c>
      <c r="M31" s="620"/>
      <c r="N31" s="615"/>
      <c r="O31" s="620"/>
      <c r="P31" s="620"/>
      <c r="Q31" s="633"/>
      <c r="R31" s="620"/>
      <c r="S31" s="620"/>
      <c r="T31" s="620"/>
      <c r="U31" s="613"/>
      <c r="V31" s="614"/>
      <c r="W31" s="610"/>
      <c r="X31" s="620"/>
      <c r="Y31" s="615"/>
      <c r="Z31" s="620"/>
      <c r="AA31" s="620"/>
      <c r="AB31" s="620"/>
    </row>
    <row r="32" spans="1:28">
      <c r="A32" s="632">
        <v>1.2</v>
      </c>
      <c r="B32" s="623" t="s">
        <v>439</v>
      </c>
      <c r="C32" s="610">
        <f>D32*E32</f>
        <v>84000</v>
      </c>
      <c r="D32" s="613">
        <f>70000*1.2</f>
        <v>84000</v>
      </c>
      <c r="E32" s="614">
        <v>1</v>
      </c>
      <c r="F32" s="610">
        <f>D32*E32</f>
        <v>84000</v>
      </c>
      <c r="G32" s="620"/>
      <c r="H32" s="620"/>
      <c r="I32" s="620"/>
      <c r="J32" s="620"/>
      <c r="K32" s="615"/>
      <c r="L32" s="615"/>
      <c r="M32" s="620"/>
      <c r="N32" s="615"/>
      <c r="O32" s="620"/>
      <c r="P32" s="629"/>
      <c r="Q32" s="634"/>
      <c r="R32" s="629"/>
      <c r="S32" s="620"/>
      <c r="T32" s="620"/>
      <c r="U32" s="613"/>
      <c r="V32" s="630"/>
      <c r="W32" s="610"/>
      <c r="X32" s="620"/>
      <c r="Y32" s="615"/>
      <c r="Z32" s="629"/>
      <c r="AA32" s="629"/>
      <c r="AB32" s="620"/>
    </row>
    <row r="33" spans="1:28">
      <c r="A33" s="635"/>
      <c r="B33" s="625"/>
      <c r="C33" s="610"/>
      <c r="D33" s="613" t="s">
        <v>440</v>
      </c>
      <c r="E33" s="630"/>
      <c r="F33" s="610"/>
      <c r="G33" s="620"/>
      <c r="H33" s="620"/>
      <c r="I33" s="620"/>
      <c r="J33" s="620"/>
      <c r="K33" s="615">
        <f>0.5*W33</f>
        <v>0</v>
      </c>
      <c r="L33" s="620"/>
      <c r="M33" s="620"/>
      <c r="N33" s="615"/>
      <c r="O33" s="620"/>
      <c r="P33" s="620"/>
      <c r="Q33" s="634"/>
      <c r="R33" s="620"/>
      <c r="S33" s="620"/>
      <c r="T33" s="620"/>
      <c r="U33" s="636"/>
      <c r="V33" s="630"/>
      <c r="W33" s="610">
        <f t="shared" ref="W33:W38" si="0">U33*V33</f>
        <v>0</v>
      </c>
      <c r="X33" s="620"/>
      <c r="Y33" s="615"/>
      <c r="Z33" s="620"/>
      <c r="AA33" s="620"/>
      <c r="AB33" s="620">
        <v>0</v>
      </c>
    </row>
    <row r="34" spans="1:28">
      <c r="A34" s="637"/>
      <c r="B34" s="625"/>
      <c r="C34" s="610">
        <f>D34*E34</f>
        <v>0</v>
      </c>
      <c r="D34" s="613"/>
      <c r="E34" s="630"/>
      <c r="F34" s="610">
        <f>D34*E34</f>
        <v>0</v>
      </c>
      <c r="G34" s="616"/>
      <c r="H34" s="616"/>
      <c r="I34" s="617"/>
      <c r="J34" s="616"/>
      <c r="K34" s="615">
        <f>0.5*W34</f>
        <v>0</v>
      </c>
      <c r="L34" s="620"/>
      <c r="M34" s="616"/>
      <c r="N34" s="615"/>
      <c r="O34" s="616"/>
      <c r="P34" s="629"/>
      <c r="Q34" s="634"/>
      <c r="R34" s="629"/>
      <c r="S34" s="620"/>
      <c r="T34" s="638"/>
      <c r="U34" s="636"/>
      <c r="V34" s="630"/>
      <c r="W34" s="610">
        <f t="shared" si="0"/>
        <v>0</v>
      </c>
      <c r="X34" s="620"/>
      <c r="Y34" s="615"/>
      <c r="Z34" s="629"/>
      <c r="AA34" s="629"/>
      <c r="AB34" s="638"/>
    </row>
    <row r="35" spans="1:28">
      <c r="A35" s="635"/>
      <c r="B35" s="625"/>
      <c r="C35" s="610">
        <f>D35*E35</f>
        <v>0</v>
      </c>
      <c r="D35" s="613"/>
      <c r="E35" s="630"/>
      <c r="F35" s="610">
        <f>D35*E35</f>
        <v>0</v>
      </c>
      <c r="G35" s="616"/>
      <c r="H35" s="616"/>
      <c r="I35" s="617"/>
      <c r="J35" s="616"/>
      <c r="K35" s="615">
        <f>0.5*W35</f>
        <v>0</v>
      </c>
      <c r="L35" s="620"/>
      <c r="M35" s="616"/>
      <c r="N35" s="615"/>
      <c r="O35" s="616"/>
      <c r="P35" s="616"/>
      <c r="Q35" s="634"/>
      <c r="R35" s="620"/>
      <c r="S35" s="620"/>
      <c r="T35" s="638"/>
      <c r="U35" s="636"/>
      <c r="V35" s="630"/>
      <c r="W35" s="610">
        <f t="shared" si="0"/>
        <v>0</v>
      </c>
      <c r="X35" s="620"/>
      <c r="Y35" s="615"/>
      <c r="Z35" s="616"/>
      <c r="AA35" s="620"/>
      <c r="AB35" s="638"/>
    </row>
    <row r="36" spans="1:28" ht="9.9499999999999993" customHeight="1">
      <c r="A36" s="635"/>
      <c r="B36" s="625"/>
      <c r="C36" s="610">
        <f>D36*E36</f>
        <v>0</v>
      </c>
      <c r="D36" s="613"/>
      <c r="E36" s="630"/>
      <c r="F36" s="610">
        <f>D36*E36</f>
        <v>0</v>
      </c>
      <c r="G36" s="616"/>
      <c r="H36" s="616"/>
      <c r="I36" s="617"/>
      <c r="J36" s="616"/>
      <c r="K36" s="615">
        <f>0.5*W36</f>
        <v>0</v>
      </c>
      <c r="L36" s="620"/>
      <c r="M36" s="616"/>
      <c r="N36" s="615"/>
      <c r="O36" s="616"/>
      <c r="P36" s="616"/>
      <c r="Q36" s="634"/>
      <c r="R36" s="620"/>
      <c r="S36" s="620"/>
      <c r="T36" s="638"/>
      <c r="U36" s="636"/>
      <c r="V36" s="630"/>
      <c r="W36" s="610">
        <f t="shared" si="0"/>
        <v>0</v>
      </c>
      <c r="X36" s="620"/>
      <c r="Y36" s="615"/>
      <c r="Z36" s="616"/>
      <c r="AA36" s="620"/>
      <c r="AB36" s="638"/>
    </row>
    <row r="37" spans="1:28">
      <c r="A37" s="639"/>
      <c r="B37" s="625"/>
      <c r="C37" s="610">
        <f>D37*E37</f>
        <v>0</v>
      </c>
      <c r="D37" s="613"/>
      <c r="E37" s="630"/>
      <c r="F37" s="610">
        <f>D37*E37</f>
        <v>0</v>
      </c>
      <c r="G37" s="616"/>
      <c r="H37" s="616"/>
      <c r="I37" s="617"/>
      <c r="J37" s="616"/>
      <c r="K37" s="616"/>
      <c r="L37" s="620"/>
      <c r="M37" s="616"/>
      <c r="N37" s="616"/>
      <c r="O37" s="616"/>
      <c r="P37" s="616"/>
      <c r="Q37" s="634"/>
      <c r="R37" s="620"/>
      <c r="S37" s="620"/>
      <c r="T37" s="638"/>
      <c r="U37" s="636"/>
      <c r="V37" s="630"/>
      <c r="W37" s="610">
        <f t="shared" si="0"/>
        <v>0</v>
      </c>
      <c r="X37" s="620"/>
      <c r="Y37" s="616"/>
      <c r="Z37" s="616"/>
      <c r="AA37" s="620"/>
      <c r="AB37" s="638"/>
    </row>
    <row r="38" spans="1:28">
      <c r="A38" s="635"/>
      <c r="B38" s="625"/>
      <c r="C38" s="610">
        <f>D38*E38</f>
        <v>0</v>
      </c>
      <c r="D38" s="613"/>
      <c r="E38" s="630"/>
      <c r="F38" s="610">
        <f>D38*E38</f>
        <v>0</v>
      </c>
      <c r="G38" s="616"/>
      <c r="H38" s="616"/>
      <c r="I38" s="617"/>
      <c r="J38" s="616"/>
      <c r="K38" s="616"/>
      <c r="L38" s="620"/>
      <c r="M38" s="616"/>
      <c r="N38" s="616"/>
      <c r="O38" s="616"/>
      <c r="P38" s="616"/>
      <c r="Q38" s="634"/>
      <c r="R38" s="620"/>
      <c r="S38" s="620"/>
      <c r="T38" s="638"/>
      <c r="U38" s="636"/>
      <c r="V38" s="630"/>
      <c r="W38" s="610">
        <f t="shared" si="0"/>
        <v>0</v>
      </c>
      <c r="X38" s="620"/>
      <c r="Y38" s="616"/>
      <c r="Z38" s="616"/>
      <c r="AA38" s="620"/>
      <c r="AB38" s="638"/>
    </row>
    <row r="39" spans="1:28">
      <c r="A39" s="635"/>
      <c r="B39" s="625"/>
      <c r="C39" s="610"/>
      <c r="D39" s="613"/>
      <c r="E39" s="630"/>
      <c r="F39" s="610"/>
      <c r="G39" s="616"/>
      <c r="H39" s="616"/>
      <c r="I39" s="617"/>
      <c r="J39" s="616"/>
      <c r="K39" s="616"/>
      <c r="L39" s="620"/>
      <c r="M39" s="616"/>
      <c r="N39" s="616"/>
      <c r="O39" s="616"/>
      <c r="P39" s="616"/>
      <c r="Q39" s="634"/>
      <c r="R39" s="620"/>
      <c r="S39" s="620"/>
      <c r="T39" s="638"/>
      <c r="U39" s="636"/>
      <c r="V39" s="630"/>
      <c r="W39" s="610"/>
      <c r="X39" s="620"/>
      <c r="Y39" s="616"/>
      <c r="Z39" s="616"/>
      <c r="AA39" s="620"/>
      <c r="AB39" s="638"/>
    </row>
    <row r="40" spans="1:28">
      <c r="A40" s="635"/>
      <c r="B40" s="625"/>
      <c r="C40" s="610"/>
      <c r="D40" s="613"/>
      <c r="E40" s="630"/>
      <c r="F40" s="610"/>
      <c r="G40" s="616"/>
      <c r="H40" s="616"/>
      <c r="I40" s="617"/>
      <c r="J40" s="616"/>
      <c r="K40" s="616"/>
      <c r="L40" s="620"/>
      <c r="M40" s="616"/>
      <c r="N40" s="616"/>
      <c r="O40" s="616"/>
      <c r="P40" s="616"/>
      <c r="Q40" s="634"/>
      <c r="R40" s="620"/>
      <c r="S40" s="620"/>
      <c r="T40" s="638"/>
      <c r="U40" s="636"/>
      <c r="V40" s="630"/>
      <c r="W40" s="610"/>
      <c r="X40" s="620"/>
      <c r="Y40" s="616"/>
      <c r="Z40" s="616"/>
      <c r="AA40" s="620"/>
      <c r="AB40" s="638"/>
    </row>
    <row r="41" spans="1:28">
      <c r="A41" s="635"/>
      <c r="B41" s="625"/>
      <c r="C41" s="610"/>
      <c r="D41" s="613"/>
      <c r="E41" s="630"/>
      <c r="F41" s="610"/>
      <c r="G41" s="616"/>
      <c r="H41" s="616"/>
      <c r="I41" s="617"/>
      <c r="J41" s="616"/>
      <c r="K41" s="616"/>
      <c r="L41" s="620"/>
      <c r="M41" s="616"/>
      <c r="N41" s="616"/>
      <c r="O41" s="616"/>
      <c r="P41" s="616"/>
      <c r="Q41" s="634"/>
      <c r="R41" s="620"/>
      <c r="S41" s="620"/>
      <c r="T41" s="638"/>
      <c r="U41" s="636"/>
      <c r="V41" s="630"/>
      <c r="W41" s="610"/>
      <c r="X41" s="620"/>
      <c r="Y41" s="616"/>
      <c r="Z41" s="616"/>
      <c r="AA41" s="620"/>
      <c r="AB41" s="638"/>
    </row>
    <row r="42" spans="1:28">
      <c r="A42" s="635"/>
      <c r="B42" s="625"/>
      <c r="C42" s="610"/>
      <c r="D42" s="613"/>
      <c r="E42" s="630"/>
      <c r="F42" s="610"/>
      <c r="G42" s="616"/>
      <c r="H42" s="616"/>
      <c r="I42" s="617"/>
      <c r="J42" s="616"/>
      <c r="K42" s="616"/>
      <c r="L42" s="620"/>
      <c r="M42" s="616"/>
      <c r="N42" s="616"/>
      <c r="O42" s="616"/>
      <c r="P42" s="616"/>
      <c r="Q42" s="634"/>
      <c r="R42" s="620"/>
      <c r="S42" s="620"/>
      <c r="T42" s="638"/>
      <c r="U42" s="636"/>
      <c r="V42" s="630"/>
      <c r="W42" s="610"/>
      <c r="X42" s="620"/>
      <c r="Y42" s="616"/>
      <c r="Z42" s="616"/>
      <c r="AA42" s="620"/>
      <c r="AB42" s="638"/>
    </row>
    <row r="43" spans="1:28">
      <c r="A43" s="635"/>
      <c r="B43" s="625"/>
      <c r="C43" s="610"/>
      <c r="D43" s="613"/>
      <c r="E43" s="630"/>
      <c r="F43" s="610"/>
      <c r="G43" s="616"/>
      <c r="H43" s="616"/>
      <c r="I43" s="617"/>
      <c r="J43" s="616"/>
      <c r="K43" s="616"/>
      <c r="L43" s="620"/>
      <c r="M43" s="616"/>
      <c r="N43" s="616"/>
      <c r="O43" s="616"/>
      <c r="P43" s="616"/>
      <c r="Q43" s="634"/>
      <c r="R43" s="620"/>
      <c r="S43" s="620"/>
      <c r="T43" s="638"/>
      <c r="U43" s="636"/>
      <c r="V43" s="630"/>
      <c r="W43" s="610"/>
      <c r="X43" s="620"/>
      <c r="Y43" s="616"/>
      <c r="Z43" s="616"/>
      <c r="AA43" s="620"/>
      <c r="AB43" s="638"/>
    </row>
    <row r="44" spans="1:28">
      <c r="A44" s="635"/>
      <c r="B44" s="625"/>
      <c r="C44" s="610"/>
      <c r="D44" s="613"/>
      <c r="E44" s="630"/>
      <c r="F44" s="610"/>
      <c r="G44" s="616"/>
      <c r="H44" s="616"/>
      <c r="I44" s="617"/>
      <c r="J44" s="616"/>
      <c r="K44" s="616"/>
      <c r="L44" s="620"/>
      <c r="M44" s="616"/>
      <c r="N44" s="616"/>
      <c r="O44" s="616"/>
      <c r="P44" s="616"/>
      <c r="Q44" s="634"/>
      <c r="R44" s="620"/>
      <c r="S44" s="620"/>
      <c r="T44" s="638"/>
      <c r="U44" s="636"/>
      <c r="V44" s="630"/>
      <c r="W44" s="610"/>
      <c r="X44" s="620"/>
      <c r="Y44" s="616"/>
      <c r="Z44" s="616"/>
      <c r="AA44" s="620"/>
      <c r="AB44" s="638"/>
    </row>
    <row r="45" spans="1:28">
      <c r="A45" s="635"/>
      <c r="B45" s="625"/>
      <c r="C45" s="610"/>
      <c r="D45" s="613"/>
      <c r="E45" s="630"/>
      <c r="F45" s="610"/>
      <c r="G45" s="616"/>
      <c r="H45" s="616"/>
      <c r="I45" s="617"/>
      <c r="J45" s="616"/>
      <c r="K45" s="616"/>
      <c r="L45" s="620"/>
      <c r="M45" s="616"/>
      <c r="N45" s="616"/>
      <c r="O45" s="616"/>
      <c r="P45" s="616"/>
      <c r="Q45" s="634"/>
      <c r="R45" s="620"/>
      <c r="S45" s="620"/>
      <c r="T45" s="638"/>
      <c r="U45" s="636"/>
      <c r="V45" s="630"/>
      <c r="W45" s="610"/>
      <c r="X45" s="620"/>
      <c r="Y45" s="616"/>
      <c r="Z45" s="616"/>
      <c r="AA45" s="620"/>
      <c r="AB45" s="638"/>
    </row>
    <row r="46" spans="1:28">
      <c r="A46" s="635"/>
      <c r="B46" s="625"/>
      <c r="C46" s="610"/>
      <c r="D46" s="613"/>
      <c r="E46" s="630"/>
      <c r="F46" s="610"/>
      <c r="G46" s="616"/>
      <c r="H46" s="616"/>
      <c r="I46" s="617"/>
      <c r="J46" s="616"/>
      <c r="K46" s="616"/>
      <c r="L46" s="620"/>
      <c r="M46" s="616"/>
      <c r="N46" s="616"/>
      <c r="O46" s="616"/>
      <c r="P46" s="616"/>
      <c r="Q46" s="634"/>
      <c r="R46" s="620"/>
      <c r="S46" s="620"/>
      <c r="T46" s="638"/>
      <c r="U46" s="636"/>
      <c r="V46" s="630"/>
      <c r="W46" s="610"/>
      <c r="X46" s="620"/>
      <c r="Y46" s="616"/>
      <c r="Z46" s="616"/>
      <c r="AA46" s="620"/>
      <c r="AB46" s="638"/>
    </row>
    <row r="47" spans="1:28">
      <c r="A47" s="635"/>
      <c r="B47" s="625"/>
      <c r="C47" s="610"/>
      <c r="D47" s="613"/>
      <c r="E47" s="630"/>
      <c r="F47" s="610"/>
      <c r="G47" s="616"/>
      <c r="H47" s="616"/>
      <c r="I47" s="617"/>
      <c r="J47" s="616"/>
      <c r="K47" s="616"/>
      <c r="L47" s="620"/>
      <c r="M47" s="616"/>
      <c r="N47" s="616"/>
      <c r="O47" s="616"/>
      <c r="P47" s="616"/>
      <c r="Q47" s="634"/>
      <c r="R47" s="620"/>
      <c r="S47" s="620"/>
      <c r="T47" s="638"/>
      <c r="U47" s="636"/>
      <c r="V47" s="630"/>
      <c r="W47" s="610"/>
      <c r="X47" s="620"/>
      <c r="Y47" s="616"/>
      <c r="Z47" s="616"/>
      <c r="AA47" s="620"/>
      <c r="AB47" s="638"/>
    </row>
    <row r="48" spans="1:28">
      <c r="A48" s="635"/>
      <c r="B48" s="625"/>
      <c r="C48" s="610"/>
      <c r="D48" s="613"/>
      <c r="E48" s="630"/>
      <c r="F48" s="610"/>
      <c r="G48" s="616"/>
      <c r="H48" s="616"/>
      <c r="I48" s="617"/>
      <c r="J48" s="616"/>
      <c r="K48" s="616"/>
      <c r="L48" s="620"/>
      <c r="M48" s="616"/>
      <c r="N48" s="616"/>
      <c r="O48" s="616"/>
      <c r="P48" s="616"/>
      <c r="Q48" s="634"/>
      <c r="R48" s="620"/>
      <c r="S48" s="620"/>
      <c r="T48" s="638"/>
      <c r="U48" s="636"/>
      <c r="V48" s="630"/>
      <c r="W48" s="610"/>
      <c r="X48" s="620"/>
      <c r="Y48" s="616"/>
      <c r="Z48" s="616"/>
      <c r="AA48" s="620"/>
      <c r="AB48" s="638"/>
    </row>
    <row r="49" spans="1:28">
      <c r="A49" s="635"/>
      <c r="B49" s="625"/>
      <c r="C49" s="610"/>
      <c r="D49" s="613"/>
      <c r="E49" s="630"/>
      <c r="F49" s="610"/>
      <c r="G49" s="616"/>
      <c r="H49" s="616"/>
      <c r="I49" s="617"/>
      <c r="J49" s="616"/>
      <c r="K49" s="616"/>
      <c r="L49" s="620"/>
      <c r="M49" s="616"/>
      <c r="N49" s="616"/>
      <c r="O49" s="616"/>
      <c r="P49" s="616"/>
      <c r="Q49" s="634"/>
      <c r="R49" s="620"/>
      <c r="S49" s="620"/>
      <c r="T49" s="638"/>
      <c r="U49" s="636"/>
      <c r="V49" s="630"/>
      <c r="W49" s="610"/>
      <c r="X49" s="620"/>
      <c r="Y49" s="616"/>
      <c r="Z49" s="616"/>
      <c r="AA49" s="620"/>
      <c r="AB49" s="638"/>
    </row>
    <row r="50" spans="1:28">
      <c r="A50" s="635"/>
      <c r="B50" s="625"/>
      <c r="C50" s="610"/>
      <c r="D50" s="613"/>
      <c r="E50" s="630"/>
      <c r="F50" s="610"/>
      <c r="G50" s="616"/>
      <c r="H50" s="616"/>
      <c r="I50" s="617"/>
      <c r="J50" s="616"/>
      <c r="K50" s="616"/>
      <c r="L50" s="620"/>
      <c r="M50" s="616"/>
      <c r="N50" s="616"/>
      <c r="O50" s="616"/>
      <c r="P50" s="616"/>
      <c r="Q50" s="634"/>
      <c r="R50" s="620"/>
      <c r="S50" s="620"/>
      <c r="T50" s="638"/>
      <c r="U50" s="636"/>
      <c r="V50" s="630"/>
      <c r="W50" s="610"/>
      <c r="X50" s="620"/>
      <c r="Y50" s="616"/>
      <c r="Z50" s="616"/>
      <c r="AA50" s="620"/>
      <c r="AB50" s="638"/>
    </row>
    <row r="51" spans="1:28">
      <c r="A51" s="635"/>
      <c r="B51" s="625"/>
      <c r="C51" s="610"/>
      <c r="D51" s="613"/>
      <c r="E51" s="630"/>
      <c r="F51" s="610"/>
      <c r="G51" s="616"/>
      <c r="H51" s="616"/>
      <c r="I51" s="617"/>
      <c r="J51" s="616"/>
      <c r="K51" s="616"/>
      <c r="L51" s="620"/>
      <c r="M51" s="616"/>
      <c r="N51" s="616"/>
      <c r="O51" s="616"/>
      <c r="P51" s="616"/>
      <c r="Q51" s="634"/>
      <c r="R51" s="620"/>
      <c r="S51" s="620"/>
      <c r="T51" s="638"/>
      <c r="U51" s="636"/>
      <c r="V51" s="630"/>
      <c r="W51" s="610"/>
      <c r="X51" s="620"/>
      <c r="Y51" s="616"/>
      <c r="Z51" s="616"/>
      <c r="AA51" s="620"/>
      <c r="AB51" s="638"/>
    </row>
    <row r="52" spans="1:28">
      <c r="A52" s="635"/>
      <c r="B52" s="625"/>
      <c r="C52" s="610">
        <f>D52*E52</f>
        <v>0</v>
      </c>
      <c r="D52" s="613"/>
      <c r="E52" s="630"/>
      <c r="F52" s="610">
        <f>D52*E52</f>
        <v>0</v>
      </c>
      <c r="G52" s="616"/>
      <c r="H52" s="616"/>
      <c r="I52" s="617"/>
      <c r="J52" s="616"/>
      <c r="K52" s="616"/>
      <c r="L52" s="620"/>
      <c r="M52" s="616"/>
      <c r="N52" s="616"/>
      <c r="O52" s="616"/>
      <c r="P52" s="620"/>
      <c r="Q52" s="616"/>
      <c r="R52" s="620"/>
      <c r="S52" s="620"/>
      <c r="T52" s="638"/>
      <c r="U52" s="636"/>
      <c r="V52" s="630"/>
      <c r="W52" s="610">
        <f t="shared" ref="W52:W61" si="1">U52*V52</f>
        <v>0</v>
      </c>
      <c r="X52" s="620"/>
      <c r="Y52" s="616"/>
      <c r="Z52" s="620"/>
      <c r="AA52" s="620"/>
      <c r="AB52" s="638"/>
    </row>
    <row r="53" spans="1:28">
      <c r="A53" s="635"/>
      <c r="B53" s="625"/>
      <c r="C53" s="610">
        <f>D53*E53</f>
        <v>0</v>
      </c>
      <c r="D53" s="613"/>
      <c r="E53" s="630"/>
      <c r="F53" s="610">
        <f>D53*E53</f>
        <v>0</v>
      </c>
      <c r="G53" s="616"/>
      <c r="H53" s="616"/>
      <c r="I53" s="617"/>
      <c r="J53" s="616"/>
      <c r="K53" s="616"/>
      <c r="L53" s="620"/>
      <c r="M53" s="616"/>
      <c r="N53" s="616"/>
      <c r="O53" s="616"/>
      <c r="P53" s="620"/>
      <c r="Q53" s="616"/>
      <c r="R53" s="620"/>
      <c r="S53" s="620"/>
      <c r="T53" s="638"/>
      <c r="U53" s="636"/>
      <c r="V53" s="630"/>
      <c r="W53" s="610">
        <f t="shared" si="1"/>
        <v>0</v>
      </c>
      <c r="X53" s="620"/>
      <c r="Y53" s="616"/>
      <c r="Z53" s="620"/>
      <c r="AA53" s="620"/>
      <c r="AB53" s="638"/>
    </row>
    <row r="54" spans="1:28">
      <c r="A54" s="635"/>
      <c r="B54" s="625"/>
      <c r="C54" s="610">
        <f>D54*E54</f>
        <v>0</v>
      </c>
      <c r="D54" s="613"/>
      <c r="E54" s="630"/>
      <c r="F54" s="610">
        <f>D54*E54</f>
        <v>0</v>
      </c>
      <c r="G54" s="616"/>
      <c r="H54" s="616"/>
      <c r="I54" s="617"/>
      <c r="J54" s="616"/>
      <c r="K54" s="616"/>
      <c r="L54" s="620"/>
      <c r="M54" s="616"/>
      <c r="N54" s="616"/>
      <c r="O54" s="616"/>
      <c r="P54" s="620"/>
      <c r="Q54" s="616"/>
      <c r="R54" s="620"/>
      <c r="S54" s="620"/>
      <c r="T54" s="638"/>
      <c r="U54" s="636"/>
      <c r="V54" s="630"/>
      <c r="W54" s="610">
        <f t="shared" si="1"/>
        <v>0</v>
      </c>
      <c r="X54" s="620"/>
      <c r="Y54" s="616"/>
      <c r="Z54" s="620"/>
      <c r="AA54" s="620"/>
      <c r="AB54" s="638"/>
    </row>
    <row r="55" spans="1:28">
      <c r="A55" s="635"/>
      <c r="B55" s="625"/>
      <c r="C55" s="610"/>
      <c r="D55" s="613"/>
      <c r="E55" s="635"/>
      <c r="F55" s="610"/>
      <c r="G55" s="616"/>
      <c r="H55" s="616"/>
      <c r="I55" s="617"/>
      <c r="J55" s="616"/>
      <c r="K55" s="616"/>
      <c r="L55" s="620"/>
      <c r="M55" s="616"/>
      <c r="N55" s="616"/>
      <c r="O55" s="616"/>
      <c r="P55" s="620"/>
      <c r="Q55" s="616"/>
      <c r="R55" s="620"/>
      <c r="S55" s="620"/>
      <c r="T55" s="638"/>
      <c r="U55" s="636"/>
      <c r="V55" s="635"/>
      <c r="W55" s="610">
        <f t="shared" si="1"/>
        <v>0</v>
      </c>
      <c r="X55" s="620"/>
      <c r="Y55" s="616"/>
      <c r="Z55" s="620"/>
      <c r="AA55" s="620"/>
      <c r="AB55" s="638"/>
    </row>
    <row r="56" spans="1:28">
      <c r="A56" s="639"/>
      <c r="B56" s="625"/>
      <c r="C56" s="610">
        <f t="shared" ref="C56:C61" si="2">D56*E56</f>
        <v>0</v>
      </c>
      <c r="D56" s="613"/>
      <c r="E56" s="635"/>
      <c r="F56" s="610">
        <f t="shared" ref="F56:F61" si="3">D56*E56</f>
        <v>0</v>
      </c>
      <c r="G56" s="616"/>
      <c r="H56" s="616"/>
      <c r="I56" s="617"/>
      <c r="J56" s="616"/>
      <c r="K56" s="616"/>
      <c r="L56" s="620"/>
      <c r="M56" s="616"/>
      <c r="N56" s="616"/>
      <c r="O56" s="616"/>
      <c r="P56" s="620"/>
      <c r="Q56" s="616"/>
      <c r="R56" s="620"/>
      <c r="S56" s="620"/>
      <c r="T56" s="638"/>
      <c r="U56" s="636"/>
      <c r="V56" s="635"/>
      <c r="W56" s="610">
        <f t="shared" si="1"/>
        <v>0</v>
      </c>
      <c r="X56" s="620"/>
      <c r="Y56" s="616"/>
      <c r="Z56" s="620"/>
      <c r="AA56" s="620"/>
      <c r="AB56" s="638"/>
    </row>
    <row r="57" spans="1:28">
      <c r="A57" s="635"/>
      <c r="B57" s="625"/>
      <c r="C57" s="610">
        <f t="shared" si="2"/>
        <v>0</v>
      </c>
      <c r="D57" s="613"/>
      <c r="E57" s="637"/>
      <c r="F57" s="610">
        <f t="shared" si="3"/>
        <v>0</v>
      </c>
      <c r="G57" s="616"/>
      <c r="H57" s="616"/>
      <c r="I57" s="617"/>
      <c r="J57" s="616"/>
      <c r="K57" s="616"/>
      <c r="L57" s="620"/>
      <c r="M57" s="616"/>
      <c r="N57" s="616"/>
      <c r="O57" s="616"/>
      <c r="P57" s="620"/>
      <c r="Q57" s="616"/>
      <c r="R57" s="620"/>
      <c r="S57" s="620"/>
      <c r="T57" s="638"/>
      <c r="U57" s="636"/>
      <c r="V57" s="637"/>
      <c r="W57" s="610">
        <f t="shared" si="1"/>
        <v>0</v>
      </c>
      <c r="X57" s="620"/>
      <c r="Y57" s="616"/>
      <c r="Z57" s="620"/>
      <c r="AA57" s="620"/>
      <c r="AB57" s="638"/>
    </row>
    <row r="58" spans="1:28">
      <c r="A58" s="635"/>
      <c r="B58" s="625"/>
      <c r="C58" s="610">
        <f t="shared" si="2"/>
        <v>0</v>
      </c>
      <c r="D58" s="613"/>
      <c r="E58" s="635"/>
      <c r="F58" s="610">
        <f t="shared" si="3"/>
        <v>0</v>
      </c>
      <c r="G58" s="616"/>
      <c r="H58" s="616"/>
      <c r="I58" s="617"/>
      <c r="J58" s="616"/>
      <c r="K58" s="616"/>
      <c r="L58" s="620"/>
      <c r="M58" s="616"/>
      <c r="N58" s="616"/>
      <c r="O58" s="616"/>
      <c r="P58" s="620"/>
      <c r="Q58" s="616"/>
      <c r="R58" s="620"/>
      <c r="S58" s="620"/>
      <c r="T58" s="638"/>
      <c r="U58" s="636"/>
      <c r="V58" s="635"/>
      <c r="W58" s="610">
        <f t="shared" si="1"/>
        <v>0</v>
      </c>
      <c r="X58" s="620"/>
      <c r="Y58" s="616"/>
      <c r="Z58" s="620"/>
      <c r="AA58" s="620"/>
      <c r="AB58" s="638"/>
    </row>
    <row r="59" spans="1:28">
      <c r="A59" s="635"/>
      <c r="B59" s="625"/>
      <c r="C59" s="610">
        <f t="shared" si="2"/>
        <v>0</v>
      </c>
      <c r="D59" s="613"/>
      <c r="E59" s="637"/>
      <c r="F59" s="610">
        <f t="shared" si="3"/>
        <v>0</v>
      </c>
      <c r="G59" s="616"/>
      <c r="H59" s="616"/>
      <c r="I59" s="617"/>
      <c r="J59" s="616"/>
      <c r="K59" s="616"/>
      <c r="L59" s="620"/>
      <c r="M59" s="616"/>
      <c r="N59" s="616"/>
      <c r="O59" s="616"/>
      <c r="P59" s="620"/>
      <c r="Q59" s="616"/>
      <c r="R59" s="620"/>
      <c r="S59" s="620"/>
      <c r="T59" s="638"/>
      <c r="U59" s="636"/>
      <c r="V59" s="637"/>
      <c r="W59" s="610">
        <f t="shared" si="1"/>
        <v>0</v>
      </c>
      <c r="X59" s="620"/>
      <c r="Y59" s="616"/>
      <c r="Z59" s="620"/>
      <c r="AA59" s="620"/>
      <c r="AB59" s="638"/>
    </row>
    <row r="60" spans="1:28">
      <c r="A60" s="635"/>
      <c r="B60" s="625"/>
      <c r="C60" s="610">
        <f t="shared" si="2"/>
        <v>0</v>
      </c>
      <c r="D60" s="613"/>
      <c r="E60" s="635"/>
      <c r="F60" s="610">
        <f t="shared" si="3"/>
        <v>0</v>
      </c>
      <c r="G60" s="616"/>
      <c r="H60" s="616"/>
      <c r="I60" s="617"/>
      <c r="J60" s="616"/>
      <c r="K60" s="616"/>
      <c r="L60" s="620"/>
      <c r="M60" s="616"/>
      <c r="N60" s="616"/>
      <c r="O60" s="616"/>
      <c r="P60" s="620"/>
      <c r="Q60" s="616"/>
      <c r="R60" s="620"/>
      <c r="S60" s="620"/>
      <c r="T60" s="638"/>
      <c r="U60" s="636"/>
      <c r="V60" s="635"/>
      <c r="W60" s="610">
        <f t="shared" si="1"/>
        <v>0</v>
      </c>
      <c r="X60" s="620"/>
      <c r="Y60" s="616"/>
      <c r="Z60" s="620"/>
      <c r="AA60" s="620"/>
      <c r="AB60" s="638"/>
    </row>
    <row r="61" spans="1:28">
      <c r="A61" s="635"/>
      <c r="B61" s="640"/>
      <c r="C61" s="610">
        <f t="shared" si="2"/>
        <v>0</v>
      </c>
      <c r="D61" s="613"/>
      <c r="E61" s="614"/>
      <c r="F61" s="610">
        <f t="shared" si="3"/>
        <v>0</v>
      </c>
      <c r="G61" s="616"/>
      <c r="H61" s="616"/>
      <c r="I61" s="616"/>
      <c r="J61" s="616"/>
      <c r="K61" s="616"/>
      <c r="L61" s="620"/>
      <c r="M61" s="616"/>
      <c r="N61" s="616"/>
      <c r="O61" s="616"/>
      <c r="P61" s="620"/>
      <c r="Q61" s="616"/>
      <c r="R61" s="620"/>
      <c r="S61" s="620"/>
      <c r="T61" s="638"/>
      <c r="U61" s="636"/>
      <c r="V61" s="614"/>
      <c r="W61" s="610">
        <f t="shared" si="1"/>
        <v>0</v>
      </c>
      <c r="X61" s="620"/>
      <c r="Y61" s="616"/>
      <c r="Z61" s="620"/>
      <c r="AA61" s="620"/>
      <c r="AB61" s="638"/>
    </row>
    <row r="62" spans="1:28">
      <c r="A62" s="641"/>
      <c r="B62" s="642" t="s">
        <v>17</v>
      </c>
      <c r="C62" s="643">
        <f>SUM(C16:C61)</f>
        <v>900000</v>
      </c>
      <c r="D62" s="644"/>
      <c r="E62" s="644"/>
      <c r="F62" s="644">
        <f>SUM(F16:F61)</f>
        <v>900000</v>
      </c>
      <c r="G62" s="644">
        <f>SUM(G18:G61)</f>
        <v>0</v>
      </c>
      <c r="H62" s="644">
        <f t="shared" ref="H62:N62" si="4">SUM(H17:H61)</f>
        <v>0</v>
      </c>
      <c r="I62" s="644">
        <f t="shared" si="4"/>
        <v>96000</v>
      </c>
      <c r="J62" s="644">
        <f t="shared" si="4"/>
        <v>0</v>
      </c>
      <c r="K62" s="644">
        <f t="shared" si="4"/>
        <v>0</v>
      </c>
      <c r="L62" s="644">
        <f t="shared" si="4"/>
        <v>96000</v>
      </c>
      <c r="M62" s="644">
        <f t="shared" si="4"/>
        <v>0</v>
      </c>
      <c r="N62" s="644">
        <f t="shared" si="4"/>
        <v>9180</v>
      </c>
      <c r="O62" s="644">
        <f>SUM(O15:O61)</f>
        <v>0</v>
      </c>
      <c r="P62" s="644">
        <f>SUM(P15:P61)</f>
        <v>0</v>
      </c>
      <c r="Q62" s="644">
        <f>SUM(Q15:Q61)</f>
        <v>0</v>
      </c>
      <c r="R62" s="644">
        <f>SUM(R15:R61)</f>
        <v>0</v>
      </c>
      <c r="S62" s="644">
        <f>SUM(S17:S61)</f>
        <v>0</v>
      </c>
      <c r="T62" s="645">
        <f>W62-L62</f>
        <v>0</v>
      </c>
      <c r="U62" s="644"/>
      <c r="V62" s="644"/>
      <c r="W62" s="644">
        <f>SUM(W15:W61)</f>
        <v>96000</v>
      </c>
      <c r="X62" s="644">
        <f>SUM(X17:X61)</f>
        <v>48000</v>
      </c>
      <c r="Y62" s="644">
        <f>SUM(Y17:Y61)</f>
        <v>9180</v>
      </c>
      <c r="Z62" s="644">
        <f>SUM(Z17:Z61)</f>
        <v>0</v>
      </c>
      <c r="AA62" s="644">
        <v>0</v>
      </c>
      <c r="AB62" s="644">
        <f>SUM(AB17:AB61)</f>
        <v>96000</v>
      </c>
    </row>
    <row r="63" spans="1:28">
      <c r="A63" s="646"/>
      <c r="B63" s="647"/>
      <c r="F63" s="648"/>
      <c r="G63" s="648"/>
      <c r="H63" s="648"/>
      <c r="I63" s="648"/>
      <c r="J63" s="648"/>
      <c r="K63" s="648"/>
      <c r="L63" s="648"/>
      <c r="M63" s="648"/>
      <c r="N63" s="648"/>
      <c r="P63" s="648"/>
      <c r="Q63" s="582"/>
      <c r="R63" s="582"/>
      <c r="W63" s="648"/>
    </row>
    <row r="64" spans="1:28">
      <c r="A64" s="649"/>
      <c r="B64" s="647"/>
      <c r="F64" s="648"/>
      <c r="G64" s="648"/>
      <c r="H64" s="648"/>
      <c r="I64" s="648"/>
      <c r="J64" s="648"/>
      <c r="K64" s="648"/>
      <c r="L64" s="648"/>
      <c r="M64" s="648"/>
      <c r="N64" s="648"/>
      <c r="P64" s="648"/>
      <c r="Q64" s="582"/>
      <c r="R64" s="582"/>
      <c r="W64" s="648"/>
    </row>
    <row r="65" spans="1:23">
      <c r="F65" s="648"/>
      <c r="R65" s="582"/>
      <c r="W65" s="648"/>
    </row>
    <row r="66" spans="1:23">
      <c r="F66" s="648"/>
      <c r="R66" s="582"/>
      <c r="W66" s="648"/>
    </row>
    <row r="67" spans="1:23">
      <c r="R67" s="582"/>
    </row>
    <row r="68" spans="1:23">
      <c r="A68" s="582" t="s">
        <v>59</v>
      </c>
      <c r="F68" s="648"/>
      <c r="W68" s="648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63" type="noConversion"/>
  <conditionalFormatting sqref="U8:W9 X8:AC12">
    <cfRule type="cellIs" dxfId="58" priority="1" stopIfTrue="1" operator="equal">
      <formula>0</formula>
    </cfRule>
  </conditionalFormatting>
  <pageMargins left="0.19685039370078741" right="0.19685039370078741" top="0" bottom="0" header="0" footer="0"/>
  <pageSetup paperSize="8" scale="71" orientation="landscape" r:id="rId1"/>
  <headerFooter alignWithMargins="0"/>
  <colBreaks count="1" manualBreakCount="1">
    <brk id="20" max="1048575" man="1"/>
  </col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CE75"/>
  <sheetViews>
    <sheetView showGridLines="0" topLeftCell="L1" workbookViewId="0"/>
  </sheetViews>
  <sheetFormatPr baseColWidth="10" defaultRowHeight="12"/>
  <cols>
    <col min="1" max="1" width="10.25" customWidth="1"/>
    <col min="2" max="2" width="35.375" customWidth="1"/>
    <col min="3" max="3" width="10.125" style="792" customWidth="1"/>
    <col min="4" max="4" width="10.375" style="792" customWidth="1"/>
    <col min="5" max="5" width="7.375" style="792" customWidth="1"/>
    <col min="6" max="9" width="11" style="792"/>
    <col min="10" max="10" width="12" style="792" customWidth="1"/>
    <col min="11" max="22" width="11" style="792"/>
    <col min="23" max="23" width="11.375" style="792" bestFit="1" customWidth="1"/>
    <col min="24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9" t="s">
        <v>381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380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201400181</v>
      </c>
      <c r="C5" s="216"/>
      <c r="D5" s="216"/>
      <c r="E5" s="216"/>
      <c r="F5" s="217"/>
      <c r="G5" s="217"/>
      <c r="H5" s="1722"/>
      <c r="I5" s="217">
        <f>88%*12</f>
        <v>10.56</v>
      </c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317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7"/>
      <c r="AF8" s="787"/>
      <c r="AG8" s="787"/>
      <c r="AH8" s="787"/>
    </row>
    <row r="9" spans="1:83" s="12" customFormat="1" ht="10.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7"/>
      <c r="AF9" s="787"/>
      <c r="AG9" s="787"/>
      <c r="AH9" s="787"/>
    </row>
    <row r="10" spans="1:83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7"/>
      <c r="AF10" s="787"/>
      <c r="AG10" s="787"/>
      <c r="AH10" s="787"/>
    </row>
    <row r="11" spans="1:83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7"/>
      <c r="AF11" s="787"/>
      <c r="AG11" s="787"/>
      <c r="AH11" s="787"/>
    </row>
    <row r="12" spans="1:83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7"/>
      <c r="AF12" s="787"/>
      <c r="AG12" s="787"/>
      <c r="AH12" s="787"/>
    </row>
    <row r="13" spans="1:83" s="12" customFormat="1" ht="12.75" customHeigh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880" t="s">
        <v>382</v>
      </c>
      <c r="B14" s="882"/>
      <c r="C14" s="2270"/>
      <c r="D14" s="2270"/>
      <c r="E14" s="2270"/>
      <c r="F14" s="2270"/>
      <c r="G14" s="2271"/>
      <c r="H14" s="2271"/>
      <c r="I14" s="2270"/>
      <c r="J14" s="2270"/>
      <c r="K14" s="2270"/>
      <c r="L14" s="2270"/>
      <c r="M14" s="2270"/>
      <c r="N14" s="2270"/>
      <c r="O14" s="2270"/>
      <c r="P14" s="2270"/>
      <c r="Q14" s="2270"/>
      <c r="R14" s="2270"/>
      <c r="S14" s="2270"/>
      <c r="T14" s="2270"/>
      <c r="U14" s="2270"/>
      <c r="V14" s="2270"/>
      <c r="W14" s="2270"/>
      <c r="X14" s="2270"/>
      <c r="Y14" s="2270"/>
      <c r="Z14" s="2270"/>
      <c r="AA14" s="2270"/>
      <c r="AB14" s="883"/>
      <c r="AC14" s="788"/>
      <c r="AD14" s="788"/>
      <c r="AE14" s="787"/>
      <c r="AF14" s="787"/>
      <c r="AG14" s="787"/>
      <c r="AH14" s="787"/>
    </row>
    <row r="15" spans="1:83" s="12" customFormat="1" ht="12" customHeight="1">
      <c r="A15" s="810">
        <v>1</v>
      </c>
      <c r="B15" s="811" t="s">
        <v>386</v>
      </c>
      <c r="C15" s="2272"/>
      <c r="D15" s="2272"/>
      <c r="E15" s="2273"/>
      <c r="F15" s="2274"/>
      <c r="G15" s="2274"/>
      <c r="H15" s="2274"/>
      <c r="I15" s="2274"/>
      <c r="J15" s="2274"/>
      <c r="K15" s="2274"/>
      <c r="L15" s="2274"/>
      <c r="M15" s="2274"/>
      <c r="N15" s="2274"/>
      <c r="O15" s="2273"/>
      <c r="P15" s="2274"/>
      <c r="Q15" s="2272"/>
      <c r="R15" s="2272"/>
      <c r="S15" s="1751"/>
      <c r="T15" s="2275"/>
      <c r="U15" s="2272"/>
      <c r="V15" s="2273"/>
      <c r="W15" s="2274"/>
      <c r="X15" s="2274"/>
      <c r="Y15" s="2274"/>
      <c r="Z15" s="2274"/>
      <c r="AA15" s="2272"/>
      <c r="AB15" s="818"/>
      <c r="AC15" s="788"/>
      <c r="AD15" s="788"/>
      <c r="AE15" s="787"/>
      <c r="AF15" s="787"/>
      <c r="AG15" s="787"/>
      <c r="AH15" s="787"/>
    </row>
    <row r="16" spans="1:83" s="12" customFormat="1" ht="12.75">
      <c r="A16" s="881"/>
      <c r="B16" s="816" t="s">
        <v>123</v>
      </c>
      <c r="C16" s="1751">
        <f>380000*1.2</f>
        <v>456000</v>
      </c>
      <c r="D16" s="1751">
        <f>C16*0.75</f>
        <v>342000</v>
      </c>
      <c r="E16" s="1752">
        <v>1</v>
      </c>
      <c r="F16" s="886">
        <f>D16*E16</f>
        <v>342000</v>
      </c>
      <c r="G16" s="500">
        <f>1.2*10500+28800</f>
        <v>41400</v>
      </c>
      <c r="H16" s="1764" t="s">
        <v>442</v>
      </c>
      <c r="I16" s="797">
        <f>U16</f>
        <v>342000</v>
      </c>
      <c r="J16" s="797"/>
      <c r="K16" s="500"/>
      <c r="L16" s="2276">
        <f>I16-J16+K16</f>
        <v>342000</v>
      </c>
      <c r="M16" s="886"/>
      <c r="N16" s="886">
        <f>G16</f>
        <v>41400</v>
      </c>
      <c r="O16" s="2340">
        <f>+P16/D16</f>
        <v>0.97850877192982455</v>
      </c>
      <c r="P16" s="2340">
        <v>334650</v>
      </c>
      <c r="Q16" s="886"/>
      <c r="R16" s="2340"/>
      <c r="S16" s="886">
        <f>+P16-R16</f>
        <v>334650</v>
      </c>
      <c r="T16" s="886">
        <f>F16-L16</f>
        <v>0</v>
      </c>
      <c r="U16" s="886">
        <f>D16</f>
        <v>342000</v>
      </c>
      <c r="V16" s="886">
        <v>1</v>
      </c>
      <c r="W16" s="886">
        <f>+U16*V16</f>
        <v>342000</v>
      </c>
      <c r="X16" s="886">
        <v>383850</v>
      </c>
      <c r="Y16" s="886">
        <v>41400</v>
      </c>
      <c r="Z16" s="886"/>
      <c r="AA16" s="886"/>
      <c r="AB16" s="886">
        <f>F16</f>
        <v>342000</v>
      </c>
      <c r="AC16" s="788"/>
      <c r="AD16" s="788"/>
      <c r="AE16" s="787"/>
      <c r="AF16" s="787"/>
      <c r="AG16" s="787"/>
      <c r="AH16" s="787"/>
    </row>
    <row r="17" spans="1:34" s="12" customFormat="1" ht="12.75">
      <c r="A17" s="813" t="s">
        <v>383</v>
      </c>
      <c r="B17" s="814"/>
      <c r="C17" s="1751"/>
      <c r="D17" s="1763"/>
      <c r="E17" s="1752"/>
      <c r="F17" s="886"/>
      <c r="G17" s="500"/>
      <c r="H17" s="1764"/>
      <c r="I17" s="797"/>
      <c r="J17" s="2261"/>
      <c r="K17" s="500"/>
      <c r="L17" s="500"/>
      <c r="M17" s="886"/>
      <c r="N17" s="886"/>
      <c r="O17" s="2340"/>
      <c r="P17" s="2340"/>
      <c r="Q17" s="886"/>
      <c r="R17" s="886"/>
      <c r="S17" s="886"/>
      <c r="T17" s="886"/>
      <c r="U17" s="886"/>
      <c r="V17" s="886"/>
      <c r="W17" s="886"/>
      <c r="X17" s="886"/>
      <c r="Y17" s="886"/>
      <c r="Z17" s="886"/>
      <c r="AA17" s="886"/>
      <c r="AB17" s="886"/>
      <c r="AC17" s="788"/>
      <c r="AD17" s="788"/>
      <c r="AE17" s="787"/>
      <c r="AF17" s="787"/>
      <c r="AG17" s="787"/>
      <c r="AH17" s="787"/>
    </row>
    <row r="18" spans="1:34" s="12" customFormat="1" ht="12.75">
      <c r="A18" s="813">
        <v>1</v>
      </c>
      <c r="B18" s="817" t="s">
        <v>387</v>
      </c>
      <c r="C18" s="1773"/>
      <c r="D18" s="886"/>
      <c r="E18" s="1752"/>
      <c r="F18" s="886"/>
      <c r="G18" s="500"/>
      <c r="H18" s="1764"/>
      <c r="I18" s="797"/>
      <c r="J18" s="2261"/>
      <c r="K18" s="500"/>
      <c r="L18" s="500"/>
      <c r="M18" s="886"/>
      <c r="N18" s="886"/>
      <c r="O18" s="2340"/>
      <c r="P18" s="2340"/>
      <c r="Q18" s="886"/>
      <c r="R18" s="886"/>
      <c r="S18" s="886"/>
      <c r="T18" s="886"/>
      <c r="U18" s="886"/>
      <c r="V18" s="886"/>
      <c r="W18" s="886"/>
      <c r="X18" s="886"/>
      <c r="Y18" s="886"/>
      <c r="Z18" s="886"/>
      <c r="AA18" s="886"/>
      <c r="AB18" s="886"/>
      <c r="AC18" s="788"/>
      <c r="AD18" s="788"/>
      <c r="AE18" s="787"/>
      <c r="AF18" s="787"/>
      <c r="AG18" s="787"/>
      <c r="AH18" s="787"/>
    </row>
    <row r="19" spans="1:34" s="12" customFormat="1" ht="12.75">
      <c r="A19" s="815"/>
      <c r="B19" s="816" t="s">
        <v>123</v>
      </c>
      <c r="C19" s="1751">
        <f>380000*1.2</f>
        <v>456000</v>
      </c>
      <c r="D19" s="1751">
        <f>C19*0.75</f>
        <v>342000</v>
      </c>
      <c r="E19" s="1752">
        <v>1</v>
      </c>
      <c r="F19" s="886">
        <f>D19*E19</f>
        <v>342000</v>
      </c>
      <c r="G19" s="500">
        <f>1.2*10500+22000</f>
        <v>34600</v>
      </c>
      <c r="H19" s="45"/>
      <c r="I19" s="797">
        <f t="shared" ref="I19:I25" si="0">U19</f>
        <v>342000</v>
      </c>
      <c r="J19" s="2261">
        <f>0.1*I19</f>
        <v>34200</v>
      </c>
      <c r="K19" s="797"/>
      <c r="L19" s="500">
        <f>I19-J19+K19</f>
        <v>307800</v>
      </c>
      <c r="M19" s="886"/>
      <c r="N19" s="886">
        <f>G19</f>
        <v>34600</v>
      </c>
      <c r="O19" s="2340"/>
      <c r="P19" s="2340"/>
      <c r="Q19" s="886"/>
      <c r="R19" s="886"/>
      <c r="S19" s="886">
        <f>+P19-R19</f>
        <v>0</v>
      </c>
      <c r="T19" s="886">
        <f>F19-L19</f>
        <v>34200</v>
      </c>
      <c r="U19" s="886">
        <f>D19</f>
        <v>342000</v>
      </c>
      <c r="V19" s="886">
        <v>1</v>
      </c>
      <c r="W19" s="886">
        <f>+U19*V19</f>
        <v>342000</v>
      </c>
      <c r="X19" s="886">
        <v>68400</v>
      </c>
      <c r="Y19" s="886">
        <v>34600</v>
      </c>
      <c r="Z19" s="886"/>
      <c r="AA19" s="886"/>
      <c r="AB19" s="886">
        <f>F19</f>
        <v>342000</v>
      </c>
      <c r="AC19" s="788"/>
      <c r="AD19" s="788"/>
      <c r="AE19" s="787"/>
      <c r="AF19" s="787"/>
      <c r="AG19" s="787"/>
      <c r="AH19" s="787"/>
    </row>
    <row r="20" spans="1:34" s="12" customFormat="1" ht="12.75">
      <c r="A20" s="813" t="s">
        <v>384</v>
      </c>
      <c r="B20" s="816"/>
      <c r="C20" s="1751"/>
      <c r="D20" s="45"/>
      <c r="E20" s="1752"/>
      <c r="F20" s="886"/>
      <c r="G20" s="797"/>
      <c r="H20" s="45"/>
      <c r="I20" s="797"/>
      <c r="J20" s="2261"/>
      <c r="K20" s="797"/>
      <c r="L20" s="500"/>
      <c r="M20" s="886"/>
      <c r="N20" s="886"/>
      <c r="O20" s="2340"/>
      <c r="P20" s="2340"/>
      <c r="Q20" s="886"/>
      <c r="R20" s="886"/>
      <c r="S20" s="886"/>
      <c r="T20" s="886"/>
      <c r="U20" s="886"/>
      <c r="V20" s="886"/>
      <c r="W20" s="886"/>
      <c r="X20" s="886"/>
      <c r="Y20" s="886"/>
      <c r="Z20" s="886"/>
      <c r="AA20" s="886"/>
      <c r="AB20" s="886"/>
      <c r="AC20" s="788"/>
      <c r="AD20" s="788"/>
      <c r="AE20" s="787"/>
      <c r="AF20" s="787"/>
      <c r="AG20" s="787"/>
      <c r="AH20" s="787"/>
    </row>
    <row r="21" spans="1:34" s="12" customFormat="1" ht="12.75">
      <c r="A21" s="813">
        <v>1</v>
      </c>
      <c r="B21" s="811" t="s">
        <v>388</v>
      </c>
      <c r="C21" s="2277"/>
      <c r="D21" s="2278"/>
      <c r="E21" s="2278"/>
      <c r="F21" s="2279"/>
      <c r="G21" s="797"/>
      <c r="H21" s="45"/>
      <c r="I21" s="797"/>
      <c r="J21" s="797"/>
      <c r="K21" s="797"/>
      <c r="L21" s="500"/>
      <c r="M21" s="886"/>
      <c r="N21" s="886"/>
      <c r="O21" s="2340"/>
      <c r="P21" s="2340"/>
      <c r="Q21" s="886"/>
      <c r="R21" s="886"/>
      <c r="S21" s="886"/>
      <c r="T21" s="886"/>
      <c r="U21" s="886"/>
      <c r="V21" s="886"/>
      <c r="W21" s="886"/>
      <c r="X21" s="886"/>
      <c r="Y21" s="886"/>
      <c r="Z21" s="886"/>
      <c r="AA21" s="886"/>
      <c r="AB21" s="886"/>
      <c r="AC21" s="788"/>
      <c r="AD21" s="788"/>
      <c r="AE21" s="787"/>
      <c r="AF21" s="787"/>
      <c r="AG21" s="787"/>
      <c r="AH21" s="787"/>
    </row>
    <row r="22" spans="1:34" s="12" customFormat="1" ht="12.75">
      <c r="A22" s="815"/>
      <c r="B22" s="816" t="s">
        <v>123</v>
      </c>
      <c r="C22" s="1751">
        <f>450000*1.2</f>
        <v>540000</v>
      </c>
      <c r="D22" s="1751">
        <f>C22*0.75</f>
        <v>405000</v>
      </c>
      <c r="E22" s="1752">
        <v>1</v>
      </c>
      <c r="F22" s="886">
        <f>D22*E22</f>
        <v>405000</v>
      </c>
      <c r="G22" s="500">
        <f>1.2*10500+18000+4800</f>
        <v>35400</v>
      </c>
      <c r="H22" s="45"/>
      <c r="I22" s="797">
        <f t="shared" si="0"/>
        <v>405000</v>
      </c>
      <c r="J22" s="797"/>
      <c r="K22" s="797"/>
      <c r="L22" s="500">
        <f>I22-J22+K22</f>
        <v>405000</v>
      </c>
      <c r="M22" s="886"/>
      <c r="N22" s="886">
        <f>G22</f>
        <v>35400</v>
      </c>
      <c r="O22" s="2340">
        <f>+P22/D22</f>
        <v>1.0322222222222222</v>
      </c>
      <c r="P22" s="2340">
        <v>418050</v>
      </c>
      <c r="Q22" s="886"/>
      <c r="R22" s="886"/>
      <c r="S22" s="886">
        <f>+P22-R22</f>
        <v>418050</v>
      </c>
      <c r="T22" s="886">
        <f>F22-L22</f>
        <v>0</v>
      </c>
      <c r="U22" s="886">
        <f>D22</f>
        <v>405000</v>
      </c>
      <c r="V22" s="886">
        <v>1</v>
      </c>
      <c r="W22" s="886">
        <f>+U22*V22</f>
        <v>405000</v>
      </c>
      <c r="X22" s="886">
        <v>202500</v>
      </c>
      <c r="Y22" s="886">
        <v>35400</v>
      </c>
      <c r="Z22" s="886"/>
      <c r="AA22" s="886"/>
      <c r="AB22" s="886">
        <f>F22</f>
        <v>405000</v>
      </c>
      <c r="AC22" s="788"/>
      <c r="AD22" s="788"/>
      <c r="AE22" s="787"/>
      <c r="AF22" s="787"/>
      <c r="AG22" s="787"/>
      <c r="AH22" s="787"/>
    </row>
    <row r="23" spans="1:34" s="12" customFormat="1" ht="12.75">
      <c r="A23" s="813" t="s">
        <v>385</v>
      </c>
      <c r="B23" s="811"/>
      <c r="C23" s="1751"/>
      <c r="D23" s="45"/>
      <c r="E23" s="1752"/>
      <c r="F23" s="886"/>
      <c r="G23" s="797"/>
      <c r="H23" s="45"/>
      <c r="I23" s="797"/>
      <c r="J23" s="797"/>
      <c r="K23" s="797"/>
      <c r="L23" s="500"/>
      <c r="M23" s="886"/>
      <c r="N23" s="886"/>
      <c r="O23" s="2340"/>
      <c r="P23" s="2340"/>
      <c r="Q23" s="886"/>
      <c r="R23" s="886"/>
      <c r="S23" s="886"/>
      <c r="T23" s="886"/>
      <c r="U23" s="886"/>
      <c r="V23" s="886"/>
      <c r="W23" s="886"/>
      <c r="X23" s="886"/>
      <c r="Y23" s="886"/>
      <c r="Z23" s="886"/>
      <c r="AA23" s="886"/>
      <c r="AB23" s="886"/>
      <c r="AC23" s="788"/>
      <c r="AD23" s="788"/>
      <c r="AE23" s="787"/>
      <c r="AF23" s="787"/>
      <c r="AG23" s="787"/>
      <c r="AH23" s="787"/>
    </row>
    <row r="24" spans="1:34" s="12" customFormat="1" ht="12.75">
      <c r="A24" s="815"/>
      <c r="B24" s="811" t="s">
        <v>389</v>
      </c>
      <c r="C24" s="1751"/>
      <c r="D24" s="45"/>
      <c r="E24" s="1752"/>
      <c r="F24" s="886"/>
      <c r="G24" s="797"/>
      <c r="H24" s="45"/>
      <c r="I24" s="797"/>
      <c r="J24" s="797"/>
      <c r="K24" s="797"/>
      <c r="L24" s="500"/>
      <c r="M24" s="886"/>
      <c r="N24" s="886"/>
      <c r="O24" s="2340"/>
      <c r="P24" s="2340"/>
      <c r="Q24" s="886"/>
      <c r="R24" s="886"/>
      <c r="S24" s="886"/>
      <c r="T24" s="886"/>
      <c r="U24" s="886"/>
      <c r="V24" s="886"/>
      <c r="W24" s="886"/>
      <c r="X24" s="886"/>
      <c r="Y24" s="886"/>
      <c r="Z24" s="886"/>
      <c r="AA24" s="886"/>
      <c r="AB24" s="886"/>
      <c r="AC24" s="788"/>
      <c r="AD24" s="788"/>
      <c r="AE24" s="787"/>
      <c r="AF24" s="787"/>
      <c r="AG24" s="787"/>
      <c r="AH24" s="787"/>
    </row>
    <row r="25" spans="1:34" s="12" customFormat="1" ht="12.75">
      <c r="A25" s="809"/>
      <c r="B25" s="816" t="s">
        <v>123</v>
      </c>
      <c r="C25" s="1751">
        <f>420000*1.2</f>
        <v>504000</v>
      </c>
      <c r="D25" s="1751">
        <f>C25*0.75</f>
        <v>378000</v>
      </c>
      <c r="E25" s="1752">
        <v>1</v>
      </c>
      <c r="F25" s="886">
        <f>D25*E25</f>
        <v>378000</v>
      </c>
      <c r="G25" s="500">
        <f>1.2*10500+21600</f>
        <v>34200</v>
      </c>
      <c r="H25" s="45"/>
      <c r="I25" s="797">
        <f t="shared" si="0"/>
        <v>378000</v>
      </c>
      <c r="J25" s="797"/>
      <c r="K25" s="797"/>
      <c r="L25" s="500">
        <f>I25-J25+K25</f>
        <v>378000</v>
      </c>
      <c r="M25" s="886"/>
      <c r="N25" s="886">
        <f>G25+11600</f>
        <v>45800</v>
      </c>
      <c r="O25" s="2340">
        <f>+P25/D25</f>
        <v>1.0123015873015873</v>
      </c>
      <c r="P25" s="2340">
        <v>382650</v>
      </c>
      <c r="Q25" s="886"/>
      <c r="R25" s="886"/>
      <c r="S25" s="886">
        <f>+P25-R25</f>
        <v>382650</v>
      </c>
      <c r="T25" s="886">
        <f>F25-L25</f>
        <v>0</v>
      </c>
      <c r="U25" s="886">
        <f>D25</f>
        <v>378000</v>
      </c>
      <c r="V25" s="886">
        <v>1</v>
      </c>
      <c r="W25" s="886">
        <f>+U25*V25</f>
        <v>378000</v>
      </c>
      <c r="X25" s="886">
        <v>189000</v>
      </c>
      <c r="Y25" s="886">
        <v>45800</v>
      </c>
      <c r="Z25" s="886"/>
      <c r="AA25" s="886"/>
      <c r="AB25" s="886"/>
      <c r="AC25" s="788"/>
      <c r="AD25" s="788"/>
      <c r="AE25" s="787"/>
      <c r="AF25" s="787"/>
      <c r="AG25" s="787"/>
      <c r="AH25" s="787"/>
    </row>
    <row r="26" spans="1:34" s="12" customFormat="1" ht="12.75">
      <c r="A26" s="809"/>
      <c r="B26" s="811"/>
      <c r="C26" s="45"/>
      <c r="D26" s="45"/>
      <c r="E26" s="1752"/>
      <c r="F26" s="886"/>
      <c r="G26" s="797"/>
      <c r="H26" s="45"/>
      <c r="I26" s="797"/>
      <c r="J26" s="797"/>
      <c r="K26" s="797"/>
      <c r="L26" s="500"/>
      <c r="M26" s="886"/>
      <c r="N26" s="886"/>
      <c r="O26" s="886"/>
      <c r="P26" s="886"/>
      <c r="Q26" s="886"/>
      <c r="R26" s="886"/>
      <c r="S26" s="886"/>
      <c r="T26" s="886"/>
      <c r="U26" s="886"/>
      <c r="V26" s="886"/>
      <c r="W26" s="886"/>
      <c r="X26" s="886"/>
      <c r="Y26" s="886"/>
      <c r="Z26" s="886"/>
      <c r="AA26" s="886"/>
      <c r="AB26" s="886"/>
      <c r="AC26" s="788"/>
      <c r="AD26" s="788"/>
      <c r="AE26" s="787"/>
      <c r="AF26" s="787"/>
      <c r="AG26" s="787"/>
      <c r="AH26" s="787"/>
    </row>
    <row r="27" spans="1:34" s="12" customFormat="1" ht="12.75">
      <c r="A27" s="809"/>
      <c r="B27" s="806"/>
      <c r="C27" s="2280"/>
      <c r="D27" s="2280"/>
      <c r="E27" s="2273"/>
      <c r="F27" s="2274"/>
      <c r="G27" s="45"/>
      <c r="H27" s="45"/>
      <c r="I27" s="45"/>
      <c r="J27" s="45"/>
      <c r="K27" s="45"/>
      <c r="L27" s="886"/>
      <c r="M27" s="886"/>
      <c r="N27" s="886"/>
      <c r="O27" s="886"/>
      <c r="P27" s="886"/>
      <c r="Q27" s="886"/>
      <c r="R27" s="886"/>
      <c r="S27" s="886"/>
      <c r="T27" s="886"/>
      <c r="U27" s="886"/>
      <c r="V27" s="886"/>
      <c r="W27" s="886"/>
      <c r="X27" s="886"/>
      <c r="Y27" s="886"/>
      <c r="Z27" s="886"/>
      <c r="AA27" s="886"/>
      <c r="AB27" s="886"/>
      <c r="AC27" s="788"/>
      <c r="AD27" s="788"/>
      <c r="AE27" s="787"/>
      <c r="AF27" s="787"/>
      <c r="AG27" s="787"/>
      <c r="AH27" s="787"/>
    </row>
    <row r="28" spans="1:34" s="12" customFormat="1" ht="12.75">
      <c r="A28" s="809"/>
      <c r="B28" s="806"/>
      <c r="C28" s="2280"/>
      <c r="D28" s="2280"/>
      <c r="E28" s="2273"/>
      <c r="F28" s="2274"/>
      <c r="G28" s="45"/>
      <c r="H28" s="45"/>
      <c r="I28" s="45"/>
      <c r="J28" s="45"/>
      <c r="K28" s="45"/>
      <c r="L28" s="886"/>
      <c r="M28" s="886"/>
      <c r="N28" s="886"/>
      <c r="O28" s="886"/>
      <c r="P28" s="886"/>
      <c r="Q28" s="886"/>
      <c r="R28" s="886"/>
      <c r="S28" s="886"/>
      <c r="T28" s="886"/>
      <c r="U28" s="886"/>
      <c r="V28" s="886"/>
      <c r="W28" s="886"/>
      <c r="X28" s="886"/>
      <c r="Y28" s="886"/>
      <c r="Z28" s="886"/>
      <c r="AA28" s="886"/>
      <c r="AB28" s="886"/>
      <c r="AC28" s="788"/>
      <c r="AD28" s="788"/>
      <c r="AE28" s="787"/>
      <c r="AF28" s="787"/>
      <c r="AG28" s="787"/>
      <c r="AH28" s="787"/>
    </row>
    <row r="29" spans="1:34" s="12" customFormat="1" ht="12.75">
      <c r="A29" s="809"/>
      <c r="B29" s="806"/>
      <c r="C29" s="2280"/>
      <c r="D29" s="2280"/>
      <c r="E29" s="2273"/>
      <c r="F29" s="2274"/>
      <c r="G29" s="45"/>
      <c r="H29" s="45"/>
      <c r="I29" s="45"/>
      <c r="J29" s="45"/>
      <c r="K29" s="45"/>
      <c r="L29" s="886"/>
      <c r="M29" s="886"/>
      <c r="N29" s="886"/>
      <c r="O29" s="886"/>
      <c r="P29" s="886"/>
      <c r="Q29" s="886"/>
      <c r="R29" s="886"/>
      <c r="S29" s="886"/>
      <c r="T29" s="886"/>
      <c r="U29" s="886"/>
      <c r="V29" s="886"/>
      <c r="W29" s="886"/>
      <c r="X29" s="886"/>
      <c r="Y29" s="886"/>
      <c r="Z29" s="886"/>
      <c r="AA29" s="886"/>
      <c r="AB29" s="886"/>
      <c r="AC29" s="788"/>
      <c r="AD29" s="788"/>
      <c r="AE29" s="787"/>
      <c r="AF29" s="787"/>
      <c r="AG29" s="787"/>
      <c r="AH29" s="787"/>
    </row>
    <row r="30" spans="1:34" s="12" customFormat="1" ht="12.75">
      <c r="A30" s="809"/>
      <c r="B30" s="806"/>
      <c r="C30" s="2280"/>
      <c r="D30" s="2280"/>
      <c r="E30" s="2273"/>
      <c r="F30" s="2274"/>
      <c r="G30" s="45"/>
      <c r="H30" s="45"/>
      <c r="I30" s="45"/>
      <c r="J30" s="45"/>
      <c r="K30" s="45"/>
      <c r="L30" s="886"/>
      <c r="M30" s="886"/>
      <c r="N30" s="886"/>
      <c r="O30" s="886"/>
      <c r="P30" s="886"/>
      <c r="Q30" s="886"/>
      <c r="R30" s="886"/>
      <c r="S30" s="886"/>
      <c r="T30" s="886"/>
      <c r="U30" s="886"/>
      <c r="V30" s="886"/>
      <c r="W30" s="886"/>
      <c r="X30" s="886"/>
      <c r="Y30" s="886"/>
      <c r="Z30" s="886"/>
      <c r="AA30" s="886"/>
      <c r="AB30" s="886"/>
      <c r="AC30" s="788"/>
      <c r="AD30" s="788"/>
      <c r="AE30" s="787"/>
      <c r="AF30" s="787"/>
      <c r="AG30" s="787"/>
      <c r="AH30" s="787"/>
    </row>
    <row r="31" spans="1:34" s="12" customFormat="1" ht="12.75">
      <c r="A31" s="809"/>
      <c r="B31" s="806"/>
      <c r="C31" s="2280"/>
      <c r="D31" s="2280"/>
      <c r="E31" s="2273"/>
      <c r="F31" s="2274"/>
      <c r="G31" s="45"/>
      <c r="H31" s="45"/>
      <c r="I31" s="45"/>
      <c r="J31" s="45"/>
      <c r="K31" s="45"/>
      <c r="L31" s="886"/>
      <c r="M31" s="886"/>
      <c r="N31" s="886"/>
      <c r="O31" s="886"/>
      <c r="P31" s="886"/>
      <c r="Q31" s="886"/>
      <c r="R31" s="886"/>
      <c r="S31" s="886"/>
      <c r="T31" s="886"/>
      <c r="U31" s="886"/>
      <c r="V31" s="886"/>
      <c r="W31" s="886"/>
      <c r="X31" s="886"/>
      <c r="Y31" s="886"/>
      <c r="Z31" s="886"/>
      <c r="AA31" s="886"/>
      <c r="AB31" s="886"/>
      <c r="AC31" s="788"/>
      <c r="AD31" s="788"/>
      <c r="AE31" s="787"/>
      <c r="AF31" s="787"/>
      <c r="AG31" s="787"/>
      <c r="AH31" s="787"/>
    </row>
    <row r="32" spans="1:34" s="12" customFormat="1" ht="12.75">
      <c r="A32" s="809"/>
      <c r="B32" s="806"/>
      <c r="C32" s="2280"/>
      <c r="D32" s="2280"/>
      <c r="E32" s="2273"/>
      <c r="F32" s="2274"/>
      <c r="G32" s="45"/>
      <c r="H32" s="45"/>
      <c r="I32" s="45"/>
      <c r="J32" s="45"/>
      <c r="K32" s="45"/>
      <c r="L32" s="886"/>
      <c r="M32" s="886"/>
      <c r="N32" s="886"/>
      <c r="O32" s="886"/>
      <c r="P32" s="886"/>
      <c r="Q32" s="886"/>
      <c r="R32" s="886"/>
      <c r="S32" s="886"/>
      <c r="T32" s="886"/>
      <c r="U32" s="886"/>
      <c r="V32" s="886"/>
      <c r="W32" s="886"/>
      <c r="X32" s="886"/>
      <c r="Y32" s="886"/>
      <c r="Z32" s="886"/>
      <c r="AA32" s="886"/>
      <c r="AB32" s="886"/>
      <c r="AC32" s="788"/>
      <c r="AD32" s="788"/>
      <c r="AE32" s="787"/>
      <c r="AF32" s="787"/>
      <c r="AG32" s="787"/>
      <c r="AH32" s="787"/>
    </row>
    <row r="33" spans="1:34" s="12" customFormat="1" ht="12.75">
      <c r="A33" s="809"/>
      <c r="B33" s="806"/>
      <c r="C33" s="2280"/>
      <c r="D33" s="2280"/>
      <c r="E33" s="2273"/>
      <c r="F33" s="2274"/>
      <c r="G33" s="45"/>
      <c r="H33" s="45"/>
      <c r="I33" s="45"/>
      <c r="J33" s="45"/>
      <c r="K33" s="45"/>
      <c r="L33" s="886"/>
      <c r="M33" s="886"/>
      <c r="N33" s="886"/>
      <c r="O33" s="886"/>
      <c r="P33" s="886"/>
      <c r="Q33" s="886"/>
      <c r="R33" s="886"/>
      <c r="S33" s="886"/>
      <c r="T33" s="886"/>
      <c r="U33" s="886"/>
      <c r="V33" s="886"/>
      <c r="W33" s="886"/>
      <c r="X33" s="886"/>
      <c r="Y33" s="886"/>
      <c r="Z33" s="886"/>
      <c r="AA33" s="886"/>
      <c r="AB33" s="886"/>
      <c r="AC33" s="788"/>
      <c r="AD33" s="788"/>
      <c r="AE33" s="787"/>
      <c r="AF33" s="787"/>
      <c r="AG33" s="787"/>
      <c r="AH33" s="787"/>
    </row>
    <row r="34" spans="1:34" s="12" customFormat="1" ht="12.75">
      <c r="A34" s="809"/>
      <c r="B34" s="806"/>
      <c r="C34" s="2280"/>
      <c r="D34" s="2280"/>
      <c r="E34" s="2273"/>
      <c r="F34" s="2274"/>
      <c r="G34" s="45"/>
      <c r="H34" s="45"/>
      <c r="I34" s="45"/>
      <c r="J34" s="45"/>
      <c r="K34" s="45"/>
      <c r="L34" s="886"/>
      <c r="M34" s="886"/>
      <c r="N34" s="886"/>
      <c r="O34" s="886"/>
      <c r="P34" s="886"/>
      <c r="Q34" s="886"/>
      <c r="R34" s="886"/>
      <c r="S34" s="886"/>
      <c r="T34" s="886"/>
      <c r="U34" s="886"/>
      <c r="V34" s="886"/>
      <c r="W34" s="886"/>
      <c r="X34" s="886"/>
      <c r="Y34" s="886"/>
      <c r="Z34" s="886"/>
      <c r="AA34" s="886"/>
      <c r="AB34" s="886"/>
      <c r="AC34" s="788"/>
      <c r="AD34" s="788"/>
      <c r="AE34" s="787"/>
      <c r="AF34" s="787"/>
      <c r="AG34" s="787"/>
      <c r="AH34" s="787"/>
    </row>
    <row r="35" spans="1:34" s="12" customFormat="1" ht="12.75">
      <c r="A35" s="809"/>
      <c r="B35" s="806"/>
      <c r="C35" s="2280"/>
      <c r="D35" s="2280"/>
      <c r="E35" s="2273"/>
      <c r="F35" s="2274"/>
      <c r="G35" s="45"/>
      <c r="H35" s="45"/>
      <c r="I35" s="45"/>
      <c r="J35" s="45"/>
      <c r="K35" s="45"/>
      <c r="L35" s="886"/>
      <c r="M35" s="886"/>
      <c r="N35" s="886"/>
      <c r="O35" s="886"/>
      <c r="P35" s="886"/>
      <c r="Q35" s="886"/>
      <c r="R35" s="886"/>
      <c r="S35" s="886"/>
      <c r="T35" s="886"/>
      <c r="U35" s="886"/>
      <c r="V35" s="886"/>
      <c r="W35" s="886"/>
      <c r="X35" s="886"/>
      <c r="Y35" s="886"/>
      <c r="Z35" s="886"/>
      <c r="AA35" s="886"/>
      <c r="AB35" s="886"/>
      <c r="AC35" s="788"/>
      <c r="AD35" s="788"/>
      <c r="AE35" s="787"/>
      <c r="AF35" s="787"/>
      <c r="AG35" s="787"/>
      <c r="AH35" s="787"/>
    </row>
    <row r="36" spans="1:34" s="12" customFormat="1" ht="12.75">
      <c r="A36" s="809"/>
      <c r="B36" s="806"/>
      <c r="C36" s="2280"/>
      <c r="D36" s="2280"/>
      <c r="E36" s="2273"/>
      <c r="F36" s="2274"/>
      <c r="G36" s="45"/>
      <c r="H36" s="45"/>
      <c r="I36" s="45"/>
      <c r="J36" s="45"/>
      <c r="K36" s="45"/>
      <c r="L36" s="886"/>
      <c r="M36" s="886"/>
      <c r="N36" s="886"/>
      <c r="O36" s="886"/>
      <c r="P36" s="886"/>
      <c r="Q36" s="886"/>
      <c r="R36" s="886"/>
      <c r="S36" s="886"/>
      <c r="T36" s="886"/>
      <c r="U36" s="886"/>
      <c r="V36" s="886"/>
      <c r="W36" s="886"/>
      <c r="X36" s="886"/>
      <c r="Y36" s="886"/>
      <c r="Z36" s="886"/>
      <c r="AA36" s="886"/>
      <c r="AB36" s="886"/>
      <c r="AC36" s="788"/>
      <c r="AD36" s="788"/>
      <c r="AE36" s="787"/>
      <c r="AF36" s="787"/>
      <c r="AG36" s="787"/>
      <c r="AH36" s="787"/>
    </row>
    <row r="37" spans="1:34" s="12" customFormat="1" ht="12.75">
      <c r="A37" s="809"/>
      <c r="B37" s="806"/>
      <c r="C37" s="2280"/>
      <c r="D37" s="2280"/>
      <c r="E37" s="2273"/>
      <c r="F37" s="2274"/>
      <c r="G37" s="45"/>
      <c r="H37" s="45"/>
      <c r="I37" s="45"/>
      <c r="J37" s="45"/>
      <c r="K37" s="45"/>
      <c r="L37" s="886"/>
      <c r="M37" s="886"/>
      <c r="N37" s="886"/>
      <c r="O37" s="886"/>
      <c r="P37" s="886"/>
      <c r="Q37" s="886"/>
      <c r="R37" s="886"/>
      <c r="S37" s="886"/>
      <c r="T37" s="886"/>
      <c r="U37" s="886"/>
      <c r="V37" s="886"/>
      <c r="W37" s="886"/>
      <c r="X37" s="886"/>
      <c r="Y37" s="886"/>
      <c r="Z37" s="886"/>
      <c r="AA37" s="886"/>
      <c r="AB37" s="886"/>
      <c r="AC37" s="788"/>
      <c r="AD37" s="788"/>
      <c r="AE37" s="787"/>
      <c r="AF37" s="787"/>
      <c r="AG37" s="787"/>
      <c r="AH37" s="787"/>
    </row>
    <row r="38" spans="1:34" s="12" customFormat="1" ht="12.75">
      <c r="A38" s="809"/>
      <c r="B38" s="806"/>
      <c r="C38" s="2280"/>
      <c r="D38" s="2280"/>
      <c r="E38" s="2273"/>
      <c r="F38" s="2274"/>
      <c r="G38" s="45"/>
      <c r="H38" s="45"/>
      <c r="I38" s="45"/>
      <c r="J38" s="45"/>
      <c r="K38" s="45"/>
      <c r="L38" s="886"/>
      <c r="M38" s="886"/>
      <c r="N38" s="886"/>
      <c r="O38" s="886"/>
      <c r="P38" s="886"/>
      <c r="Q38" s="886"/>
      <c r="R38" s="886"/>
      <c r="S38" s="886"/>
      <c r="T38" s="886"/>
      <c r="U38" s="886"/>
      <c r="V38" s="886"/>
      <c r="W38" s="886"/>
      <c r="X38" s="886"/>
      <c r="Y38" s="886"/>
      <c r="Z38" s="886"/>
      <c r="AA38" s="886"/>
      <c r="AB38" s="886"/>
      <c r="AC38" s="788"/>
      <c r="AD38" s="788"/>
      <c r="AE38" s="787"/>
      <c r="AF38" s="787"/>
      <c r="AG38" s="787"/>
      <c r="AH38" s="787"/>
    </row>
    <row r="39" spans="1:34" s="12" customFormat="1" ht="12.75">
      <c r="A39" s="809"/>
      <c r="B39" s="806"/>
      <c r="C39" s="2280"/>
      <c r="D39" s="2280"/>
      <c r="E39" s="2273"/>
      <c r="F39" s="2274"/>
      <c r="G39" s="45"/>
      <c r="H39" s="45"/>
      <c r="I39" s="45"/>
      <c r="J39" s="45"/>
      <c r="K39" s="45"/>
      <c r="L39" s="886"/>
      <c r="M39" s="886"/>
      <c r="N39" s="886"/>
      <c r="O39" s="886"/>
      <c r="P39" s="886"/>
      <c r="Q39" s="886"/>
      <c r="R39" s="886"/>
      <c r="S39" s="886"/>
      <c r="T39" s="886"/>
      <c r="U39" s="886"/>
      <c r="V39" s="886"/>
      <c r="W39" s="886"/>
      <c r="X39" s="886"/>
      <c r="Y39" s="886"/>
      <c r="Z39" s="886"/>
      <c r="AA39" s="886"/>
      <c r="AB39" s="886"/>
      <c r="AC39" s="788"/>
      <c r="AD39" s="788"/>
      <c r="AE39" s="787"/>
      <c r="AF39" s="787"/>
      <c r="AG39" s="787"/>
      <c r="AH39" s="787"/>
    </row>
    <row r="40" spans="1:34" s="12" customFormat="1" ht="12.75">
      <c r="A40" s="809"/>
      <c r="B40" s="808"/>
      <c r="C40" s="2281"/>
      <c r="D40" s="2280"/>
      <c r="E40" s="2282"/>
      <c r="F40" s="2281"/>
      <c r="G40" s="45"/>
      <c r="H40" s="45"/>
      <c r="I40" s="45"/>
      <c r="J40" s="45"/>
      <c r="K40" s="45"/>
      <c r="L40" s="886"/>
      <c r="M40" s="886"/>
      <c r="N40" s="886"/>
      <c r="O40" s="886"/>
      <c r="P40" s="886"/>
      <c r="Q40" s="886"/>
      <c r="R40" s="886"/>
      <c r="S40" s="886"/>
      <c r="T40" s="886"/>
      <c r="U40" s="886"/>
      <c r="V40" s="886"/>
      <c r="W40" s="886"/>
      <c r="X40" s="886"/>
      <c r="Y40" s="886"/>
      <c r="Z40" s="886"/>
      <c r="AA40" s="886"/>
      <c r="AB40" s="886"/>
      <c r="AC40" s="788"/>
      <c r="AD40" s="788"/>
      <c r="AE40" s="787"/>
      <c r="AF40" s="787"/>
      <c r="AG40" s="787"/>
      <c r="AH40" s="787"/>
    </row>
    <row r="41" spans="1:34" s="12" customFormat="1" ht="12.75">
      <c r="A41" s="809"/>
      <c r="B41" s="808"/>
      <c r="C41" s="2281"/>
      <c r="D41" s="2280"/>
      <c r="E41" s="2282"/>
      <c r="F41" s="2281"/>
      <c r="G41" s="45"/>
      <c r="H41" s="45"/>
      <c r="I41" s="45"/>
      <c r="J41" s="45"/>
      <c r="K41" s="45"/>
      <c r="L41" s="886"/>
      <c r="M41" s="886"/>
      <c r="N41" s="886"/>
      <c r="O41" s="886"/>
      <c r="P41" s="886"/>
      <c r="Q41" s="886"/>
      <c r="R41" s="886"/>
      <c r="S41" s="886"/>
      <c r="T41" s="886"/>
      <c r="U41" s="886"/>
      <c r="V41" s="886"/>
      <c r="W41" s="886"/>
      <c r="X41" s="886"/>
      <c r="Y41" s="886"/>
      <c r="Z41" s="886"/>
      <c r="AA41" s="886"/>
      <c r="AB41" s="886"/>
      <c r="AC41" s="788"/>
      <c r="AD41" s="788"/>
      <c r="AE41" s="787"/>
      <c r="AF41" s="787"/>
      <c r="AG41" s="787"/>
      <c r="AH41" s="787"/>
    </row>
    <row r="42" spans="1:34" s="12" customFormat="1" ht="12.75">
      <c r="A42" s="809"/>
      <c r="B42" s="808"/>
      <c r="C42" s="2281"/>
      <c r="D42" s="2280"/>
      <c r="E42" s="2282"/>
      <c r="F42" s="2281"/>
      <c r="G42" s="45"/>
      <c r="H42" s="45"/>
      <c r="I42" s="45"/>
      <c r="J42" s="45"/>
      <c r="K42" s="45"/>
      <c r="L42" s="886"/>
      <c r="M42" s="886"/>
      <c r="N42" s="886"/>
      <c r="O42" s="886"/>
      <c r="P42" s="886"/>
      <c r="Q42" s="886"/>
      <c r="R42" s="886"/>
      <c r="S42" s="886"/>
      <c r="T42" s="886"/>
      <c r="U42" s="886"/>
      <c r="V42" s="886"/>
      <c r="W42" s="886"/>
      <c r="X42" s="886"/>
      <c r="Y42" s="886"/>
      <c r="Z42" s="886"/>
      <c r="AA42" s="886"/>
      <c r="AB42" s="886"/>
      <c r="AC42" s="788"/>
      <c r="AD42" s="788"/>
      <c r="AE42" s="787"/>
      <c r="AF42" s="787"/>
      <c r="AG42" s="787"/>
      <c r="AH42" s="787"/>
    </row>
    <row r="43" spans="1:34" s="12" customFormat="1" ht="12.75">
      <c r="A43" s="809"/>
      <c r="B43" s="808"/>
      <c r="C43" s="2281"/>
      <c r="D43" s="2280"/>
      <c r="E43" s="2282"/>
      <c r="F43" s="2281"/>
      <c r="G43" s="45"/>
      <c r="H43" s="45"/>
      <c r="I43" s="45"/>
      <c r="J43" s="45"/>
      <c r="K43" s="45"/>
      <c r="L43" s="886"/>
      <c r="M43" s="886"/>
      <c r="N43" s="886"/>
      <c r="O43" s="886"/>
      <c r="P43" s="886"/>
      <c r="Q43" s="886"/>
      <c r="R43" s="886"/>
      <c r="S43" s="886"/>
      <c r="T43" s="886"/>
      <c r="U43" s="886"/>
      <c r="V43" s="886"/>
      <c r="W43" s="886"/>
      <c r="X43" s="886"/>
      <c r="Y43" s="886"/>
      <c r="Z43" s="886"/>
      <c r="AA43" s="886"/>
      <c r="AB43" s="886"/>
      <c r="AC43" s="788"/>
      <c r="AD43" s="788"/>
      <c r="AE43" s="787"/>
      <c r="AF43" s="787"/>
      <c r="AG43" s="787"/>
      <c r="AH43" s="787"/>
    </row>
    <row r="44" spans="1:34" s="12" customFormat="1" ht="12.75">
      <c r="A44" s="809"/>
      <c r="B44" s="808"/>
      <c r="C44" s="2281"/>
      <c r="D44" s="2280"/>
      <c r="E44" s="2282"/>
      <c r="F44" s="2281"/>
      <c r="G44" s="45"/>
      <c r="H44" s="45"/>
      <c r="I44" s="45"/>
      <c r="J44" s="45"/>
      <c r="K44" s="45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788"/>
      <c r="AD44" s="788"/>
      <c r="AE44" s="787"/>
      <c r="AF44" s="787"/>
      <c r="AG44" s="787"/>
      <c r="AH44" s="787"/>
    </row>
    <row r="45" spans="1:34" s="12" customFormat="1" ht="12.75">
      <c r="A45" s="809"/>
      <c r="B45" s="808"/>
      <c r="C45" s="2281"/>
      <c r="D45" s="2280"/>
      <c r="E45" s="2282"/>
      <c r="F45" s="2281"/>
      <c r="G45" s="45"/>
      <c r="H45" s="45"/>
      <c r="I45" s="45"/>
      <c r="J45" s="45"/>
      <c r="K45" s="45"/>
      <c r="L45" s="886"/>
      <c r="M45" s="886"/>
      <c r="N45" s="886"/>
      <c r="O45" s="886"/>
      <c r="P45" s="886"/>
      <c r="Q45" s="886"/>
      <c r="R45" s="886"/>
      <c r="S45" s="886"/>
      <c r="T45" s="886"/>
      <c r="U45" s="886"/>
      <c r="V45" s="886"/>
      <c r="W45" s="886"/>
      <c r="X45" s="886"/>
      <c r="Y45" s="886"/>
      <c r="Z45" s="886"/>
      <c r="AA45" s="886"/>
      <c r="AB45" s="886"/>
      <c r="AC45" s="788"/>
      <c r="AD45" s="788"/>
      <c r="AE45" s="787"/>
      <c r="AF45" s="787"/>
      <c r="AG45" s="787"/>
      <c r="AH45" s="787"/>
    </row>
    <row r="46" spans="1:34" s="12" customFormat="1" ht="12.75">
      <c r="A46" s="809"/>
      <c r="B46" s="808"/>
      <c r="C46" s="2281"/>
      <c r="D46" s="2280"/>
      <c r="E46" s="2282"/>
      <c r="F46" s="2281"/>
      <c r="G46" s="45"/>
      <c r="H46" s="45"/>
      <c r="I46" s="45"/>
      <c r="J46" s="45"/>
      <c r="K46" s="45"/>
      <c r="L46" s="886"/>
      <c r="M46" s="886"/>
      <c r="N46" s="886"/>
      <c r="O46" s="886"/>
      <c r="P46" s="886"/>
      <c r="Q46" s="886"/>
      <c r="R46" s="886"/>
      <c r="S46" s="886"/>
      <c r="T46" s="886"/>
      <c r="U46" s="886"/>
      <c r="V46" s="886"/>
      <c r="W46" s="886"/>
      <c r="X46" s="886"/>
      <c r="Y46" s="886"/>
      <c r="Z46" s="886"/>
      <c r="AA46" s="886"/>
      <c r="AB46" s="886"/>
      <c r="AC46" s="788"/>
      <c r="AD46" s="788"/>
      <c r="AE46" s="787"/>
      <c r="AF46" s="787"/>
      <c r="AG46" s="787"/>
      <c r="AH46" s="787"/>
    </row>
    <row r="47" spans="1:34" s="12" customFormat="1" ht="12.75">
      <c r="A47" s="809"/>
      <c r="B47" s="808"/>
      <c r="C47" s="2281"/>
      <c r="D47" s="2280"/>
      <c r="E47" s="2282"/>
      <c r="F47" s="2281"/>
      <c r="G47" s="45"/>
      <c r="H47" s="45"/>
      <c r="I47" s="45"/>
      <c r="J47" s="45"/>
      <c r="K47" s="45"/>
      <c r="L47" s="886"/>
      <c r="M47" s="886"/>
      <c r="N47" s="886"/>
      <c r="O47" s="886"/>
      <c r="P47" s="886"/>
      <c r="Q47" s="886"/>
      <c r="R47" s="886"/>
      <c r="S47" s="886"/>
      <c r="T47" s="886"/>
      <c r="U47" s="886"/>
      <c r="V47" s="886"/>
      <c r="W47" s="886"/>
      <c r="X47" s="886"/>
      <c r="Y47" s="886"/>
      <c r="Z47" s="886"/>
      <c r="AA47" s="886"/>
      <c r="AB47" s="886"/>
      <c r="AC47" s="788"/>
      <c r="AD47" s="788"/>
      <c r="AE47" s="787"/>
      <c r="AF47" s="787"/>
      <c r="AG47" s="787"/>
      <c r="AH47" s="787"/>
    </row>
    <row r="48" spans="1:34" s="12" customFormat="1" ht="12.75">
      <c r="A48" s="809"/>
      <c r="B48" s="808"/>
      <c r="C48" s="2281"/>
      <c r="D48" s="2281"/>
      <c r="E48" s="2282"/>
      <c r="F48" s="2281"/>
      <c r="G48" s="45"/>
      <c r="H48" s="45"/>
      <c r="I48" s="45"/>
      <c r="J48" s="45"/>
      <c r="K48" s="45"/>
      <c r="L48" s="886"/>
      <c r="M48" s="886"/>
      <c r="N48" s="886"/>
      <c r="O48" s="886"/>
      <c r="P48" s="886"/>
      <c r="Q48" s="886"/>
      <c r="R48" s="886"/>
      <c r="S48" s="886"/>
      <c r="T48" s="886"/>
      <c r="U48" s="886"/>
      <c r="V48" s="886"/>
      <c r="W48" s="886"/>
      <c r="X48" s="886"/>
      <c r="Y48" s="886"/>
      <c r="Z48" s="886"/>
      <c r="AA48" s="886"/>
      <c r="AB48" s="886"/>
      <c r="AC48" s="788"/>
      <c r="AD48" s="788"/>
      <c r="AE48" s="787"/>
      <c r="AF48" s="787"/>
      <c r="AG48" s="787"/>
      <c r="AH48" s="787"/>
    </row>
    <row r="49" spans="1:34" s="12" customFormat="1" ht="12.75">
      <c r="A49" s="819"/>
      <c r="B49" s="820"/>
      <c r="C49" s="2280"/>
      <c r="D49" s="2280"/>
      <c r="E49" s="2282"/>
      <c r="F49" s="2280"/>
      <c r="G49" s="45"/>
      <c r="H49" s="45"/>
      <c r="I49" s="45"/>
      <c r="J49" s="45"/>
      <c r="K49" s="45"/>
      <c r="L49" s="886"/>
      <c r="M49" s="886"/>
      <c r="N49" s="886"/>
      <c r="O49" s="886"/>
      <c r="P49" s="886"/>
      <c r="Q49" s="886"/>
      <c r="R49" s="886"/>
      <c r="S49" s="886"/>
      <c r="T49" s="886"/>
      <c r="U49" s="886"/>
      <c r="V49" s="886"/>
      <c r="W49" s="886"/>
      <c r="X49" s="886"/>
      <c r="Y49" s="886"/>
      <c r="Z49" s="886"/>
      <c r="AA49" s="886"/>
      <c r="AB49" s="886"/>
      <c r="AC49" s="788"/>
      <c r="AD49" s="788"/>
      <c r="AE49" s="787"/>
      <c r="AF49" s="787"/>
      <c r="AG49" s="787"/>
      <c r="AH49" s="787"/>
    </row>
    <row r="50" spans="1:34" s="12" customFormat="1" ht="12.75">
      <c r="A50" s="809"/>
      <c r="B50" s="808"/>
      <c r="C50" s="2280"/>
      <c r="D50" s="2280"/>
      <c r="E50" s="2273"/>
      <c r="F50" s="2280"/>
      <c r="G50" s="45"/>
      <c r="H50" s="45"/>
      <c r="I50" s="45"/>
      <c r="J50" s="45"/>
      <c r="K50" s="45"/>
      <c r="L50" s="886"/>
      <c r="M50" s="886"/>
      <c r="N50" s="886"/>
      <c r="O50" s="886"/>
      <c r="P50" s="886"/>
      <c r="Q50" s="886"/>
      <c r="R50" s="886"/>
      <c r="S50" s="886"/>
      <c r="T50" s="886"/>
      <c r="U50" s="886"/>
      <c r="V50" s="886"/>
      <c r="W50" s="886"/>
      <c r="X50" s="886"/>
      <c r="Y50" s="886"/>
      <c r="Z50" s="886"/>
      <c r="AA50" s="886"/>
      <c r="AB50" s="886"/>
      <c r="AC50" s="788"/>
      <c r="AD50" s="788"/>
      <c r="AE50" s="787"/>
      <c r="AF50" s="787"/>
      <c r="AG50" s="787"/>
      <c r="AH50" s="787"/>
    </row>
    <row r="51" spans="1:34" s="12" customFormat="1" ht="12.75">
      <c r="A51" s="819"/>
      <c r="B51" s="808"/>
      <c r="C51" s="2281"/>
      <c r="D51" s="2281"/>
      <c r="E51" s="2283"/>
      <c r="F51" s="2281"/>
      <c r="G51" s="45"/>
      <c r="H51" s="45"/>
      <c r="I51" s="45"/>
      <c r="J51" s="45"/>
      <c r="K51" s="45"/>
      <c r="L51" s="886"/>
      <c r="M51" s="886"/>
      <c r="N51" s="886"/>
      <c r="O51" s="886"/>
      <c r="P51" s="886"/>
      <c r="Q51" s="886"/>
      <c r="R51" s="886"/>
      <c r="S51" s="886"/>
      <c r="T51" s="886"/>
      <c r="U51" s="886"/>
      <c r="V51" s="886"/>
      <c r="W51" s="886"/>
      <c r="X51" s="886"/>
      <c r="Y51" s="886"/>
      <c r="Z51" s="886"/>
      <c r="AA51" s="886"/>
      <c r="AB51" s="886"/>
      <c r="AC51" s="788"/>
      <c r="AD51" s="788"/>
      <c r="AE51" s="787"/>
      <c r="AF51" s="787"/>
      <c r="AG51" s="787"/>
      <c r="AH51" s="787"/>
    </row>
    <row r="52" spans="1:34" s="12" customFormat="1" ht="12.75">
      <c r="A52" s="815"/>
      <c r="B52" s="817"/>
      <c r="C52" s="45"/>
      <c r="D52" s="45"/>
      <c r="E52" s="45"/>
      <c r="F52" s="45"/>
      <c r="G52" s="45"/>
      <c r="H52" s="45"/>
      <c r="I52" s="45"/>
      <c r="J52" s="45"/>
      <c r="K52" s="45"/>
      <c r="L52" s="886"/>
      <c r="M52" s="886"/>
      <c r="N52" s="886"/>
      <c r="O52" s="886"/>
      <c r="P52" s="886"/>
      <c r="Q52" s="886"/>
      <c r="R52" s="886"/>
      <c r="S52" s="886"/>
      <c r="T52" s="886"/>
      <c r="U52" s="886"/>
      <c r="V52" s="886"/>
      <c r="W52" s="886"/>
      <c r="X52" s="886"/>
      <c r="Y52" s="886"/>
      <c r="Z52" s="886"/>
      <c r="AA52" s="886"/>
      <c r="AB52" s="886"/>
      <c r="AC52" s="788"/>
      <c r="AD52" s="788"/>
      <c r="AE52" s="787"/>
      <c r="AF52" s="787"/>
      <c r="AG52" s="787"/>
      <c r="AH52" s="787"/>
    </row>
    <row r="53" spans="1:34" s="12" customFormat="1" ht="12.75">
      <c r="A53" s="815"/>
      <c r="B53" s="820"/>
      <c r="C53" s="45"/>
      <c r="D53" s="45"/>
      <c r="E53" s="2273"/>
      <c r="F53" s="45"/>
      <c r="G53" s="45"/>
      <c r="H53" s="45"/>
      <c r="I53" s="45"/>
      <c r="J53" s="45"/>
      <c r="K53" s="45"/>
      <c r="L53" s="886"/>
      <c r="M53" s="886"/>
      <c r="N53" s="886"/>
      <c r="O53" s="886"/>
      <c r="P53" s="886"/>
      <c r="Q53" s="886"/>
      <c r="R53" s="886"/>
      <c r="S53" s="886"/>
      <c r="T53" s="886"/>
      <c r="U53" s="886"/>
      <c r="V53" s="886"/>
      <c r="W53" s="886"/>
      <c r="X53" s="886"/>
      <c r="Y53" s="886"/>
      <c r="Z53" s="886"/>
      <c r="AA53" s="886"/>
      <c r="AB53" s="886"/>
      <c r="AC53" s="788"/>
      <c r="AD53" s="788"/>
      <c r="AE53" s="787"/>
      <c r="AF53" s="787"/>
      <c r="AG53" s="787"/>
      <c r="AH53" s="787"/>
    </row>
    <row r="54" spans="1:34" s="12" customFormat="1" ht="12.75">
      <c r="A54" s="815"/>
      <c r="B54" s="820"/>
      <c r="C54" s="45"/>
      <c r="D54" s="45"/>
      <c r="E54" s="2273"/>
      <c r="F54" s="45"/>
      <c r="G54" s="45"/>
      <c r="H54" s="45"/>
      <c r="I54" s="45"/>
      <c r="J54" s="45"/>
      <c r="K54" s="45"/>
      <c r="L54" s="886"/>
      <c r="M54" s="886"/>
      <c r="N54" s="886"/>
      <c r="O54" s="886"/>
      <c r="P54" s="886"/>
      <c r="Q54" s="886"/>
      <c r="R54" s="886"/>
      <c r="S54" s="886"/>
      <c r="T54" s="886"/>
      <c r="U54" s="886"/>
      <c r="V54" s="886"/>
      <c r="W54" s="886"/>
      <c r="X54" s="886"/>
      <c r="Y54" s="886"/>
      <c r="Z54" s="886"/>
      <c r="AA54" s="886"/>
      <c r="AB54" s="886"/>
      <c r="AC54" s="788"/>
      <c r="AD54" s="788"/>
      <c r="AE54" s="787"/>
      <c r="AF54" s="787"/>
      <c r="AG54" s="787"/>
      <c r="AH54" s="787"/>
    </row>
    <row r="55" spans="1:34" s="12" customFormat="1" ht="12.75">
      <c r="A55" s="815"/>
      <c r="B55" s="808"/>
      <c r="C55" s="45"/>
      <c r="D55" s="886"/>
      <c r="E55" s="1762"/>
      <c r="F55" s="1760"/>
      <c r="G55" s="886"/>
      <c r="H55" s="886"/>
      <c r="I55" s="886"/>
      <c r="J55" s="886"/>
      <c r="K55" s="886"/>
      <c r="L55" s="886"/>
      <c r="M55" s="886"/>
      <c r="N55" s="886"/>
      <c r="O55" s="886"/>
      <c r="P55" s="886"/>
      <c r="Q55" s="886"/>
      <c r="R55" s="886"/>
      <c r="S55" s="886"/>
      <c r="T55" s="886"/>
      <c r="U55" s="886"/>
      <c r="V55" s="886"/>
      <c r="W55" s="886"/>
      <c r="X55" s="886"/>
      <c r="Y55" s="886"/>
      <c r="Z55" s="886"/>
      <c r="AA55" s="886"/>
      <c r="AB55" s="886"/>
      <c r="AC55" s="788"/>
      <c r="AD55" s="788"/>
      <c r="AE55" s="787"/>
      <c r="AF55" s="787"/>
      <c r="AG55" s="787"/>
      <c r="AH55" s="787"/>
    </row>
    <row r="56" spans="1:34" s="12" customFormat="1" ht="12.75">
      <c r="A56" s="821"/>
      <c r="B56" s="822"/>
      <c r="C56" s="45"/>
      <c r="D56" s="886"/>
      <c r="E56" s="886"/>
      <c r="F56" s="1760"/>
      <c r="G56" s="886"/>
      <c r="H56" s="886"/>
      <c r="I56" s="886"/>
      <c r="J56" s="886"/>
      <c r="K56" s="886"/>
      <c r="L56" s="886"/>
      <c r="M56" s="886"/>
      <c r="N56" s="886"/>
      <c r="O56" s="886"/>
      <c r="P56" s="886"/>
      <c r="Q56" s="886"/>
      <c r="R56" s="886"/>
      <c r="S56" s="886"/>
      <c r="T56" s="886"/>
      <c r="U56" s="886"/>
      <c r="V56" s="886"/>
      <c r="W56" s="886"/>
      <c r="X56" s="886"/>
      <c r="Y56" s="886"/>
      <c r="Z56" s="886"/>
      <c r="AA56" s="886"/>
      <c r="AB56" s="886"/>
      <c r="AC56" s="788"/>
      <c r="AD56" s="788"/>
      <c r="AE56" s="787"/>
      <c r="AF56" s="787"/>
      <c r="AG56" s="787"/>
      <c r="AH56" s="787"/>
    </row>
    <row r="57" spans="1:34" s="12" customFormat="1" ht="12.75">
      <c r="A57" s="574"/>
      <c r="B57" s="575"/>
      <c r="C57" s="1774"/>
      <c r="D57" s="1775"/>
      <c r="E57" s="1775"/>
      <c r="F57" s="1776"/>
      <c r="G57" s="1777"/>
      <c r="H57" s="1777"/>
      <c r="I57" s="1777"/>
      <c r="J57" s="1777"/>
      <c r="K57" s="1777"/>
      <c r="L57" s="1778"/>
      <c r="M57" s="1778"/>
      <c r="N57" s="1778"/>
      <c r="O57" s="1778"/>
      <c r="P57" s="1778"/>
      <c r="Q57" s="1778"/>
      <c r="R57" s="1778"/>
      <c r="S57" s="1778"/>
      <c r="T57" s="1778"/>
      <c r="U57" s="1778"/>
      <c r="V57" s="1778"/>
      <c r="W57" s="1778"/>
      <c r="X57" s="1778"/>
      <c r="Y57" s="1778"/>
      <c r="Z57" s="1778"/>
      <c r="AA57" s="1778"/>
      <c r="AB57" s="1778"/>
      <c r="AC57" s="788"/>
      <c r="AD57" s="788"/>
      <c r="AE57" s="787"/>
      <c r="AF57" s="787"/>
      <c r="AG57" s="787"/>
      <c r="AH57" s="787"/>
    </row>
    <row r="58" spans="1:34" s="12" customFormat="1" ht="12.75">
      <c r="A58" s="576" t="s">
        <v>97</v>
      </c>
      <c r="B58" s="576" t="s">
        <v>371</v>
      </c>
      <c r="C58" s="1778">
        <f>SUM(C15:C57)</f>
        <v>1956000</v>
      </c>
      <c r="D58" s="1778">
        <f>SUM(D15:D57)</f>
        <v>1467000</v>
      </c>
      <c r="E58" s="1778"/>
      <c r="F58" s="1778">
        <f t="shared" ref="F58:W58" si="1">SUM(F15:F57)</f>
        <v>1467000</v>
      </c>
      <c r="G58" s="1778">
        <f t="shared" si="1"/>
        <v>145600</v>
      </c>
      <c r="H58" s="1778">
        <f t="shared" si="1"/>
        <v>0</v>
      </c>
      <c r="I58" s="1778">
        <f t="shared" si="1"/>
        <v>1467000</v>
      </c>
      <c r="J58" s="1778">
        <f t="shared" si="1"/>
        <v>34200</v>
      </c>
      <c r="K58" s="1778">
        <f t="shared" si="1"/>
        <v>0</v>
      </c>
      <c r="L58" s="1778">
        <f t="shared" si="1"/>
        <v>1432800</v>
      </c>
      <c r="M58" s="1778">
        <f t="shared" si="1"/>
        <v>0</v>
      </c>
      <c r="N58" s="1778">
        <f t="shared" si="1"/>
        <v>157200</v>
      </c>
      <c r="O58" s="1778">
        <f t="shared" si="1"/>
        <v>3.0230325814536338</v>
      </c>
      <c r="P58" s="1778">
        <f t="shared" si="1"/>
        <v>1135350</v>
      </c>
      <c r="Q58" s="1778">
        <f t="shared" si="1"/>
        <v>0</v>
      </c>
      <c r="R58" s="1778">
        <f t="shared" si="1"/>
        <v>0</v>
      </c>
      <c r="S58" s="1778">
        <f t="shared" si="1"/>
        <v>1135350</v>
      </c>
      <c r="T58" s="374">
        <f>W58-L58</f>
        <v>34200</v>
      </c>
      <c r="U58" s="1778">
        <f t="shared" si="1"/>
        <v>1467000</v>
      </c>
      <c r="V58" s="1778">
        <f t="shared" si="1"/>
        <v>4</v>
      </c>
      <c r="W58" s="1778">
        <f t="shared" si="1"/>
        <v>1467000</v>
      </c>
      <c r="X58" s="1778">
        <f>SUM(X14:X57)</f>
        <v>843750</v>
      </c>
      <c r="Y58" s="1778">
        <f>SUM(Y14:Y57)</f>
        <v>157200</v>
      </c>
      <c r="Z58" s="1778">
        <f>SUM(Z14:Z57)</f>
        <v>0</v>
      </c>
      <c r="AA58" s="1778">
        <f>SUM(AA14:AA57)</f>
        <v>0</v>
      </c>
      <c r="AB58" s="1778">
        <f>SUM(AB15:AB57)</f>
        <v>1089000</v>
      </c>
      <c r="AC58" s="788"/>
      <c r="AD58" s="788"/>
      <c r="AE58" s="787"/>
      <c r="AF58" s="787"/>
      <c r="AG58" s="787"/>
      <c r="AH58" s="787"/>
    </row>
    <row r="59" spans="1:34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769"/>
      <c r="O59" s="213"/>
      <c r="P59" s="1769"/>
      <c r="Q59" s="213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7"/>
      <c r="AF59" s="787"/>
      <c r="AG59" s="787"/>
      <c r="AH59" s="787"/>
    </row>
    <row r="60" spans="1:34" s="12" customFormat="1">
      <c r="A60" s="43"/>
      <c r="B60" s="44"/>
      <c r="C60" s="213"/>
      <c r="D60" s="213"/>
      <c r="E60" s="213"/>
      <c r="F60" s="1769"/>
      <c r="G60" s="1769"/>
      <c r="H60" s="1769"/>
      <c r="I60" s="1769"/>
      <c r="J60" s="1769"/>
      <c r="K60" s="1769"/>
      <c r="L60" s="1769"/>
      <c r="M60" s="1769"/>
      <c r="N60" s="1769"/>
      <c r="O60" s="213"/>
      <c r="P60" s="1769"/>
      <c r="Q60" s="213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1769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1769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213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 t="s">
        <v>59</v>
      </c>
      <c r="B64" s="454"/>
      <c r="C64" s="213"/>
      <c r="D64" s="213"/>
      <c r="E64" s="213"/>
      <c r="F64" s="1769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1769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7"/>
      <c r="AF72" s="787"/>
      <c r="AG72" s="787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7"/>
      <c r="AF73" s="787"/>
      <c r="AG73" s="787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7"/>
      <c r="AF74" s="787"/>
      <c r="AG74" s="787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7"/>
      <c r="AF75" s="787"/>
      <c r="AG75" s="787"/>
      <c r="AH75" s="787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conditionalFormatting sqref="T58">
    <cfRule type="cellIs" dxfId="57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/>
  <dimension ref="A1:AE75"/>
  <sheetViews>
    <sheetView showGridLines="0" topLeftCell="G1" workbookViewId="0">
      <selection activeCell="P17" sqref="P17"/>
    </sheetView>
  </sheetViews>
  <sheetFormatPr baseColWidth="10" defaultRowHeight="12.75"/>
  <cols>
    <col min="1" max="1" width="10.25" style="304" customWidth="1"/>
    <col min="2" max="2" width="37.12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405</v>
      </c>
      <c r="C2" s="826"/>
      <c r="D2" s="826"/>
      <c r="E2" s="827"/>
      <c r="F2" s="826"/>
      <c r="G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396</v>
      </c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406</v>
      </c>
      <c r="C4" s="1325"/>
      <c r="D4" s="1325"/>
      <c r="E4" s="2150"/>
      <c r="F4" s="1324"/>
      <c r="G4" s="825"/>
      <c r="H4" s="302"/>
      <c r="I4" s="302"/>
      <c r="J4" s="302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201400116</v>
      </c>
      <c r="C5" s="828"/>
      <c r="D5" s="828"/>
      <c r="E5" s="831"/>
      <c r="F5" s="825"/>
      <c r="G5" s="825"/>
      <c r="J5" s="302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885" t="s">
        <v>407</v>
      </c>
      <c r="C6" s="828"/>
      <c r="D6" s="828"/>
      <c r="E6" s="831"/>
      <c r="F6" s="825"/>
      <c r="G6" s="825"/>
      <c r="H6" s="312"/>
      <c r="I6" s="313"/>
      <c r="J6" s="314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393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 customHeight="1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 ht="8.25" customHeight="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884" t="s">
        <v>86</v>
      </c>
      <c r="Y13" s="884"/>
      <c r="Z13" s="884"/>
      <c r="AA13" s="884"/>
      <c r="AB13" s="884"/>
    </row>
    <row r="14" spans="1:31" ht="12.75" customHeight="1">
      <c r="A14" s="349"/>
      <c r="B14" s="350"/>
      <c r="C14" s="351"/>
      <c r="D14" s="351"/>
      <c r="E14" s="125"/>
      <c r="F14" s="352"/>
      <c r="G14" s="352"/>
      <c r="H14" s="352"/>
      <c r="I14" s="352"/>
      <c r="J14" s="352"/>
      <c r="K14" s="352"/>
      <c r="L14" s="352"/>
      <c r="M14" s="352"/>
      <c r="N14" s="352"/>
      <c r="O14" s="351"/>
      <c r="P14" s="352">
        <f>O14*D14</f>
        <v>0</v>
      </c>
      <c r="Q14" s="351"/>
      <c r="R14" s="351">
        <f>Q14*D14</f>
        <v>0</v>
      </c>
      <c r="S14" s="351"/>
      <c r="T14" s="353"/>
      <c r="U14" s="351"/>
      <c r="V14" s="351"/>
      <c r="W14" s="352"/>
      <c r="X14" s="353"/>
      <c r="Y14" s="353"/>
      <c r="Z14" s="353"/>
      <c r="AA14" s="353"/>
      <c r="AB14" s="353"/>
    </row>
    <row r="15" spans="1:31" ht="12.75" customHeight="1">
      <c r="A15" s="354"/>
      <c r="B15" s="355"/>
      <c r="C15" s="145"/>
      <c r="D15" s="335"/>
      <c r="E15" s="356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/>
      <c r="X15" s="136"/>
      <c r="Y15" s="136"/>
      <c r="Z15" s="136"/>
      <c r="AA15" s="136"/>
      <c r="AB15" s="136"/>
    </row>
    <row r="16" spans="1:31">
      <c r="A16" s="1479">
        <v>1</v>
      </c>
      <c r="B16" s="1482" t="s">
        <v>408</v>
      </c>
      <c r="C16" s="1481">
        <f>F16</f>
        <v>1901040</v>
      </c>
      <c r="D16" s="124">
        <f>1584200*1.2</f>
        <v>1901040</v>
      </c>
      <c r="E16" s="357">
        <v>1</v>
      </c>
      <c r="F16" s="124">
        <f>D16*E16</f>
        <v>1901040</v>
      </c>
      <c r="G16" s="143">
        <v>44640</v>
      </c>
      <c r="H16" s="143" t="s">
        <v>104</v>
      </c>
      <c r="I16" s="187">
        <f>U16</f>
        <v>342000</v>
      </c>
      <c r="J16" s="143"/>
      <c r="K16" s="143"/>
      <c r="L16" s="143">
        <f>+I16-J16+K16</f>
        <v>342000</v>
      </c>
      <c r="M16" s="143"/>
      <c r="N16" s="143">
        <f>G16</f>
        <v>44640</v>
      </c>
      <c r="O16" s="143"/>
      <c r="P16" s="2332">
        <f>W16</f>
        <v>342000</v>
      </c>
      <c r="Q16" s="2333"/>
      <c r="R16" s="2332"/>
      <c r="S16" s="2331">
        <f>+P16-R16</f>
        <v>342000</v>
      </c>
      <c r="T16" s="502">
        <f>W16-L16</f>
        <v>0</v>
      </c>
      <c r="U16" s="502">
        <f>285000*1.2</f>
        <v>342000</v>
      </c>
      <c r="V16" s="511">
        <v>1</v>
      </c>
      <c r="W16" s="500">
        <f>U16*V16</f>
        <v>342000</v>
      </c>
      <c r="X16" s="143">
        <v>44640</v>
      </c>
      <c r="Y16" s="143">
        <v>44640</v>
      </c>
      <c r="Z16" s="143"/>
      <c r="AA16" s="143"/>
      <c r="AB16" s="143">
        <f>W16</f>
        <v>342000</v>
      </c>
    </row>
    <row r="17" spans="1:28">
      <c r="A17" s="1479"/>
      <c r="B17" s="1482"/>
      <c r="C17" s="1481"/>
      <c r="D17" s="124"/>
      <c r="E17" s="357"/>
      <c r="F17" s="124"/>
      <c r="G17" s="143"/>
      <c r="H17" s="143"/>
      <c r="I17" s="143"/>
      <c r="J17" s="143"/>
      <c r="K17" s="143"/>
      <c r="L17" s="143"/>
      <c r="M17" s="143"/>
      <c r="N17" s="143"/>
      <c r="O17" s="143"/>
      <c r="P17" s="2331"/>
      <c r="Q17" s="2334"/>
      <c r="R17" s="2332"/>
      <c r="S17" s="2331"/>
      <c r="T17" s="502"/>
      <c r="U17" s="143"/>
      <c r="V17" s="190"/>
      <c r="W17" s="124"/>
      <c r="X17" s="143"/>
      <c r="Y17" s="143"/>
      <c r="Z17" s="143"/>
      <c r="AA17" s="143"/>
      <c r="AB17" s="143">
        <f t="shared" ref="AB17:AB22" si="0">W17</f>
        <v>0</v>
      </c>
    </row>
    <row r="18" spans="1:28">
      <c r="A18" s="1479">
        <v>2</v>
      </c>
      <c r="B18" s="168" t="s">
        <v>409</v>
      </c>
      <c r="C18" s="1481">
        <f>F18</f>
        <v>970320</v>
      </c>
      <c r="D18" s="124">
        <f>808600*1.2</f>
        <v>970320</v>
      </c>
      <c r="E18" s="357">
        <v>1</v>
      </c>
      <c r="F18" s="124">
        <f>D18*E18</f>
        <v>970320</v>
      </c>
      <c r="G18" s="2327">
        <v>67200</v>
      </c>
      <c r="H18" s="2327" t="s">
        <v>104</v>
      </c>
      <c r="I18" s="143"/>
      <c r="J18" s="143"/>
      <c r="K18" s="143"/>
      <c r="L18" s="143"/>
      <c r="M18" s="143"/>
      <c r="N18" s="143">
        <v>67200</v>
      </c>
      <c r="O18" s="143"/>
      <c r="P18" s="2341"/>
      <c r="Q18" s="2334"/>
      <c r="R18" s="2331"/>
      <c r="S18" s="2331"/>
      <c r="T18" s="502">
        <f>W18-L18</f>
        <v>0</v>
      </c>
      <c r="U18" s="124">
        <v>0</v>
      </c>
      <c r="V18" s="190">
        <v>1</v>
      </c>
      <c r="W18" s="500">
        <f>U18*V18</f>
        <v>0</v>
      </c>
      <c r="X18" s="143"/>
      <c r="Y18" s="143"/>
      <c r="Z18" s="143"/>
      <c r="AA18" s="143"/>
      <c r="AB18" s="143">
        <f t="shared" si="0"/>
        <v>0</v>
      </c>
    </row>
    <row r="19" spans="1:28">
      <c r="A19" s="1479"/>
      <c r="B19" s="366"/>
      <c r="C19" s="1481"/>
      <c r="D19" s="124"/>
      <c r="E19" s="357"/>
      <c r="F19" s="124"/>
      <c r="G19" s="143"/>
      <c r="H19" s="143"/>
      <c r="I19" s="143"/>
      <c r="J19" s="143"/>
      <c r="K19" s="143"/>
      <c r="L19" s="143"/>
      <c r="M19" s="143"/>
      <c r="N19" s="143"/>
      <c r="O19" s="143"/>
      <c r="P19" s="2331"/>
      <c r="Q19" s="2334"/>
      <c r="R19" s="2331"/>
      <c r="S19" s="2331"/>
      <c r="T19" s="502"/>
      <c r="U19" s="143"/>
      <c r="V19" s="190"/>
      <c r="W19" s="124"/>
      <c r="X19" s="143"/>
      <c r="Y19" s="143"/>
      <c r="Z19" s="143"/>
      <c r="AA19" s="143"/>
      <c r="AB19" s="143">
        <f t="shared" si="0"/>
        <v>0</v>
      </c>
    </row>
    <row r="20" spans="1:28">
      <c r="A20" s="1479">
        <v>3</v>
      </c>
      <c r="B20" s="1483" t="s">
        <v>412</v>
      </c>
      <c r="C20" s="1481">
        <f>F20</f>
        <v>330000</v>
      </c>
      <c r="D20" s="124">
        <f>275000*1.2</f>
        <v>330000</v>
      </c>
      <c r="E20" s="357">
        <v>1</v>
      </c>
      <c r="F20" s="124">
        <f>D20*E20</f>
        <v>330000</v>
      </c>
      <c r="G20" s="143"/>
      <c r="H20" s="143"/>
      <c r="I20" s="143">
        <f>+W20</f>
        <v>330000</v>
      </c>
      <c r="J20" s="143">
        <f>0.3*I20</f>
        <v>99000</v>
      </c>
      <c r="K20" s="143"/>
      <c r="L20" s="143"/>
      <c r="M20" s="143"/>
      <c r="N20" s="143"/>
      <c r="O20" s="143"/>
      <c r="P20" s="2331"/>
      <c r="Q20" s="2334"/>
      <c r="R20" s="2332"/>
      <c r="S20" s="2331">
        <f>+P20-R20</f>
        <v>0</v>
      </c>
      <c r="T20" s="502">
        <f>W20-L20</f>
        <v>330000</v>
      </c>
      <c r="U20" s="143">
        <f>275000*1.2</f>
        <v>330000</v>
      </c>
      <c r="V20" s="190">
        <v>1</v>
      </c>
      <c r="W20" s="500">
        <f>U20*V20</f>
        <v>330000</v>
      </c>
      <c r="X20" s="143"/>
      <c r="Y20" s="143"/>
      <c r="Z20" s="143"/>
      <c r="AA20" s="143"/>
      <c r="AB20" s="143">
        <f t="shared" si="0"/>
        <v>330000</v>
      </c>
    </row>
    <row r="21" spans="1:28" ht="12.75" customHeight="1">
      <c r="A21" s="1480"/>
      <c r="B21" s="1483"/>
      <c r="C21" s="1481"/>
      <c r="D21" s="124"/>
      <c r="E21" s="357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502"/>
      <c r="U21" s="143"/>
      <c r="V21" s="190"/>
      <c r="W21" s="124"/>
      <c r="X21" s="143"/>
      <c r="Y21" s="143"/>
      <c r="Z21" s="143"/>
      <c r="AA21" s="143"/>
      <c r="AB21" s="143">
        <f t="shared" si="0"/>
        <v>0</v>
      </c>
    </row>
    <row r="22" spans="1:28" ht="22.5">
      <c r="A22" s="1479">
        <v>4</v>
      </c>
      <c r="B22" s="168" t="s">
        <v>410</v>
      </c>
      <c r="C22" s="1481">
        <f>F22</f>
        <v>120000</v>
      </c>
      <c r="D22" s="124">
        <f>100000*1.2</f>
        <v>120000</v>
      </c>
      <c r="E22" s="357">
        <v>1</v>
      </c>
      <c r="F22" s="124">
        <f>D22*E22</f>
        <v>120000</v>
      </c>
      <c r="G22" s="143"/>
      <c r="H22" s="143"/>
      <c r="I22" s="143">
        <f t="shared" ref="I22" si="1">+W22</f>
        <v>120000</v>
      </c>
      <c r="J22" s="143">
        <f t="shared" ref="J22" si="2">0.3*I22</f>
        <v>36000</v>
      </c>
      <c r="K22" s="143"/>
      <c r="L22" s="143"/>
      <c r="M22" s="143"/>
      <c r="N22" s="143"/>
      <c r="O22" s="143"/>
      <c r="P22" s="143"/>
      <c r="Q22" s="141"/>
      <c r="R22" s="143"/>
      <c r="S22" s="143"/>
      <c r="T22" s="502">
        <f>W22-L22</f>
        <v>120000</v>
      </c>
      <c r="U22" s="143">
        <f>100000*1.2</f>
        <v>120000</v>
      </c>
      <c r="V22" s="190">
        <v>1</v>
      </c>
      <c r="W22" s="500">
        <f>U22*V22</f>
        <v>120000</v>
      </c>
      <c r="X22" s="143"/>
      <c r="Y22" s="143"/>
      <c r="Z22" s="143"/>
      <c r="AA22" s="143"/>
      <c r="AB22" s="143">
        <f t="shared" si="0"/>
        <v>120000</v>
      </c>
    </row>
    <row r="23" spans="1:28">
      <c r="A23" s="1479"/>
      <c r="B23" s="366"/>
      <c r="C23" s="1481"/>
      <c r="D23" s="124"/>
      <c r="E23" s="357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 ht="22.5">
      <c r="A24" s="1479">
        <v>5</v>
      </c>
      <c r="B24" s="168" t="s">
        <v>411</v>
      </c>
      <c r="C24" s="1481">
        <f>F24</f>
        <v>276000</v>
      </c>
      <c r="D24" s="124">
        <f>230000*1.2</f>
        <v>276000</v>
      </c>
      <c r="E24" s="357">
        <v>1</v>
      </c>
      <c r="F24" s="124">
        <f>D24*E24</f>
        <v>276000</v>
      </c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337"/>
      <c r="R26" s="143"/>
      <c r="S26" s="143"/>
      <c r="T26" s="143"/>
      <c r="U26" s="143"/>
      <c r="V26" s="356"/>
      <c r="W26" s="124"/>
      <c r="X26" s="143"/>
      <c r="Y26" s="143"/>
      <c r="Z26" s="143"/>
      <c r="AA26" s="143"/>
      <c r="AB26" s="143"/>
    </row>
    <row r="27" spans="1:28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</row>
    <row r="28" spans="1:28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</row>
    <row r="29" spans="1:28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/>
      <c r="M29" s="124"/>
      <c r="N29" s="124"/>
      <c r="O29" s="124"/>
      <c r="P29" s="143"/>
      <c r="Q29" s="184"/>
      <c r="R29" s="143"/>
      <c r="S29" s="143"/>
      <c r="T29" s="338"/>
      <c r="U29" s="143"/>
      <c r="V29" s="190"/>
      <c r="W29" s="124"/>
      <c r="X29" s="338"/>
      <c r="Y29" s="338"/>
      <c r="Z29" s="338"/>
      <c r="AA29" s="338"/>
      <c r="AB29" s="338"/>
    </row>
    <row r="30" spans="1:28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/>
      <c r="M30" s="124"/>
      <c r="N30" s="124"/>
      <c r="O30" s="124"/>
      <c r="P30" s="124"/>
      <c r="Q30" s="184"/>
      <c r="R30" s="143"/>
      <c r="S30" s="143"/>
      <c r="T30" s="338"/>
      <c r="U30" s="124"/>
      <c r="V30" s="190"/>
      <c r="W30" s="124"/>
      <c r="X30" s="338"/>
      <c r="Y30" s="338"/>
      <c r="Z30" s="338"/>
      <c r="AA30" s="338"/>
      <c r="AB30" s="338"/>
    </row>
    <row r="31" spans="1:28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/>
      <c r="M31" s="124"/>
      <c r="N31" s="124"/>
      <c r="O31" s="124"/>
      <c r="P31" s="124"/>
      <c r="Q31" s="184"/>
      <c r="R31" s="143"/>
      <c r="S31" s="143"/>
      <c r="T31" s="338"/>
      <c r="U31" s="124"/>
      <c r="V31" s="190"/>
      <c r="W31" s="124"/>
      <c r="X31" s="338"/>
      <c r="Y31" s="338"/>
      <c r="Z31" s="338"/>
      <c r="AA31" s="338"/>
      <c r="AB31" s="338"/>
    </row>
    <row r="32" spans="1:28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/>
      <c r="M32" s="124"/>
      <c r="N32" s="124"/>
      <c r="O32" s="124"/>
      <c r="P32" s="124"/>
      <c r="Q32" s="184"/>
      <c r="R32" s="143"/>
      <c r="S32" s="143"/>
      <c r="T32" s="338"/>
      <c r="U32" s="124"/>
      <c r="V32" s="190"/>
      <c r="W32" s="124"/>
      <c r="X32" s="338"/>
      <c r="Y32" s="338"/>
      <c r="Z32" s="338"/>
      <c r="AA32" s="338"/>
      <c r="AB32" s="338"/>
    </row>
    <row r="33" spans="1:28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338"/>
      <c r="U33" s="124"/>
      <c r="V33" s="190"/>
      <c r="W33" s="124"/>
      <c r="X33" s="338"/>
      <c r="Y33" s="338"/>
      <c r="Z33" s="338"/>
      <c r="AA33" s="338"/>
      <c r="AB33" s="338"/>
    </row>
    <row r="34" spans="1:28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24"/>
      <c r="R34" s="143"/>
      <c r="S34" s="143"/>
      <c r="T34" s="338"/>
      <c r="U34" s="124"/>
      <c r="V34" s="356"/>
      <c r="W34" s="124"/>
      <c r="X34" s="338"/>
      <c r="Y34" s="338"/>
      <c r="Z34" s="338"/>
      <c r="AA34" s="338"/>
      <c r="AB34" s="338"/>
    </row>
    <row r="35" spans="1:28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24"/>
      <c r="R35" s="143"/>
      <c r="S35" s="143"/>
      <c r="T35" s="338"/>
      <c r="U35" s="124"/>
      <c r="V35" s="356"/>
      <c r="W35" s="124"/>
      <c r="X35" s="338"/>
      <c r="Y35" s="338"/>
      <c r="Z35" s="338"/>
      <c r="AA35" s="338"/>
      <c r="AB35" s="338"/>
    </row>
    <row r="36" spans="1:28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24"/>
      <c r="R36" s="143"/>
      <c r="S36" s="143"/>
      <c r="T36" s="338"/>
      <c r="U36" s="124"/>
      <c r="V36" s="356"/>
      <c r="W36" s="124"/>
      <c r="X36" s="338"/>
      <c r="Y36" s="338"/>
      <c r="Z36" s="338"/>
      <c r="AA36" s="338"/>
      <c r="AB36" s="338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338"/>
      <c r="U37" s="124"/>
      <c r="V37" s="357"/>
      <c r="W37" s="124"/>
      <c r="X37" s="338"/>
      <c r="Y37" s="338"/>
      <c r="Z37" s="338"/>
      <c r="AA37" s="338"/>
      <c r="AB37" s="338"/>
    </row>
    <row r="38" spans="1:28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338"/>
      <c r="U38" s="124"/>
      <c r="V38" s="357"/>
      <c r="W38" s="124"/>
      <c r="X38" s="338"/>
      <c r="Y38" s="338"/>
      <c r="Z38" s="338"/>
      <c r="AA38" s="338"/>
      <c r="AB38" s="338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338"/>
      <c r="U39" s="124"/>
      <c r="V39" s="357"/>
      <c r="W39" s="124"/>
      <c r="X39" s="338"/>
      <c r="Y39" s="338"/>
      <c r="Z39" s="338"/>
      <c r="AA39" s="338"/>
      <c r="AB39" s="338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338"/>
      <c r="U40" s="124"/>
      <c r="V40" s="357"/>
      <c r="W40" s="124"/>
      <c r="X40" s="338"/>
      <c r="Y40" s="338"/>
      <c r="Z40" s="338"/>
      <c r="AA40" s="338"/>
      <c r="AB40" s="338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338"/>
      <c r="U41" s="124"/>
      <c r="V41" s="357"/>
      <c r="W41" s="124"/>
      <c r="X41" s="338"/>
      <c r="Y41" s="338"/>
      <c r="Z41" s="338"/>
      <c r="AA41" s="338"/>
      <c r="AB41" s="338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338"/>
      <c r="U42" s="124"/>
      <c r="V42" s="357"/>
      <c r="W42" s="124"/>
      <c r="X42" s="338"/>
      <c r="Y42" s="338"/>
      <c r="Z42" s="338"/>
      <c r="AA42" s="338"/>
      <c r="AB42" s="338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338"/>
      <c r="U43" s="124"/>
      <c r="V43" s="357"/>
      <c r="W43" s="124"/>
      <c r="X43" s="338"/>
      <c r="Y43" s="338"/>
      <c r="Z43" s="338"/>
      <c r="AA43" s="338"/>
      <c r="AB43" s="338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338"/>
      <c r="U44" s="124"/>
      <c r="V44" s="357"/>
      <c r="W44" s="124"/>
      <c r="X44" s="338"/>
      <c r="Y44" s="338"/>
      <c r="Z44" s="338"/>
      <c r="AA44" s="338"/>
      <c r="AB44" s="338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338"/>
      <c r="U45" s="124"/>
      <c r="V45" s="357"/>
      <c r="W45" s="124"/>
      <c r="X45" s="338"/>
      <c r="Y45" s="338"/>
      <c r="Z45" s="338"/>
      <c r="AA45" s="338"/>
      <c r="AB45" s="338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338"/>
      <c r="U46" s="124"/>
      <c r="V46" s="357"/>
      <c r="W46" s="124"/>
      <c r="X46" s="338"/>
      <c r="Y46" s="338"/>
      <c r="Z46" s="338"/>
      <c r="AA46" s="338"/>
      <c r="AB46" s="338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338"/>
      <c r="U47" s="124"/>
      <c r="V47" s="357"/>
      <c r="W47" s="124"/>
      <c r="X47" s="338"/>
      <c r="Y47" s="338"/>
      <c r="Z47" s="338"/>
      <c r="AA47" s="338"/>
      <c r="AB47" s="338"/>
    </row>
    <row r="48" spans="1:28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338"/>
      <c r="U48" s="124"/>
      <c r="V48" s="190"/>
      <c r="W48" s="124"/>
      <c r="X48" s="338"/>
      <c r="Y48" s="338"/>
      <c r="Z48" s="338"/>
      <c r="AA48" s="338"/>
      <c r="AB48" s="338"/>
    </row>
    <row r="49" spans="1:28">
      <c r="A49" s="178"/>
      <c r="B49" s="365"/>
      <c r="C49" s="124"/>
      <c r="D49" s="124"/>
      <c r="E49" s="190"/>
      <c r="F49" s="124"/>
      <c r="G49" s="188"/>
      <c r="H49" s="188"/>
      <c r="I49" s="188"/>
      <c r="J49" s="188"/>
      <c r="K49" s="188"/>
      <c r="L49" s="143"/>
      <c r="M49" s="188"/>
      <c r="N49" s="188"/>
      <c r="O49" s="188"/>
      <c r="P49" s="143"/>
      <c r="Q49" s="188"/>
      <c r="R49" s="143"/>
      <c r="S49" s="143"/>
      <c r="T49" s="338"/>
      <c r="U49" s="124"/>
      <c r="V49" s="190"/>
      <c r="W49" s="124"/>
      <c r="X49" s="338"/>
      <c r="Y49" s="338"/>
      <c r="Z49" s="338"/>
      <c r="AA49" s="338"/>
      <c r="AB49" s="338"/>
    </row>
    <row r="50" spans="1:28">
      <c r="A50" s="178"/>
      <c r="B50" s="366"/>
      <c r="C50" s="124"/>
      <c r="D50" s="124"/>
      <c r="E50" s="190"/>
      <c r="F50" s="124"/>
      <c r="G50" s="188"/>
      <c r="H50" s="188"/>
      <c r="I50" s="188"/>
      <c r="J50" s="188"/>
      <c r="K50" s="188"/>
      <c r="L50" s="143"/>
      <c r="M50" s="188"/>
      <c r="N50" s="188"/>
      <c r="O50" s="188"/>
      <c r="P50" s="143"/>
      <c r="Q50" s="188"/>
      <c r="R50" s="143"/>
      <c r="S50" s="143"/>
      <c r="T50" s="338"/>
      <c r="U50" s="124"/>
      <c r="V50" s="190"/>
      <c r="W50" s="124"/>
      <c r="X50" s="338"/>
      <c r="Y50" s="338"/>
      <c r="Z50" s="338"/>
      <c r="AA50" s="338"/>
      <c r="AB50" s="338"/>
    </row>
    <row r="51" spans="1:28">
      <c r="A51" s="178"/>
      <c r="B51" s="367"/>
      <c r="C51" s="868"/>
      <c r="D51" s="869"/>
      <c r="E51" s="870"/>
      <c r="F51" s="868"/>
      <c r="G51" s="188"/>
      <c r="H51" s="188"/>
      <c r="I51" s="188"/>
      <c r="J51" s="188"/>
      <c r="K51" s="188"/>
      <c r="L51" s="143"/>
      <c r="M51" s="188"/>
      <c r="N51" s="188"/>
      <c r="O51" s="188"/>
      <c r="P51" s="143"/>
      <c r="Q51" s="188"/>
      <c r="R51" s="143"/>
      <c r="S51" s="143"/>
      <c r="T51" s="338"/>
      <c r="U51" s="869"/>
      <c r="V51" s="870"/>
      <c r="W51" s="868"/>
      <c r="X51" s="338"/>
      <c r="Y51" s="338"/>
      <c r="Z51" s="338"/>
      <c r="AA51" s="338"/>
      <c r="AB51" s="338"/>
    </row>
    <row r="52" spans="1:28">
      <c r="A52" s="178"/>
      <c r="B52" s="168"/>
      <c r="C52" s="124"/>
      <c r="D52" s="124"/>
      <c r="E52" s="190"/>
      <c r="F52" s="124"/>
      <c r="G52" s="188"/>
      <c r="H52" s="188"/>
      <c r="I52" s="188"/>
      <c r="J52" s="188"/>
      <c r="K52" s="188"/>
      <c r="L52" s="143"/>
      <c r="M52" s="188"/>
      <c r="N52" s="188"/>
      <c r="O52" s="188"/>
      <c r="P52" s="143"/>
      <c r="Q52" s="188"/>
      <c r="R52" s="143"/>
      <c r="S52" s="143"/>
      <c r="T52" s="338"/>
      <c r="U52" s="124"/>
      <c r="V52" s="190"/>
      <c r="W52" s="124"/>
      <c r="X52" s="338"/>
      <c r="Y52" s="338"/>
      <c r="Z52" s="338"/>
      <c r="AA52" s="338"/>
      <c r="AB52" s="338"/>
    </row>
    <row r="53" spans="1:28">
      <c r="A53" s="370"/>
      <c r="B53" s="189"/>
      <c r="C53" s="124"/>
      <c r="D53" s="124"/>
      <c r="E53" s="190"/>
      <c r="F53" s="124"/>
      <c r="G53" s="188"/>
      <c r="H53" s="188"/>
      <c r="I53" s="188"/>
      <c r="J53" s="188"/>
      <c r="K53" s="188"/>
      <c r="L53" s="143"/>
      <c r="M53" s="188"/>
      <c r="N53" s="188"/>
      <c r="O53" s="188"/>
      <c r="P53" s="143"/>
      <c r="Q53" s="188"/>
      <c r="R53" s="143"/>
      <c r="S53" s="143"/>
      <c r="T53" s="338"/>
      <c r="U53" s="124"/>
      <c r="V53" s="190"/>
      <c r="W53" s="124"/>
      <c r="X53" s="338"/>
      <c r="Y53" s="338"/>
      <c r="Z53" s="338"/>
      <c r="AA53" s="338"/>
      <c r="AB53" s="338"/>
    </row>
    <row r="54" spans="1:28">
      <c r="A54" s="370"/>
      <c r="B54" s="371"/>
      <c r="C54" s="124"/>
      <c r="D54" s="124"/>
      <c r="E54" s="190"/>
      <c r="F54" s="124"/>
      <c r="G54" s="188"/>
      <c r="H54" s="188"/>
      <c r="I54" s="188"/>
      <c r="J54" s="188"/>
      <c r="K54" s="188"/>
      <c r="L54" s="143"/>
      <c r="M54" s="188"/>
      <c r="N54" s="188"/>
      <c r="O54" s="188"/>
      <c r="P54" s="143"/>
      <c r="Q54" s="188"/>
      <c r="R54" s="143"/>
      <c r="S54" s="143"/>
      <c r="T54" s="338"/>
      <c r="U54" s="124"/>
      <c r="V54" s="190"/>
      <c r="W54" s="124"/>
      <c r="X54" s="338"/>
      <c r="Y54" s="338"/>
      <c r="Z54" s="338"/>
      <c r="AA54" s="338"/>
      <c r="AB54" s="338"/>
    </row>
    <row r="55" spans="1:28">
      <c r="A55" s="178"/>
      <c r="B55" s="142"/>
      <c r="C55" s="124"/>
      <c r="D55" s="124"/>
      <c r="E55" s="190"/>
      <c r="F55" s="124"/>
      <c r="G55" s="188"/>
      <c r="H55" s="188"/>
      <c r="I55" s="188"/>
      <c r="J55" s="188"/>
      <c r="K55" s="188"/>
      <c r="L55" s="143"/>
      <c r="M55" s="188"/>
      <c r="N55" s="188"/>
      <c r="O55" s="188"/>
      <c r="P55" s="143"/>
      <c r="Q55" s="188"/>
      <c r="R55" s="143"/>
      <c r="S55" s="143"/>
      <c r="T55" s="338"/>
      <c r="U55" s="124"/>
      <c r="V55" s="190"/>
      <c r="W55" s="124"/>
      <c r="X55" s="338"/>
      <c r="Y55" s="338"/>
      <c r="Z55" s="338"/>
      <c r="AA55" s="338"/>
      <c r="AB55" s="338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88"/>
      <c r="H56" s="188"/>
      <c r="I56" s="188"/>
      <c r="J56" s="188"/>
      <c r="K56" s="188"/>
      <c r="L56" s="143"/>
      <c r="M56" s="188"/>
      <c r="N56" s="188"/>
      <c r="O56" s="188"/>
      <c r="P56" s="143"/>
      <c r="Q56" s="188"/>
      <c r="R56" s="143"/>
      <c r="S56" s="143"/>
      <c r="T56" s="338"/>
      <c r="U56" s="124"/>
      <c r="V56" s="190"/>
      <c r="W56" s="124"/>
      <c r="X56" s="338"/>
      <c r="Y56" s="338"/>
      <c r="Z56" s="338"/>
      <c r="AA56" s="338"/>
      <c r="AB56" s="338"/>
    </row>
    <row r="57" spans="1:28">
      <c r="A57" s="339" t="s">
        <v>97</v>
      </c>
      <c r="B57" s="340" t="s">
        <v>17</v>
      </c>
      <c r="C57" s="372">
        <f>SUM(C16:C56)</f>
        <v>3597360</v>
      </c>
      <c r="D57" s="372"/>
      <c r="E57" s="373"/>
      <c r="F57" s="372">
        <f>SUM(F16:F56)</f>
        <v>3597360</v>
      </c>
      <c r="G57" s="372">
        <f t="shared" ref="G57:N57" si="3">SUM(G15:G56)</f>
        <v>111840</v>
      </c>
      <c r="H57" s="372">
        <f t="shared" si="3"/>
        <v>0</v>
      </c>
      <c r="I57" s="372">
        <f t="shared" si="3"/>
        <v>792000</v>
      </c>
      <c r="J57" s="372">
        <f t="shared" si="3"/>
        <v>135000</v>
      </c>
      <c r="K57" s="372">
        <f t="shared" si="3"/>
        <v>0</v>
      </c>
      <c r="L57" s="372">
        <f t="shared" si="3"/>
        <v>342000</v>
      </c>
      <c r="M57" s="372">
        <f t="shared" si="3"/>
        <v>0</v>
      </c>
      <c r="N57" s="372">
        <f t="shared" si="3"/>
        <v>111840</v>
      </c>
      <c r="O57" s="372"/>
      <c r="P57" s="372">
        <f>SUM(P15:P56)</f>
        <v>342000</v>
      </c>
      <c r="Q57" s="372"/>
      <c r="R57" s="372">
        <f>SUM(R15:R56)</f>
        <v>0</v>
      </c>
      <c r="S57" s="372">
        <f>SUM(S15:S56)</f>
        <v>342000</v>
      </c>
      <c r="T57" s="374">
        <f>W57-L57</f>
        <v>450000</v>
      </c>
      <c r="U57" s="372">
        <f>SUM(U16:U56)</f>
        <v>792000</v>
      </c>
      <c r="V57" s="372">
        <f>SUM(V16:V56)</f>
        <v>4</v>
      </c>
      <c r="W57" s="372">
        <f>SUM(W16:W56)</f>
        <v>792000</v>
      </c>
      <c r="X57" s="372">
        <f>SUM(X15:X56)</f>
        <v>44640</v>
      </c>
      <c r="Y57" s="372">
        <f>SUM(Y15:Y56)</f>
        <v>44640</v>
      </c>
      <c r="Z57" s="372">
        <f>SUM(Z15:Z56)</f>
        <v>0</v>
      </c>
      <c r="AA57" s="372">
        <f>SUM(AA15:AA56)</f>
        <v>0</v>
      </c>
      <c r="AB57" s="372">
        <f>SUM(AB15:AB56)</f>
        <v>792000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6">
    <mergeCell ref="AA8:AA12"/>
    <mergeCell ref="AB8:AB12"/>
    <mergeCell ref="E1:F1"/>
    <mergeCell ref="X8:X12"/>
    <mergeCell ref="Y8:Y12"/>
    <mergeCell ref="Z8:Z12"/>
  </mergeCells>
  <phoneticPr fontId="0" type="noConversion"/>
  <conditionalFormatting sqref="U8:W9 X8:AB12">
    <cfRule type="cellIs" dxfId="56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pageSetUpPr fitToPage="1"/>
  </sheetPr>
  <dimension ref="A1:AE75"/>
  <sheetViews>
    <sheetView showGridLines="0" topLeftCell="C1" workbookViewId="0">
      <selection activeCell="N18" sqref="N18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413</v>
      </c>
      <c r="C2" s="307"/>
      <c r="D2" s="307"/>
      <c r="E2" s="347"/>
      <c r="F2" s="307"/>
      <c r="G2" s="307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396</v>
      </c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414</v>
      </c>
      <c r="C4" s="1325"/>
      <c r="D4" s="1325"/>
      <c r="E4" s="2150"/>
      <c r="F4" s="1324"/>
      <c r="G4" s="302"/>
      <c r="H4" s="302"/>
      <c r="I4" s="302"/>
      <c r="J4" s="302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201400097</v>
      </c>
      <c r="C5" s="307"/>
      <c r="D5" s="307"/>
      <c r="E5" s="347"/>
      <c r="F5" s="302"/>
      <c r="G5" s="302"/>
      <c r="J5" s="302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885" t="s">
        <v>407</v>
      </c>
      <c r="C6" s="307"/>
      <c r="D6" s="307"/>
      <c r="E6" s="347"/>
      <c r="F6" s="302"/>
      <c r="G6" s="302"/>
      <c r="H6" s="312"/>
      <c r="I6" s="313"/>
      <c r="J6" s="314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393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 customHeight="1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 ht="8.25" customHeight="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328" t="s">
        <v>86</v>
      </c>
      <c r="Y13" s="328"/>
      <c r="Z13" s="328"/>
      <c r="AA13" s="328"/>
      <c r="AB13" s="328"/>
    </row>
    <row r="14" spans="1:31" ht="15.75" customHeight="1">
      <c r="A14" s="349"/>
      <c r="B14" s="350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355"/>
      <c r="C15" s="354"/>
      <c r="D15" s="144"/>
      <c r="E15" s="190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/>
      <c r="X15" s="895"/>
      <c r="Y15" s="895"/>
      <c r="Z15" s="895"/>
      <c r="AA15" s="895"/>
      <c r="AB15" s="895"/>
    </row>
    <row r="16" spans="1:31" ht="33.75">
      <c r="A16" s="1479">
        <v>1</v>
      </c>
      <c r="B16" s="1482" t="s">
        <v>415</v>
      </c>
      <c r="C16" s="1481">
        <f>F16</f>
        <v>1736040</v>
      </c>
      <c r="D16" s="124">
        <f>1.2*1446700</f>
        <v>1736040</v>
      </c>
      <c r="E16" s="357">
        <v>1</v>
      </c>
      <c r="F16" s="124">
        <f>D16*E16</f>
        <v>1736040</v>
      </c>
      <c r="G16" s="143">
        <v>44640</v>
      </c>
      <c r="H16" s="143" t="s">
        <v>104</v>
      </c>
      <c r="I16" s="187">
        <f>U16</f>
        <v>324000</v>
      </c>
      <c r="J16" s="143"/>
      <c r="K16" s="143"/>
      <c r="L16" s="143">
        <f>+I16-J16+K16</f>
        <v>324000</v>
      </c>
      <c r="M16" s="143"/>
      <c r="N16" s="143">
        <f>G16</f>
        <v>44640</v>
      </c>
      <c r="O16" s="2331"/>
      <c r="P16" s="2332">
        <f>W16</f>
        <v>324000</v>
      </c>
      <c r="Q16" s="2333"/>
      <c r="R16" s="2332"/>
      <c r="S16" s="2331">
        <f>+P16-R16</f>
        <v>324000</v>
      </c>
      <c r="T16" s="502">
        <f>W16-L16</f>
        <v>0</v>
      </c>
      <c r="U16" s="502">
        <f>270000*1.2</f>
        <v>324000</v>
      </c>
      <c r="V16" s="511">
        <v>1</v>
      </c>
      <c r="W16" s="500">
        <f>U16*V16</f>
        <v>324000</v>
      </c>
      <c r="X16" s="143">
        <v>44640</v>
      </c>
      <c r="Y16" s="143">
        <v>44640</v>
      </c>
      <c r="Z16" s="143"/>
      <c r="AA16" s="143"/>
      <c r="AB16" s="143">
        <f>W16</f>
        <v>324000</v>
      </c>
    </row>
    <row r="17" spans="1:28">
      <c r="A17" s="1479"/>
      <c r="B17" s="1482"/>
      <c r="C17" s="1481"/>
      <c r="D17" s="896"/>
      <c r="E17" s="357"/>
      <c r="F17" s="124"/>
      <c r="G17" s="143"/>
      <c r="H17" s="143"/>
      <c r="I17" s="143"/>
      <c r="J17" s="143"/>
      <c r="K17" s="143"/>
      <c r="L17" s="143"/>
      <c r="M17" s="143"/>
      <c r="N17" s="143"/>
      <c r="O17" s="2331"/>
      <c r="P17" s="2331"/>
      <c r="Q17" s="2334"/>
      <c r="R17" s="2332"/>
      <c r="S17" s="2331"/>
      <c r="T17" s="143"/>
      <c r="U17" s="143"/>
      <c r="V17" s="190"/>
      <c r="W17" s="124"/>
      <c r="X17" s="143"/>
      <c r="Y17" s="143"/>
      <c r="Z17" s="143"/>
      <c r="AA17" s="143"/>
      <c r="AB17" s="143">
        <f t="shared" ref="AB17:AB22" si="0">W17</f>
        <v>0</v>
      </c>
    </row>
    <row r="18" spans="1:28" ht="33.75">
      <c r="A18" s="1479">
        <v>2</v>
      </c>
      <c r="B18" s="168" t="s">
        <v>416</v>
      </c>
      <c r="C18" s="1481">
        <f>F18</f>
        <v>942720</v>
      </c>
      <c r="D18" s="124">
        <f>1.2*785600</f>
        <v>942720</v>
      </c>
      <c r="E18" s="357">
        <v>1</v>
      </c>
      <c r="F18" s="124">
        <f>D18*E18</f>
        <v>942720</v>
      </c>
      <c r="G18" s="143">
        <v>65280</v>
      </c>
      <c r="H18" s="143" t="s">
        <v>373</v>
      </c>
      <c r="I18" s="143"/>
      <c r="J18" s="143"/>
      <c r="K18" s="143"/>
      <c r="L18" s="143"/>
      <c r="M18" s="143"/>
      <c r="N18" s="2327">
        <f>G18</f>
        <v>65280</v>
      </c>
      <c r="O18" s="2331"/>
      <c r="P18" s="2341"/>
      <c r="Q18" s="2334"/>
      <c r="R18" s="2331"/>
      <c r="S18" s="2331"/>
      <c r="T18" s="502">
        <f>W18-L18</f>
        <v>0</v>
      </c>
      <c r="U18" s="124">
        <v>0</v>
      </c>
      <c r="V18" s="190">
        <v>1</v>
      </c>
      <c r="W18" s="500">
        <f>U18*V18</f>
        <v>0</v>
      </c>
      <c r="X18" s="143"/>
      <c r="Y18" s="143"/>
      <c r="Z18" s="143"/>
      <c r="AA18" s="143"/>
      <c r="AB18" s="143">
        <f t="shared" si="0"/>
        <v>0</v>
      </c>
    </row>
    <row r="19" spans="1:28">
      <c r="A19" s="1479"/>
      <c r="B19" s="366"/>
      <c r="C19" s="1481"/>
      <c r="D19" s="896"/>
      <c r="E19" s="357"/>
      <c r="F19" s="124"/>
      <c r="G19" s="143"/>
      <c r="H19" s="143"/>
      <c r="I19" s="143"/>
      <c r="J19" s="143"/>
      <c r="K19" s="143"/>
      <c r="L19" s="143"/>
      <c r="M19" s="143"/>
      <c r="N19" s="143"/>
      <c r="O19" s="2331"/>
      <c r="P19" s="2331"/>
      <c r="Q19" s="2334"/>
      <c r="R19" s="2331"/>
      <c r="S19" s="2331"/>
      <c r="T19" s="502"/>
      <c r="U19" s="143"/>
      <c r="V19" s="190"/>
      <c r="W19" s="124"/>
      <c r="X19" s="143"/>
      <c r="Y19" s="143"/>
      <c r="Z19" s="143"/>
      <c r="AA19" s="143"/>
      <c r="AB19" s="143">
        <f t="shared" si="0"/>
        <v>0</v>
      </c>
    </row>
    <row r="20" spans="1:28" ht="33.75">
      <c r="A20" s="1479">
        <v>3</v>
      </c>
      <c r="B20" s="168" t="s">
        <v>417</v>
      </c>
      <c r="C20" s="1481">
        <f>F20</f>
        <v>330000</v>
      </c>
      <c r="D20" s="124">
        <f>1.2*275000</f>
        <v>330000</v>
      </c>
      <c r="E20" s="357">
        <v>1</v>
      </c>
      <c r="F20" s="124">
        <f>D20*E20</f>
        <v>330000</v>
      </c>
      <c r="G20" s="143"/>
      <c r="H20" s="143"/>
      <c r="I20" s="143">
        <f>+W20</f>
        <v>330000</v>
      </c>
      <c r="J20" s="143">
        <f>0.3*I20</f>
        <v>99000</v>
      </c>
      <c r="K20" s="143"/>
      <c r="L20" s="143"/>
      <c r="M20" s="143"/>
      <c r="N20" s="143"/>
      <c r="O20" s="2331"/>
      <c r="P20" s="2331"/>
      <c r="Q20" s="2334"/>
      <c r="R20" s="2332"/>
      <c r="S20" s="2331">
        <f>+P20-R20</f>
        <v>0</v>
      </c>
      <c r="T20" s="502">
        <f>W20-L20</f>
        <v>330000</v>
      </c>
      <c r="U20" s="143">
        <f>275000*1.2</f>
        <v>330000</v>
      </c>
      <c r="V20" s="190">
        <v>1</v>
      </c>
      <c r="W20" s="500">
        <f>U20*V20</f>
        <v>330000</v>
      </c>
      <c r="X20" s="143"/>
      <c r="Y20" s="143"/>
      <c r="Z20" s="143"/>
      <c r="AA20" s="143"/>
      <c r="AB20" s="143">
        <f t="shared" si="0"/>
        <v>330000</v>
      </c>
    </row>
    <row r="21" spans="1:28" ht="12.75" customHeight="1">
      <c r="A21" s="1480"/>
      <c r="B21" s="1484"/>
      <c r="C21" s="1481"/>
      <c r="D21" s="896"/>
      <c r="E21" s="357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502"/>
      <c r="U21" s="143"/>
      <c r="V21" s="190"/>
      <c r="W21" s="124"/>
      <c r="X21" s="143"/>
      <c r="Y21" s="143"/>
      <c r="Z21" s="143"/>
      <c r="AA21" s="143"/>
      <c r="AB21" s="143">
        <f t="shared" si="0"/>
        <v>0</v>
      </c>
    </row>
    <row r="22" spans="1:28" ht="33.75">
      <c r="A22" s="1479">
        <v>4</v>
      </c>
      <c r="B22" s="168" t="s">
        <v>418</v>
      </c>
      <c r="C22" s="1481">
        <f>F22</f>
        <v>150000</v>
      </c>
      <c r="D22" s="896">
        <f>1.2*125000</f>
        <v>150000</v>
      </c>
      <c r="E22" s="357">
        <v>1</v>
      </c>
      <c r="F22" s="124">
        <f>D22*E22</f>
        <v>150000</v>
      </c>
      <c r="G22" s="143"/>
      <c r="H22" s="143"/>
      <c r="I22" s="143">
        <f t="shared" ref="I22" si="1">+W22</f>
        <v>150000</v>
      </c>
      <c r="J22" s="143">
        <f t="shared" ref="J22" si="2">0.3*I22</f>
        <v>45000</v>
      </c>
      <c r="K22" s="143"/>
      <c r="L22" s="143"/>
      <c r="M22" s="143"/>
      <c r="N22" s="143"/>
      <c r="O22" s="143"/>
      <c r="P22" s="143"/>
      <c r="Q22" s="141"/>
      <c r="R22" s="143"/>
      <c r="S22" s="143"/>
      <c r="T22" s="502">
        <f>W22-L22</f>
        <v>150000</v>
      </c>
      <c r="U22" s="143">
        <f>125000*1.2</f>
        <v>150000</v>
      </c>
      <c r="V22" s="190">
        <v>1</v>
      </c>
      <c r="W22" s="500">
        <f>U22*V22</f>
        <v>150000</v>
      </c>
      <c r="X22" s="143"/>
      <c r="Y22" s="143"/>
      <c r="Z22" s="143"/>
      <c r="AA22" s="143"/>
      <c r="AB22" s="143">
        <f t="shared" si="0"/>
        <v>150000</v>
      </c>
    </row>
    <row r="23" spans="1:28">
      <c r="A23" s="1479"/>
      <c r="B23" s="366"/>
      <c r="C23" s="1481"/>
      <c r="D23" s="896"/>
      <c r="E23" s="357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 ht="33.75">
      <c r="A24" s="1479">
        <v>5</v>
      </c>
      <c r="B24" s="168" t="s">
        <v>419</v>
      </c>
      <c r="C24" s="1481">
        <f>F24</f>
        <v>210000</v>
      </c>
      <c r="D24" s="124">
        <f>1.2*175000</f>
        <v>210000</v>
      </c>
      <c r="E24" s="357">
        <v>1</v>
      </c>
      <c r="F24" s="124">
        <f>D24*E24</f>
        <v>210000</v>
      </c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</row>
    <row r="27" spans="1:28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</row>
    <row r="28" spans="1:28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</row>
    <row r="29" spans="1:28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/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877"/>
      <c r="Y29" s="877"/>
      <c r="Z29" s="877"/>
      <c r="AA29" s="877"/>
      <c r="AB29" s="877"/>
    </row>
    <row r="30" spans="1:28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/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877"/>
      <c r="Y30" s="877"/>
      <c r="Z30" s="877"/>
      <c r="AA30" s="877"/>
      <c r="AB30" s="877"/>
    </row>
    <row r="31" spans="1:28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/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877"/>
      <c r="Y31" s="877"/>
      <c r="Z31" s="877"/>
      <c r="AA31" s="877"/>
      <c r="AB31" s="877"/>
    </row>
    <row r="32" spans="1:28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/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877"/>
      <c r="Y32" s="877"/>
      <c r="Z32" s="877"/>
      <c r="AA32" s="877"/>
      <c r="AB32" s="877"/>
    </row>
    <row r="33" spans="1:28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877"/>
    </row>
    <row r="34" spans="1:28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</row>
    <row r="35" spans="1:28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</row>
    <row r="36" spans="1:28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877"/>
      <c r="Y37" s="877"/>
      <c r="Z37" s="877"/>
      <c r="AA37" s="877"/>
      <c r="AB37" s="877"/>
    </row>
    <row r="38" spans="1:28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877"/>
      <c r="Y38" s="877"/>
      <c r="Z38" s="877"/>
      <c r="AA38" s="877"/>
      <c r="AB38" s="877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877"/>
      <c r="Y39" s="877"/>
      <c r="Z39" s="877"/>
      <c r="AA39" s="877"/>
      <c r="AB39" s="877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</row>
    <row r="48" spans="1:28" ht="15.75">
      <c r="A48" s="364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877"/>
      <c r="Y48" s="877"/>
      <c r="Z48" s="877"/>
      <c r="AA48" s="877"/>
      <c r="AB48" s="877"/>
    </row>
    <row r="49" spans="1:28">
      <c r="A49" s="178"/>
      <c r="B49" s="365"/>
      <c r="C49" s="124"/>
      <c r="D49" s="124"/>
      <c r="E49" s="190"/>
      <c r="F49" s="124"/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24"/>
      <c r="V49" s="190"/>
      <c r="W49" s="124"/>
      <c r="X49" s="877"/>
      <c r="Y49" s="877"/>
      <c r="Z49" s="877"/>
      <c r="AA49" s="877"/>
      <c r="AB49" s="877"/>
    </row>
    <row r="50" spans="1:28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877"/>
      <c r="Y50" s="877"/>
      <c r="Z50" s="877"/>
      <c r="AA50" s="877"/>
      <c r="AB50" s="877"/>
    </row>
    <row r="51" spans="1:28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877"/>
      <c r="Y51" s="877"/>
      <c r="Z51" s="877"/>
      <c r="AA51" s="877"/>
      <c r="AB51" s="877"/>
    </row>
    <row r="52" spans="1:28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877"/>
      <c r="Y52" s="877"/>
      <c r="Z52" s="877"/>
      <c r="AA52" s="877"/>
      <c r="AB52" s="877"/>
    </row>
    <row r="53" spans="1:28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</row>
    <row r="54" spans="1:28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</row>
    <row r="55" spans="1:28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/>
      <c r="X56" s="877"/>
      <c r="Y56" s="877"/>
      <c r="Z56" s="877"/>
      <c r="AA56" s="877"/>
      <c r="AB56" s="877"/>
    </row>
    <row r="57" spans="1:28">
      <c r="A57" s="339" t="s">
        <v>97</v>
      </c>
      <c r="B57" s="340" t="s">
        <v>17</v>
      </c>
      <c r="C57" s="900">
        <f>SUM(C16:C56)</f>
        <v>3368760</v>
      </c>
      <c r="D57" s="900"/>
      <c r="E57" s="901"/>
      <c r="F57" s="900">
        <f>SUM(F16:F56)</f>
        <v>3368760</v>
      </c>
      <c r="G57" s="900">
        <f t="shared" ref="G57:N57" si="3">SUM(G15:G56)</f>
        <v>109920</v>
      </c>
      <c r="H57" s="900">
        <f t="shared" si="3"/>
        <v>0</v>
      </c>
      <c r="I57" s="900">
        <f t="shared" si="3"/>
        <v>804000</v>
      </c>
      <c r="J57" s="900">
        <f t="shared" si="3"/>
        <v>144000</v>
      </c>
      <c r="K57" s="900">
        <f t="shared" si="3"/>
        <v>0</v>
      </c>
      <c r="L57" s="900">
        <f t="shared" si="3"/>
        <v>324000</v>
      </c>
      <c r="M57" s="900">
        <f t="shared" si="3"/>
        <v>0</v>
      </c>
      <c r="N57" s="900">
        <f t="shared" si="3"/>
        <v>109920</v>
      </c>
      <c r="O57" s="900"/>
      <c r="P57" s="900">
        <f>SUM(P15:P56)</f>
        <v>324000</v>
      </c>
      <c r="Q57" s="900"/>
      <c r="R57" s="900">
        <f>SUM(R15:R56)</f>
        <v>0</v>
      </c>
      <c r="S57" s="900">
        <f>SUM(S15:S56)</f>
        <v>324000</v>
      </c>
      <c r="T57" s="893">
        <f>W57-L57</f>
        <v>480000</v>
      </c>
      <c r="U57" s="900">
        <f>SUM(U16:U56)</f>
        <v>804000</v>
      </c>
      <c r="V57" s="900">
        <f>SUM(V16:V56)</f>
        <v>4</v>
      </c>
      <c r="W57" s="900">
        <f>SUM(W16:W56)</f>
        <v>804000</v>
      </c>
      <c r="X57" s="900">
        <f>SUM(X15:X56)</f>
        <v>44640</v>
      </c>
      <c r="Y57" s="900">
        <f>SUM(Y15:Y56)</f>
        <v>44640</v>
      </c>
      <c r="Z57" s="900">
        <f>SUM(Z15:Z56)</f>
        <v>0</v>
      </c>
      <c r="AA57" s="900">
        <f>SUM(AA15:AA56)</f>
        <v>0</v>
      </c>
      <c r="AB57" s="900">
        <f>SUM(AB15:AB56)</f>
        <v>804000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6">
    <mergeCell ref="AA8:AA12"/>
    <mergeCell ref="AB8:AB12"/>
    <mergeCell ref="E1:F1"/>
    <mergeCell ref="X8:X12"/>
    <mergeCell ref="Y8:Y12"/>
    <mergeCell ref="Z8:Z12"/>
  </mergeCells>
  <phoneticPr fontId="0" type="noConversion"/>
  <conditionalFormatting sqref="U8:W9 X8:AB12">
    <cfRule type="cellIs" dxfId="55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3" orientation="landscape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2">
    <pageSetUpPr fitToPage="1"/>
  </sheetPr>
  <dimension ref="A1:AE75"/>
  <sheetViews>
    <sheetView showGridLines="0" showZeros="0" view="pageBreakPreview" zoomScaleNormal="100" workbookViewId="0">
      <selection activeCell="K17" sqref="K17"/>
    </sheetView>
  </sheetViews>
  <sheetFormatPr baseColWidth="10" defaultRowHeight="12.75"/>
  <cols>
    <col min="1" max="1" width="10.25" style="1544" customWidth="1"/>
    <col min="2" max="2" width="35.375" style="1544" customWidth="1"/>
    <col min="3" max="3" width="10.125" style="1544" customWidth="1"/>
    <col min="4" max="4" width="10.375" style="1544" customWidth="1"/>
    <col min="5" max="5" width="7.375" style="1545" customWidth="1"/>
    <col min="6" max="9" width="10.25" style="1544" customWidth="1"/>
    <col min="10" max="10" width="12" style="1544" customWidth="1"/>
    <col min="11" max="11" width="10.25" style="1544" customWidth="1"/>
    <col min="12" max="12" width="9" style="1544" customWidth="1"/>
    <col min="13" max="13" width="9.75" style="1544" customWidth="1"/>
    <col min="14" max="14" width="8.75" style="1544" customWidth="1"/>
    <col min="15" max="15" width="6.375" style="1544" customWidth="1"/>
    <col min="16" max="16" width="11" style="1544"/>
    <col min="17" max="17" width="5.875" style="1541" customWidth="1"/>
    <col min="18" max="19" width="11" style="1541"/>
    <col min="20" max="20" width="10.875" style="1541" customWidth="1"/>
    <col min="21" max="21" width="9" style="1544" customWidth="1"/>
    <col min="22" max="22" width="4.875" style="1544" customWidth="1"/>
    <col min="23" max="23" width="10.25" style="1544" customWidth="1"/>
    <col min="24" max="28" width="10.875" style="1541" customWidth="1"/>
    <col min="29" max="31" width="11" style="1541"/>
    <col min="32" max="256" width="11" style="1542"/>
    <col min="257" max="257" width="10.25" style="1542" customWidth="1"/>
    <col min="258" max="258" width="35.375" style="1542" customWidth="1"/>
    <col min="259" max="259" width="10.125" style="1542" customWidth="1"/>
    <col min="260" max="260" width="10.375" style="1542" customWidth="1"/>
    <col min="261" max="261" width="7.375" style="1542" customWidth="1"/>
    <col min="262" max="265" width="10.25" style="1542" customWidth="1"/>
    <col min="266" max="266" width="12" style="1542" customWidth="1"/>
    <col min="267" max="267" width="10.25" style="1542" customWidth="1"/>
    <col min="268" max="268" width="9" style="1542" customWidth="1"/>
    <col min="269" max="269" width="9.75" style="1542" customWidth="1"/>
    <col min="270" max="270" width="8.75" style="1542" customWidth="1"/>
    <col min="271" max="271" width="6.375" style="1542" customWidth="1"/>
    <col min="272" max="272" width="11" style="1542"/>
    <col min="273" max="273" width="5.875" style="1542" customWidth="1"/>
    <col min="274" max="275" width="11" style="1542"/>
    <col min="276" max="276" width="10.875" style="1542" customWidth="1"/>
    <col min="277" max="277" width="9" style="1542" customWidth="1"/>
    <col min="278" max="278" width="4.875" style="1542" customWidth="1"/>
    <col min="279" max="279" width="10.25" style="1542" customWidth="1"/>
    <col min="280" max="284" width="10.875" style="1542" customWidth="1"/>
    <col min="285" max="512" width="11" style="1542"/>
    <col min="513" max="513" width="10.25" style="1542" customWidth="1"/>
    <col min="514" max="514" width="35.375" style="1542" customWidth="1"/>
    <col min="515" max="515" width="10.125" style="1542" customWidth="1"/>
    <col min="516" max="516" width="10.375" style="1542" customWidth="1"/>
    <col min="517" max="517" width="7.375" style="1542" customWidth="1"/>
    <col min="518" max="521" width="10.25" style="1542" customWidth="1"/>
    <col min="522" max="522" width="12" style="1542" customWidth="1"/>
    <col min="523" max="523" width="10.25" style="1542" customWidth="1"/>
    <col min="524" max="524" width="9" style="1542" customWidth="1"/>
    <col min="525" max="525" width="9.75" style="1542" customWidth="1"/>
    <col min="526" max="526" width="8.75" style="1542" customWidth="1"/>
    <col min="527" max="527" width="6.375" style="1542" customWidth="1"/>
    <col min="528" max="528" width="11" style="1542"/>
    <col min="529" max="529" width="5.875" style="1542" customWidth="1"/>
    <col min="530" max="531" width="11" style="1542"/>
    <col min="532" max="532" width="10.875" style="1542" customWidth="1"/>
    <col min="533" max="533" width="9" style="1542" customWidth="1"/>
    <col min="534" max="534" width="4.875" style="1542" customWidth="1"/>
    <col min="535" max="535" width="10.25" style="1542" customWidth="1"/>
    <col min="536" max="540" width="10.875" style="1542" customWidth="1"/>
    <col min="541" max="768" width="11" style="1542"/>
    <col min="769" max="769" width="10.25" style="1542" customWidth="1"/>
    <col min="770" max="770" width="35.375" style="1542" customWidth="1"/>
    <col min="771" max="771" width="10.125" style="1542" customWidth="1"/>
    <col min="772" max="772" width="10.375" style="1542" customWidth="1"/>
    <col min="773" max="773" width="7.375" style="1542" customWidth="1"/>
    <col min="774" max="777" width="10.25" style="1542" customWidth="1"/>
    <col min="778" max="778" width="12" style="1542" customWidth="1"/>
    <col min="779" max="779" width="10.25" style="1542" customWidth="1"/>
    <col min="780" max="780" width="9" style="1542" customWidth="1"/>
    <col min="781" max="781" width="9.75" style="1542" customWidth="1"/>
    <col min="782" max="782" width="8.75" style="1542" customWidth="1"/>
    <col min="783" max="783" width="6.375" style="1542" customWidth="1"/>
    <col min="784" max="784" width="11" style="1542"/>
    <col min="785" max="785" width="5.875" style="1542" customWidth="1"/>
    <col min="786" max="787" width="11" style="1542"/>
    <col min="788" max="788" width="10.875" style="1542" customWidth="1"/>
    <col min="789" max="789" width="9" style="1542" customWidth="1"/>
    <col min="790" max="790" width="4.875" style="1542" customWidth="1"/>
    <col min="791" max="791" width="10.25" style="1542" customWidth="1"/>
    <col min="792" max="796" width="10.875" style="1542" customWidth="1"/>
    <col min="797" max="1024" width="11" style="1542"/>
    <col min="1025" max="1025" width="10.25" style="1542" customWidth="1"/>
    <col min="1026" max="1026" width="35.375" style="1542" customWidth="1"/>
    <col min="1027" max="1027" width="10.125" style="1542" customWidth="1"/>
    <col min="1028" max="1028" width="10.375" style="1542" customWidth="1"/>
    <col min="1029" max="1029" width="7.375" style="1542" customWidth="1"/>
    <col min="1030" max="1033" width="10.25" style="1542" customWidth="1"/>
    <col min="1034" max="1034" width="12" style="1542" customWidth="1"/>
    <col min="1035" max="1035" width="10.25" style="1542" customWidth="1"/>
    <col min="1036" max="1036" width="9" style="1542" customWidth="1"/>
    <col min="1037" max="1037" width="9.75" style="1542" customWidth="1"/>
    <col min="1038" max="1038" width="8.75" style="1542" customWidth="1"/>
    <col min="1039" max="1039" width="6.375" style="1542" customWidth="1"/>
    <col min="1040" max="1040" width="11" style="1542"/>
    <col min="1041" max="1041" width="5.875" style="1542" customWidth="1"/>
    <col min="1042" max="1043" width="11" style="1542"/>
    <col min="1044" max="1044" width="10.875" style="1542" customWidth="1"/>
    <col min="1045" max="1045" width="9" style="1542" customWidth="1"/>
    <col min="1046" max="1046" width="4.875" style="1542" customWidth="1"/>
    <col min="1047" max="1047" width="10.25" style="1542" customWidth="1"/>
    <col min="1048" max="1052" width="10.875" style="1542" customWidth="1"/>
    <col min="1053" max="1280" width="11" style="1542"/>
    <col min="1281" max="1281" width="10.25" style="1542" customWidth="1"/>
    <col min="1282" max="1282" width="35.375" style="1542" customWidth="1"/>
    <col min="1283" max="1283" width="10.125" style="1542" customWidth="1"/>
    <col min="1284" max="1284" width="10.375" style="1542" customWidth="1"/>
    <col min="1285" max="1285" width="7.375" style="1542" customWidth="1"/>
    <col min="1286" max="1289" width="10.25" style="1542" customWidth="1"/>
    <col min="1290" max="1290" width="12" style="1542" customWidth="1"/>
    <col min="1291" max="1291" width="10.25" style="1542" customWidth="1"/>
    <col min="1292" max="1292" width="9" style="1542" customWidth="1"/>
    <col min="1293" max="1293" width="9.75" style="1542" customWidth="1"/>
    <col min="1294" max="1294" width="8.75" style="1542" customWidth="1"/>
    <col min="1295" max="1295" width="6.375" style="1542" customWidth="1"/>
    <col min="1296" max="1296" width="11" style="1542"/>
    <col min="1297" max="1297" width="5.875" style="1542" customWidth="1"/>
    <col min="1298" max="1299" width="11" style="1542"/>
    <col min="1300" max="1300" width="10.875" style="1542" customWidth="1"/>
    <col min="1301" max="1301" width="9" style="1542" customWidth="1"/>
    <col min="1302" max="1302" width="4.875" style="1542" customWidth="1"/>
    <col min="1303" max="1303" width="10.25" style="1542" customWidth="1"/>
    <col min="1304" max="1308" width="10.875" style="1542" customWidth="1"/>
    <col min="1309" max="1536" width="11" style="1542"/>
    <col min="1537" max="1537" width="10.25" style="1542" customWidth="1"/>
    <col min="1538" max="1538" width="35.375" style="1542" customWidth="1"/>
    <col min="1539" max="1539" width="10.125" style="1542" customWidth="1"/>
    <col min="1540" max="1540" width="10.375" style="1542" customWidth="1"/>
    <col min="1541" max="1541" width="7.375" style="1542" customWidth="1"/>
    <col min="1542" max="1545" width="10.25" style="1542" customWidth="1"/>
    <col min="1546" max="1546" width="12" style="1542" customWidth="1"/>
    <col min="1547" max="1547" width="10.25" style="1542" customWidth="1"/>
    <col min="1548" max="1548" width="9" style="1542" customWidth="1"/>
    <col min="1549" max="1549" width="9.75" style="1542" customWidth="1"/>
    <col min="1550" max="1550" width="8.75" style="1542" customWidth="1"/>
    <col min="1551" max="1551" width="6.375" style="1542" customWidth="1"/>
    <col min="1552" max="1552" width="11" style="1542"/>
    <col min="1553" max="1553" width="5.875" style="1542" customWidth="1"/>
    <col min="1554" max="1555" width="11" style="1542"/>
    <col min="1556" max="1556" width="10.875" style="1542" customWidth="1"/>
    <col min="1557" max="1557" width="9" style="1542" customWidth="1"/>
    <col min="1558" max="1558" width="4.875" style="1542" customWidth="1"/>
    <col min="1559" max="1559" width="10.25" style="1542" customWidth="1"/>
    <col min="1560" max="1564" width="10.875" style="1542" customWidth="1"/>
    <col min="1565" max="1792" width="11" style="1542"/>
    <col min="1793" max="1793" width="10.25" style="1542" customWidth="1"/>
    <col min="1794" max="1794" width="35.375" style="1542" customWidth="1"/>
    <col min="1795" max="1795" width="10.125" style="1542" customWidth="1"/>
    <col min="1796" max="1796" width="10.375" style="1542" customWidth="1"/>
    <col min="1797" max="1797" width="7.375" style="1542" customWidth="1"/>
    <col min="1798" max="1801" width="10.25" style="1542" customWidth="1"/>
    <col min="1802" max="1802" width="12" style="1542" customWidth="1"/>
    <col min="1803" max="1803" width="10.25" style="1542" customWidth="1"/>
    <col min="1804" max="1804" width="9" style="1542" customWidth="1"/>
    <col min="1805" max="1805" width="9.75" style="1542" customWidth="1"/>
    <col min="1806" max="1806" width="8.75" style="1542" customWidth="1"/>
    <col min="1807" max="1807" width="6.375" style="1542" customWidth="1"/>
    <col min="1808" max="1808" width="11" style="1542"/>
    <col min="1809" max="1809" width="5.875" style="1542" customWidth="1"/>
    <col min="1810" max="1811" width="11" style="1542"/>
    <col min="1812" max="1812" width="10.875" style="1542" customWidth="1"/>
    <col min="1813" max="1813" width="9" style="1542" customWidth="1"/>
    <col min="1814" max="1814" width="4.875" style="1542" customWidth="1"/>
    <col min="1815" max="1815" width="10.25" style="1542" customWidth="1"/>
    <col min="1816" max="1820" width="10.875" style="1542" customWidth="1"/>
    <col min="1821" max="2048" width="11" style="1542"/>
    <col min="2049" max="2049" width="10.25" style="1542" customWidth="1"/>
    <col min="2050" max="2050" width="35.375" style="1542" customWidth="1"/>
    <col min="2051" max="2051" width="10.125" style="1542" customWidth="1"/>
    <col min="2052" max="2052" width="10.375" style="1542" customWidth="1"/>
    <col min="2053" max="2053" width="7.375" style="1542" customWidth="1"/>
    <col min="2054" max="2057" width="10.25" style="1542" customWidth="1"/>
    <col min="2058" max="2058" width="12" style="1542" customWidth="1"/>
    <col min="2059" max="2059" width="10.25" style="1542" customWidth="1"/>
    <col min="2060" max="2060" width="9" style="1542" customWidth="1"/>
    <col min="2061" max="2061" width="9.75" style="1542" customWidth="1"/>
    <col min="2062" max="2062" width="8.75" style="1542" customWidth="1"/>
    <col min="2063" max="2063" width="6.375" style="1542" customWidth="1"/>
    <col min="2064" max="2064" width="11" style="1542"/>
    <col min="2065" max="2065" width="5.875" style="1542" customWidth="1"/>
    <col min="2066" max="2067" width="11" style="1542"/>
    <col min="2068" max="2068" width="10.875" style="1542" customWidth="1"/>
    <col min="2069" max="2069" width="9" style="1542" customWidth="1"/>
    <col min="2070" max="2070" width="4.875" style="1542" customWidth="1"/>
    <col min="2071" max="2071" width="10.25" style="1542" customWidth="1"/>
    <col min="2072" max="2076" width="10.875" style="1542" customWidth="1"/>
    <col min="2077" max="2304" width="11" style="1542"/>
    <col min="2305" max="2305" width="10.25" style="1542" customWidth="1"/>
    <col min="2306" max="2306" width="35.375" style="1542" customWidth="1"/>
    <col min="2307" max="2307" width="10.125" style="1542" customWidth="1"/>
    <col min="2308" max="2308" width="10.375" style="1542" customWidth="1"/>
    <col min="2309" max="2309" width="7.375" style="1542" customWidth="1"/>
    <col min="2310" max="2313" width="10.25" style="1542" customWidth="1"/>
    <col min="2314" max="2314" width="12" style="1542" customWidth="1"/>
    <col min="2315" max="2315" width="10.25" style="1542" customWidth="1"/>
    <col min="2316" max="2316" width="9" style="1542" customWidth="1"/>
    <col min="2317" max="2317" width="9.75" style="1542" customWidth="1"/>
    <col min="2318" max="2318" width="8.75" style="1542" customWidth="1"/>
    <col min="2319" max="2319" width="6.375" style="1542" customWidth="1"/>
    <col min="2320" max="2320" width="11" style="1542"/>
    <col min="2321" max="2321" width="5.875" style="1542" customWidth="1"/>
    <col min="2322" max="2323" width="11" style="1542"/>
    <col min="2324" max="2324" width="10.875" style="1542" customWidth="1"/>
    <col min="2325" max="2325" width="9" style="1542" customWidth="1"/>
    <col min="2326" max="2326" width="4.875" style="1542" customWidth="1"/>
    <col min="2327" max="2327" width="10.25" style="1542" customWidth="1"/>
    <col min="2328" max="2332" width="10.875" style="1542" customWidth="1"/>
    <col min="2333" max="2560" width="11" style="1542"/>
    <col min="2561" max="2561" width="10.25" style="1542" customWidth="1"/>
    <col min="2562" max="2562" width="35.375" style="1542" customWidth="1"/>
    <col min="2563" max="2563" width="10.125" style="1542" customWidth="1"/>
    <col min="2564" max="2564" width="10.375" style="1542" customWidth="1"/>
    <col min="2565" max="2565" width="7.375" style="1542" customWidth="1"/>
    <col min="2566" max="2569" width="10.25" style="1542" customWidth="1"/>
    <col min="2570" max="2570" width="12" style="1542" customWidth="1"/>
    <col min="2571" max="2571" width="10.25" style="1542" customWidth="1"/>
    <col min="2572" max="2572" width="9" style="1542" customWidth="1"/>
    <col min="2573" max="2573" width="9.75" style="1542" customWidth="1"/>
    <col min="2574" max="2574" width="8.75" style="1542" customWidth="1"/>
    <col min="2575" max="2575" width="6.375" style="1542" customWidth="1"/>
    <col min="2576" max="2576" width="11" style="1542"/>
    <col min="2577" max="2577" width="5.875" style="1542" customWidth="1"/>
    <col min="2578" max="2579" width="11" style="1542"/>
    <col min="2580" max="2580" width="10.875" style="1542" customWidth="1"/>
    <col min="2581" max="2581" width="9" style="1542" customWidth="1"/>
    <col min="2582" max="2582" width="4.875" style="1542" customWidth="1"/>
    <col min="2583" max="2583" width="10.25" style="1542" customWidth="1"/>
    <col min="2584" max="2588" width="10.875" style="1542" customWidth="1"/>
    <col min="2589" max="2816" width="11" style="1542"/>
    <col min="2817" max="2817" width="10.25" style="1542" customWidth="1"/>
    <col min="2818" max="2818" width="35.375" style="1542" customWidth="1"/>
    <col min="2819" max="2819" width="10.125" style="1542" customWidth="1"/>
    <col min="2820" max="2820" width="10.375" style="1542" customWidth="1"/>
    <col min="2821" max="2821" width="7.375" style="1542" customWidth="1"/>
    <col min="2822" max="2825" width="10.25" style="1542" customWidth="1"/>
    <col min="2826" max="2826" width="12" style="1542" customWidth="1"/>
    <col min="2827" max="2827" width="10.25" style="1542" customWidth="1"/>
    <col min="2828" max="2828" width="9" style="1542" customWidth="1"/>
    <col min="2829" max="2829" width="9.75" style="1542" customWidth="1"/>
    <col min="2830" max="2830" width="8.75" style="1542" customWidth="1"/>
    <col min="2831" max="2831" width="6.375" style="1542" customWidth="1"/>
    <col min="2832" max="2832" width="11" style="1542"/>
    <col min="2833" max="2833" width="5.875" style="1542" customWidth="1"/>
    <col min="2834" max="2835" width="11" style="1542"/>
    <col min="2836" max="2836" width="10.875" style="1542" customWidth="1"/>
    <col min="2837" max="2837" width="9" style="1542" customWidth="1"/>
    <col min="2838" max="2838" width="4.875" style="1542" customWidth="1"/>
    <col min="2839" max="2839" width="10.25" style="1542" customWidth="1"/>
    <col min="2840" max="2844" width="10.875" style="1542" customWidth="1"/>
    <col min="2845" max="3072" width="11" style="1542"/>
    <col min="3073" max="3073" width="10.25" style="1542" customWidth="1"/>
    <col min="3074" max="3074" width="35.375" style="1542" customWidth="1"/>
    <col min="3075" max="3075" width="10.125" style="1542" customWidth="1"/>
    <col min="3076" max="3076" width="10.375" style="1542" customWidth="1"/>
    <col min="3077" max="3077" width="7.375" style="1542" customWidth="1"/>
    <col min="3078" max="3081" width="10.25" style="1542" customWidth="1"/>
    <col min="3082" max="3082" width="12" style="1542" customWidth="1"/>
    <col min="3083" max="3083" width="10.25" style="1542" customWidth="1"/>
    <col min="3084" max="3084" width="9" style="1542" customWidth="1"/>
    <col min="3085" max="3085" width="9.75" style="1542" customWidth="1"/>
    <col min="3086" max="3086" width="8.75" style="1542" customWidth="1"/>
    <col min="3087" max="3087" width="6.375" style="1542" customWidth="1"/>
    <col min="3088" max="3088" width="11" style="1542"/>
    <col min="3089" max="3089" width="5.875" style="1542" customWidth="1"/>
    <col min="3090" max="3091" width="11" style="1542"/>
    <col min="3092" max="3092" width="10.875" style="1542" customWidth="1"/>
    <col min="3093" max="3093" width="9" style="1542" customWidth="1"/>
    <col min="3094" max="3094" width="4.875" style="1542" customWidth="1"/>
    <col min="3095" max="3095" width="10.25" style="1542" customWidth="1"/>
    <col min="3096" max="3100" width="10.875" style="1542" customWidth="1"/>
    <col min="3101" max="3328" width="11" style="1542"/>
    <col min="3329" max="3329" width="10.25" style="1542" customWidth="1"/>
    <col min="3330" max="3330" width="35.375" style="1542" customWidth="1"/>
    <col min="3331" max="3331" width="10.125" style="1542" customWidth="1"/>
    <col min="3332" max="3332" width="10.375" style="1542" customWidth="1"/>
    <col min="3333" max="3333" width="7.375" style="1542" customWidth="1"/>
    <col min="3334" max="3337" width="10.25" style="1542" customWidth="1"/>
    <col min="3338" max="3338" width="12" style="1542" customWidth="1"/>
    <col min="3339" max="3339" width="10.25" style="1542" customWidth="1"/>
    <col min="3340" max="3340" width="9" style="1542" customWidth="1"/>
    <col min="3341" max="3341" width="9.75" style="1542" customWidth="1"/>
    <col min="3342" max="3342" width="8.75" style="1542" customWidth="1"/>
    <col min="3343" max="3343" width="6.375" style="1542" customWidth="1"/>
    <col min="3344" max="3344" width="11" style="1542"/>
    <col min="3345" max="3345" width="5.875" style="1542" customWidth="1"/>
    <col min="3346" max="3347" width="11" style="1542"/>
    <col min="3348" max="3348" width="10.875" style="1542" customWidth="1"/>
    <col min="3349" max="3349" width="9" style="1542" customWidth="1"/>
    <col min="3350" max="3350" width="4.875" style="1542" customWidth="1"/>
    <col min="3351" max="3351" width="10.25" style="1542" customWidth="1"/>
    <col min="3352" max="3356" width="10.875" style="1542" customWidth="1"/>
    <col min="3357" max="3584" width="11" style="1542"/>
    <col min="3585" max="3585" width="10.25" style="1542" customWidth="1"/>
    <col min="3586" max="3586" width="35.375" style="1542" customWidth="1"/>
    <col min="3587" max="3587" width="10.125" style="1542" customWidth="1"/>
    <col min="3588" max="3588" width="10.375" style="1542" customWidth="1"/>
    <col min="3589" max="3589" width="7.375" style="1542" customWidth="1"/>
    <col min="3590" max="3593" width="10.25" style="1542" customWidth="1"/>
    <col min="3594" max="3594" width="12" style="1542" customWidth="1"/>
    <col min="3595" max="3595" width="10.25" style="1542" customWidth="1"/>
    <col min="3596" max="3596" width="9" style="1542" customWidth="1"/>
    <col min="3597" max="3597" width="9.75" style="1542" customWidth="1"/>
    <col min="3598" max="3598" width="8.75" style="1542" customWidth="1"/>
    <col min="3599" max="3599" width="6.375" style="1542" customWidth="1"/>
    <col min="3600" max="3600" width="11" style="1542"/>
    <col min="3601" max="3601" width="5.875" style="1542" customWidth="1"/>
    <col min="3602" max="3603" width="11" style="1542"/>
    <col min="3604" max="3604" width="10.875" style="1542" customWidth="1"/>
    <col min="3605" max="3605" width="9" style="1542" customWidth="1"/>
    <col min="3606" max="3606" width="4.875" style="1542" customWidth="1"/>
    <col min="3607" max="3607" width="10.25" style="1542" customWidth="1"/>
    <col min="3608" max="3612" width="10.875" style="1542" customWidth="1"/>
    <col min="3613" max="3840" width="11" style="1542"/>
    <col min="3841" max="3841" width="10.25" style="1542" customWidth="1"/>
    <col min="3842" max="3842" width="35.375" style="1542" customWidth="1"/>
    <col min="3843" max="3843" width="10.125" style="1542" customWidth="1"/>
    <col min="3844" max="3844" width="10.375" style="1542" customWidth="1"/>
    <col min="3845" max="3845" width="7.375" style="1542" customWidth="1"/>
    <col min="3846" max="3849" width="10.25" style="1542" customWidth="1"/>
    <col min="3850" max="3850" width="12" style="1542" customWidth="1"/>
    <col min="3851" max="3851" width="10.25" style="1542" customWidth="1"/>
    <col min="3852" max="3852" width="9" style="1542" customWidth="1"/>
    <col min="3853" max="3853" width="9.75" style="1542" customWidth="1"/>
    <col min="3854" max="3854" width="8.75" style="1542" customWidth="1"/>
    <col min="3855" max="3855" width="6.375" style="1542" customWidth="1"/>
    <col min="3856" max="3856" width="11" style="1542"/>
    <col min="3857" max="3857" width="5.875" style="1542" customWidth="1"/>
    <col min="3858" max="3859" width="11" style="1542"/>
    <col min="3860" max="3860" width="10.875" style="1542" customWidth="1"/>
    <col min="3861" max="3861" width="9" style="1542" customWidth="1"/>
    <col min="3862" max="3862" width="4.875" style="1542" customWidth="1"/>
    <col min="3863" max="3863" width="10.25" style="1542" customWidth="1"/>
    <col min="3864" max="3868" width="10.875" style="1542" customWidth="1"/>
    <col min="3869" max="4096" width="11" style="1542"/>
    <col min="4097" max="4097" width="10.25" style="1542" customWidth="1"/>
    <col min="4098" max="4098" width="35.375" style="1542" customWidth="1"/>
    <col min="4099" max="4099" width="10.125" style="1542" customWidth="1"/>
    <col min="4100" max="4100" width="10.375" style="1542" customWidth="1"/>
    <col min="4101" max="4101" width="7.375" style="1542" customWidth="1"/>
    <col min="4102" max="4105" width="10.25" style="1542" customWidth="1"/>
    <col min="4106" max="4106" width="12" style="1542" customWidth="1"/>
    <col min="4107" max="4107" width="10.25" style="1542" customWidth="1"/>
    <col min="4108" max="4108" width="9" style="1542" customWidth="1"/>
    <col min="4109" max="4109" width="9.75" style="1542" customWidth="1"/>
    <col min="4110" max="4110" width="8.75" style="1542" customWidth="1"/>
    <col min="4111" max="4111" width="6.375" style="1542" customWidth="1"/>
    <col min="4112" max="4112" width="11" style="1542"/>
    <col min="4113" max="4113" width="5.875" style="1542" customWidth="1"/>
    <col min="4114" max="4115" width="11" style="1542"/>
    <col min="4116" max="4116" width="10.875" style="1542" customWidth="1"/>
    <col min="4117" max="4117" width="9" style="1542" customWidth="1"/>
    <col min="4118" max="4118" width="4.875" style="1542" customWidth="1"/>
    <col min="4119" max="4119" width="10.25" style="1542" customWidth="1"/>
    <col min="4120" max="4124" width="10.875" style="1542" customWidth="1"/>
    <col min="4125" max="4352" width="11" style="1542"/>
    <col min="4353" max="4353" width="10.25" style="1542" customWidth="1"/>
    <col min="4354" max="4354" width="35.375" style="1542" customWidth="1"/>
    <col min="4355" max="4355" width="10.125" style="1542" customWidth="1"/>
    <col min="4356" max="4356" width="10.375" style="1542" customWidth="1"/>
    <col min="4357" max="4357" width="7.375" style="1542" customWidth="1"/>
    <col min="4358" max="4361" width="10.25" style="1542" customWidth="1"/>
    <col min="4362" max="4362" width="12" style="1542" customWidth="1"/>
    <col min="4363" max="4363" width="10.25" style="1542" customWidth="1"/>
    <col min="4364" max="4364" width="9" style="1542" customWidth="1"/>
    <col min="4365" max="4365" width="9.75" style="1542" customWidth="1"/>
    <col min="4366" max="4366" width="8.75" style="1542" customWidth="1"/>
    <col min="4367" max="4367" width="6.375" style="1542" customWidth="1"/>
    <col min="4368" max="4368" width="11" style="1542"/>
    <col min="4369" max="4369" width="5.875" style="1542" customWidth="1"/>
    <col min="4370" max="4371" width="11" style="1542"/>
    <col min="4372" max="4372" width="10.875" style="1542" customWidth="1"/>
    <col min="4373" max="4373" width="9" style="1542" customWidth="1"/>
    <col min="4374" max="4374" width="4.875" style="1542" customWidth="1"/>
    <col min="4375" max="4375" width="10.25" style="1542" customWidth="1"/>
    <col min="4376" max="4380" width="10.875" style="1542" customWidth="1"/>
    <col min="4381" max="4608" width="11" style="1542"/>
    <col min="4609" max="4609" width="10.25" style="1542" customWidth="1"/>
    <col min="4610" max="4610" width="35.375" style="1542" customWidth="1"/>
    <col min="4611" max="4611" width="10.125" style="1542" customWidth="1"/>
    <col min="4612" max="4612" width="10.375" style="1542" customWidth="1"/>
    <col min="4613" max="4613" width="7.375" style="1542" customWidth="1"/>
    <col min="4614" max="4617" width="10.25" style="1542" customWidth="1"/>
    <col min="4618" max="4618" width="12" style="1542" customWidth="1"/>
    <col min="4619" max="4619" width="10.25" style="1542" customWidth="1"/>
    <col min="4620" max="4620" width="9" style="1542" customWidth="1"/>
    <col min="4621" max="4621" width="9.75" style="1542" customWidth="1"/>
    <col min="4622" max="4622" width="8.75" style="1542" customWidth="1"/>
    <col min="4623" max="4623" width="6.375" style="1542" customWidth="1"/>
    <col min="4624" max="4624" width="11" style="1542"/>
    <col min="4625" max="4625" width="5.875" style="1542" customWidth="1"/>
    <col min="4626" max="4627" width="11" style="1542"/>
    <col min="4628" max="4628" width="10.875" style="1542" customWidth="1"/>
    <col min="4629" max="4629" width="9" style="1542" customWidth="1"/>
    <col min="4630" max="4630" width="4.875" style="1542" customWidth="1"/>
    <col min="4631" max="4631" width="10.25" style="1542" customWidth="1"/>
    <col min="4632" max="4636" width="10.875" style="1542" customWidth="1"/>
    <col min="4637" max="4864" width="11" style="1542"/>
    <col min="4865" max="4865" width="10.25" style="1542" customWidth="1"/>
    <col min="4866" max="4866" width="35.375" style="1542" customWidth="1"/>
    <col min="4867" max="4867" width="10.125" style="1542" customWidth="1"/>
    <col min="4868" max="4868" width="10.375" style="1542" customWidth="1"/>
    <col min="4869" max="4869" width="7.375" style="1542" customWidth="1"/>
    <col min="4870" max="4873" width="10.25" style="1542" customWidth="1"/>
    <col min="4874" max="4874" width="12" style="1542" customWidth="1"/>
    <col min="4875" max="4875" width="10.25" style="1542" customWidth="1"/>
    <col min="4876" max="4876" width="9" style="1542" customWidth="1"/>
    <col min="4877" max="4877" width="9.75" style="1542" customWidth="1"/>
    <col min="4878" max="4878" width="8.75" style="1542" customWidth="1"/>
    <col min="4879" max="4879" width="6.375" style="1542" customWidth="1"/>
    <col min="4880" max="4880" width="11" style="1542"/>
    <col min="4881" max="4881" width="5.875" style="1542" customWidth="1"/>
    <col min="4882" max="4883" width="11" style="1542"/>
    <col min="4884" max="4884" width="10.875" style="1542" customWidth="1"/>
    <col min="4885" max="4885" width="9" style="1542" customWidth="1"/>
    <col min="4886" max="4886" width="4.875" style="1542" customWidth="1"/>
    <col min="4887" max="4887" width="10.25" style="1542" customWidth="1"/>
    <col min="4888" max="4892" width="10.875" style="1542" customWidth="1"/>
    <col min="4893" max="5120" width="11" style="1542"/>
    <col min="5121" max="5121" width="10.25" style="1542" customWidth="1"/>
    <col min="5122" max="5122" width="35.375" style="1542" customWidth="1"/>
    <col min="5123" max="5123" width="10.125" style="1542" customWidth="1"/>
    <col min="5124" max="5124" width="10.375" style="1542" customWidth="1"/>
    <col min="5125" max="5125" width="7.375" style="1542" customWidth="1"/>
    <col min="5126" max="5129" width="10.25" style="1542" customWidth="1"/>
    <col min="5130" max="5130" width="12" style="1542" customWidth="1"/>
    <col min="5131" max="5131" width="10.25" style="1542" customWidth="1"/>
    <col min="5132" max="5132" width="9" style="1542" customWidth="1"/>
    <col min="5133" max="5133" width="9.75" style="1542" customWidth="1"/>
    <col min="5134" max="5134" width="8.75" style="1542" customWidth="1"/>
    <col min="5135" max="5135" width="6.375" style="1542" customWidth="1"/>
    <col min="5136" max="5136" width="11" style="1542"/>
    <col min="5137" max="5137" width="5.875" style="1542" customWidth="1"/>
    <col min="5138" max="5139" width="11" style="1542"/>
    <col min="5140" max="5140" width="10.875" style="1542" customWidth="1"/>
    <col min="5141" max="5141" width="9" style="1542" customWidth="1"/>
    <col min="5142" max="5142" width="4.875" style="1542" customWidth="1"/>
    <col min="5143" max="5143" width="10.25" style="1542" customWidth="1"/>
    <col min="5144" max="5148" width="10.875" style="1542" customWidth="1"/>
    <col min="5149" max="5376" width="11" style="1542"/>
    <col min="5377" max="5377" width="10.25" style="1542" customWidth="1"/>
    <col min="5378" max="5378" width="35.375" style="1542" customWidth="1"/>
    <col min="5379" max="5379" width="10.125" style="1542" customWidth="1"/>
    <col min="5380" max="5380" width="10.375" style="1542" customWidth="1"/>
    <col min="5381" max="5381" width="7.375" style="1542" customWidth="1"/>
    <col min="5382" max="5385" width="10.25" style="1542" customWidth="1"/>
    <col min="5386" max="5386" width="12" style="1542" customWidth="1"/>
    <col min="5387" max="5387" width="10.25" style="1542" customWidth="1"/>
    <col min="5388" max="5388" width="9" style="1542" customWidth="1"/>
    <col min="5389" max="5389" width="9.75" style="1542" customWidth="1"/>
    <col min="5390" max="5390" width="8.75" style="1542" customWidth="1"/>
    <col min="5391" max="5391" width="6.375" style="1542" customWidth="1"/>
    <col min="5392" max="5392" width="11" style="1542"/>
    <col min="5393" max="5393" width="5.875" style="1542" customWidth="1"/>
    <col min="5394" max="5395" width="11" style="1542"/>
    <col min="5396" max="5396" width="10.875" style="1542" customWidth="1"/>
    <col min="5397" max="5397" width="9" style="1542" customWidth="1"/>
    <col min="5398" max="5398" width="4.875" style="1542" customWidth="1"/>
    <col min="5399" max="5399" width="10.25" style="1542" customWidth="1"/>
    <col min="5400" max="5404" width="10.875" style="1542" customWidth="1"/>
    <col min="5405" max="5632" width="11" style="1542"/>
    <col min="5633" max="5633" width="10.25" style="1542" customWidth="1"/>
    <col min="5634" max="5634" width="35.375" style="1542" customWidth="1"/>
    <col min="5635" max="5635" width="10.125" style="1542" customWidth="1"/>
    <col min="5636" max="5636" width="10.375" style="1542" customWidth="1"/>
    <col min="5637" max="5637" width="7.375" style="1542" customWidth="1"/>
    <col min="5638" max="5641" width="10.25" style="1542" customWidth="1"/>
    <col min="5642" max="5642" width="12" style="1542" customWidth="1"/>
    <col min="5643" max="5643" width="10.25" style="1542" customWidth="1"/>
    <col min="5644" max="5644" width="9" style="1542" customWidth="1"/>
    <col min="5645" max="5645" width="9.75" style="1542" customWidth="1"/>
    <col min="5646" max="5646" width="8.75" style="1542" customWidth="1"/>
    <col min="5647" max="5647" width="6.375" style="1542" customWidth="1"/>
    <col min="5648" max="5648" width="11" style="1542"/>
    <col min="5649" max="5649" width="5.875" style="1542" customWidth="1"/>
    <col min="5650" max="5651" width="11" style="1542"/>
    <col min="5652" max="5652" width="10.875" style="1542" customWidth="1"/>
    <col min="5653" max="5653" width="9" style="1542" customWidth="1"/>
    <col min="5654" max="5654" width="4.875" style="1542" customWidth="1"/>
    <col min="5655" max="5655" width="10.25" style="1542" customWidth="1"/>
    <col min="5656" max="5660" width="10.875" style="1542" customWidth="1"/>
    <col min="5661" max="5888" width="11" style="1542"/>
    <col min="5889" max="5889" width="10.25" style="1542" customWidth="1"/>
    <col min="5890" max="5890" width="35.375" style="1542" customWidth="1"/>
    <col min="5891" max="5891" width="10.125" style="1542" customWidth="1"/>
    <col min="5892" max="5892" width="10.375" style="1542" customWidth="1"/>
    <col min="5893" max="5893" width="7.375" style="1542" customWidth="1"/>
    <col min="5894" max="5897" width="10.25" style="1542" customWidth="1"/>
    <col min="5898" max="5898" width="12" style="1542" customWidth="1"/>
    <col min="5899" max="5899" width="10.25" style="1542" customWidth="1"/>
    <col min="5900" max="5900" width="9" style="1542" customWidth="1"/>
    <col min="5901" max="5901" width="9.75" style="1542" customWidth="1"/>
    <col min="5902" max="5902" width="8.75" style="1542" customWidth="1"/>
    <col min="5903" max="5903" width="6.375" style="1542" customWidth="1"/>
    <col min="5904" max="5904" width="11" style="1542"/>
    <col min="5905" max="5905" width="5.875" style="1542" customWidth="1"/>
    <col min="5906" max="5907" width="11" style="1542"/>
    <col min="5908" max="5908" width="10.875" style="1542" customWidth="1"/>
    <col min="5909" max="5909" width="9" style="1542" customWidth="1"/>
    <col min="5910" max="5910" width="4.875" style="1542" customWidth="1"/>
    <col min="5911" max="5911" width="10.25" style="1542" customWidth="1"/>
    <col min="5912" max="5916" width="10.875" style="1542" customWidth="1"/>
    <col min="5917" max="6144" width="11" style="1542"/>
    <col min="6145" max="6145" width="10.25" style="1542" customWidth="1"/>
    <col min="6146" max="6146" width="35.375" style="1542" customWidth="1"/>
    <col min="6147" max="6147" width="10.125" style="1542" customWidth="1"/>
    <col min="6148" max="6148" width="10.375" style="1542" customWidth="1"/>
    <col min="6149" max="6149" width="7.375" style="1542" customWidth="1"/>
    <col min="6150" max="6153" width="10.25" style="1542" customWidth="1"/>
    <col min="6154" max="6154" width="12" style="1542" customWidth="1"/>
    <col min="6155" max="6155" width="10.25" style="1542" customWidth="1"/>
    <col min="6156" max="6156" width="9" style="1542" customWidth="1"/>
    <col min="6157" max="6157" width="9.75" style="1542" customWidth="1"/>
    <col min="6158" max="6158" width="8.75" style="1542" customWidth="1"/>
    <col min="6159" max="6159" width="6.375" style="1542" customWidth="1"/>
    <col min="6160" max="6160" width="11" style="1542"/>
    <col min="6161" max="6161" width="5.875" style="1542" customWidth="1"/>
    <col min="6162" max="6163" width="11" style="1542"/>
    <col min="6164" max="6164" width="10.875" style="1542" customWidth="1"/>
    <col min="6165" max="6165" width="9" style="1542" customWidth="1"/>
    <col min="6166" max="6166" width="4.875" style="1542" customWidth="1"/>
    <col min="6167" max="6167" width="10.25" style="1542" customWidth="1"/>
    <col min="6168" max="6172" width="10.875" style="1542" customWidth="1"/>
    <col min="6173" max="6400" width="11" style="1542"/>
    <col min="6401" max="6401" width="10.25" style="1542" customWidth="1"/>
    <col min="6402" max="6402" width="35.375" style="1542" customWidth="1"/>
    <col min="6403" max="6403" width="10.125" style="1542" customWidth="1"/>
    <col min="6404" max="6404" width="10.375" style="1542" customWidth="1"/>
    <col min="6405" max="6405" width="7.375" style="1542" customWidth="1"/>
    <col min="6406" max="6409" width="10.25" style="1542" customWidth="1"/>
    <col min="6410" max="6410" width="12" style="1542" customWidth="1"/>
    <col min="6411" max="6411" width="10.25" style="1542" customWidth="1"/>
    <col min="6412" max="6412" width="9" style="1542" customWidth="1"/>
    <col min="6413" max="6413" width="9.75" style="1542" customWidth="1"/>
    <col min="6414" max="6414" width="8.75" style="1542" customWidth="1"/>
    <col min="6415" max="6415" width="6.375" style="1542" customWidth="1"/>
    <col min="6416" max="6416" width="11" style="1542"/>
    <col min="6417" max="6417" width="5.875" style="1542" customWidth="1"/>
    <col min="6418" max="6419" width="11" style="1542"/>
    <col min="6420" max="6420" width="10.875" style="1542" customWidth="1"/>
    <col min="6421" max="6421" width="9" style="1542" customWidth="1"/>
    <col min="6422" max="6422" width="4.875" style="1542" customWidth="1"/>
    <col min="6423" max="6423" width="10.25" style="1542" customWidth="1"/>
    <col min="6424" max="6428" width="10.875" style="1542" customWidth="1"/>
    <col min="6429" max="6656" width="11" style="1542"/>
    <col min="6657" max="6657" width="10.25" style="1542" customWidth="1"/>
    <col min="6658" max="6658" width="35.375" style="1542" customWidth="1"/>
    <col min="6659" max="6659" width="10.125" style="1542" customWidth="1"/>
    <col min="6660" max="6660" width="10.375" style="1542" customWidth="1"/>
    <col min="6661" max="6661" width="7.375" style="1542" customWidth="1"/>
    <col min="6662" max="6665" width="10.25" style="1542" customWidth="1"/>
    <col min="6666" max="6666" width="12" style="1542" customWidth="1"/>
    <col min="6667" max="6667" width="10.25" style="1542" customWidth="1"/>
    <col min="6668" max="6668" width="9" style="1542" customWidth="1"/>
    <col min="6669" max="6669" width="9.75" style="1542" customWidth="1"/>
    <col min="6670" max="6670" width="8.75" style="1542" customWidth="1"/>
    <col min="6671" max="6671" width="6.375" style="1542" customWidth="1"/>
    <col min="6672" max="6672" width="11" style="1542"/>
    <col min="6673" max="6673" width="5.875" style="1542" customWidth="1"/>
    <col min="6674" max="6675" width="11" style="1542"/>
    <col min="6676" max="6676" width="10.875" style="1542" customWidth="1"/>
    <col min="6677" max="6677" width="9" style="1542" customWidth="1"/>
    <col min="6678" max="6678" width="4.875" style="1542" customWidth="1"/>
    <col min="6679" max="6679" width="10.25" style="1542" customWidth="1"/>
    <col min="6680" max="6684" width="10.875" style="1542" customWidth="1"/>
    <col min="6685" max="6912" width="11" style="1542"/>
    <col min="6913" max="6913" width="10.25" style="1542" customWidth="1"/>
    <col min="6914" max="6914" width="35.375" style="1542" customWidth="1"/>
    <col min="6915" max="6915" width="10.125" style="1542" customWidth="1"/>
    <col min="6916" max="6916" width="10.375" style="1542" customWidth="1"/>
    <col min="6917" max="6917" width="7.375" style="1542" customWidth="1"/>
    <col min="6918" max="6921" width="10.25" style="1542" customWidth="1"/>
    <col min="6922" max="6922" width="12" style="1542" customWidth="1"/>
    <col min="6923" max="6923" width="10.25" style="1542" customWidth="1"/>
    <col min="6924" max="6924" width="9" style="1542" customWidth="1"/>
    <col min="6925" max="6925" width="9.75" style="1542" customWidth="1"/>
    <col min="6926" max="6926" width="8.75" style="1542" customWidth="1"/>
    <col min="6927" max="6927" width="6.375" style="1542" customWidth="1"/>
    <col min="6928" max="6928" width="11" style="1542"/>
    <col min="6929" max="6929" width="5.875" style="1542" customWidth="1"/>
    <col min="6930" max="6931" width="11" style="1542"/>
    <col min="6932" max="6932" width="10.875" style="1542" customWidth="1"/>
    <col min="6933" max="6933" width="9" style="1542" customWidth="1"/>
    <col min="6934" max="6934" width="4.875" style="1542" customWidth="1"/>
    <col min="6935" max="6935" width="10.25" style="1542" customWidth="1"/>
    <col min="6936" max="6940" width="10.875" style="1542" customWidth="1"/>
    <col min="6941" max="7168" width="11" style="1542"/>
    <col min="7169" max="7169" width="10.25" style="1542" customWidth="1"/>
    <col min="7170" max="7170" width="35.375" style="1542" customWidth="1"/>
    <col min="7171" max="7171" width="10.125" style="1542" customWidth="1"/>
    <col min="7172" max="7172" width="10.375" style="1542" customWidth="1"/>
    <col min="7173" max="7173" width="7.375" style="1542" customWidth="1"/>
    <col min="7174" max="7177" width="10.25" style="1542" customWidth="1"/>
    <col min="7178" max="7178" width="12" style="1542" customWidth="1"/>
    <col min="7179" max="7179" width="10.25" style="1542" customWidth="1"/>
    <col min="7180" max="7180" width="9" style="1542" customWidth="1"/>
    <col min="7181" max="7181" width="9.75" style="1542" customWidth="1"/>
    <col min="7182" max="7182" width="8.75" style="1542" customWidth="1"/>
    <col min="7183" max="7183" width="6.375" style="1542" customWidth="1"/>
    <col min="7184" max="7184" width="11" style="1542"/>
    <col min="7185" max="7185" width="5.875" style="1542" customWidth="1"/>
    <col min="7186" max="7187" width="11" style="1542"/>
    <col min="7188" max="7188" width="10.875" style="1542" customWidth="1"/>
    <col min="7189" max="7189" width="9" style="1542" customWidth="1"/>
    <col min="7190" max="7190" width="4.875" style="1542" customWidth="1"/>
    <col min="7191" max="7191" width="10.25" style="1542" customWidth="1"/>
    <col min="7192" max="7196" width="10.875" style="1542" customWidth="1"/>
    <col min="7197" max="7424" width="11" style="1542"/>
    <col min="7425" max="7425" width="10.25" style="1542" customWidth="1"/>
    <col min="7426" max="7426" width="35.375" style="1542" customWidth="1"/>
    <col min="7427" max="7427" width="10.125" style="1542" customWidth="1"/>
    <col min="7428" max="7428" width="10.375" style="1542" customWidth="1"/>
    <col min="7429" max="7429" width="7.375" style="1542" customWidth="1"/>
    <col min="7430" max="7433" width="10.25" style="1542" customWidth="1"/>
    <col min="7434" max="7434" width="12" style="1542" customWidth="1"/>
    <col min="7435" max="7435" width="10.25" style="1542" customWidth="1"/>
    <col min="7436" max="7436" width="9" style="1542" customWidth="1"/>
    <col min="7437" max="7437" width="9.75" style="1542" customWidth="1"/>
    <col min="7438" max="7438" width="8.75" style="1542" customWidth="1"/>
    <col min="7439" max="7439" width="6.375" style="1542" customWidth="1"/>
    <col min="7440" max="7440" width="11" style="1542"/>
    <col min="7441" max="7441" width="5.875" style="1542" customWidth="1"/>
    <col min="7442" max="7443" width="11" style="1542"/>
    <col min="7444" max="7444" width="10.875" style="1542" customWidth="1"/>
    <col min="7445" max="7445" width="9" style="1542" customWidth="1"/>
    <col min="7446" max="7446" width="4.875" style="1542" customWidth="1"/>
    <col min="7447" max="7447" width="10.25" style="1542" customWidth="1"/>
    <col min="7448" max="7452" width="10.875" style="1542" customWidth="1"/>
    <col min="7453" max="7680" width="11" style="1542"/>
    <col min="7681" max="7681" width="10.25" style="1542" customWidth="1"/>
    <col min="7682" max="7682" width="35.375" style="1542" customWidth="1"/>
    <col min="7683" max="7683" width="10.125" style="1542" customWidth="1"/>
    <col min="7684" max="7684" width="10.375" style="1542" customWidth="1"/>
    <col min="7685" max="7685" width="7.375" style="1542" customWidth="1"/>
    <col min="7686" max="7689" width="10.25" style="1542" customWidth="1"/>
    <col min="7690" max="7690" width="12" style="1542" customWidth="1"/>
    <col min="7691" max="7691" width="10.25" style="1542" customWidth="1"/>
    <col min="7692" max="7692" width="9" style="1542" customWidth="1"/>
    <col min="7693" max="7693" width="9.75" style="1542" customWidth="1"/>
    <col min="7694" max="7694" width="8.75" style="1542" customWidth="1"/>
    <col min="7695" max="7695" width="6.375" style="1542" customWidth="1"/>
    <col min="7696" max="7696" width="11" style="1542"/>
    <col min="7697" max="7697" width="5.875" style="1542" customWidth="1"/>
    <col min="7698" max="7699" width="11" style="1542"/>
    <col min="7700" max="7700" width="10.875" style="1542" customWidth="1"/>
    <col min="7701" max="7701" width="9" style="1542" customWidth="1"/>
    <col min="7702" max="7702" width="4.875" style="1542" customWidth="1"/>
    <col min="7703" max="7703" width="10.25" style="1542" customWidth="1"/>
    <col min="7704" max="7708" width="10.875" style="1542" customWidth="1"/>
    <col min="7709" max="7936" width="11" style="1542"/>
    <col min="7937" max="7937" width="10.25" style="1542" customWidth="1"/>
    <col min="7938" max="7938" width="35.375" style="1542" customWidth="1"/>
    <col min="7939" max="7939" width="10.125" style="1542" customWidth="1"/>
    <col min="7940" max="7940" width="10.375" style="1542" customWidth="1"/>
    <col min="7941" max="7941" width="7.375" style="1542" customWidth="1"/>
    <col min="7942" max="7945" width="10.25" style="1542" customWidth="1"/>
    <col min="7946" max="7946" width="12" style="1542" customWidth="1"/>
    <col min="7947" max="7947" width="10.25" style="1542" customWidth="1"/>
    <col min="7948" max="7948" width="9" style="1542" customWidth="1"/>
    <col min="7949" max="7949" width="9.75" style="1542" customWidth="1"/>
    <col min="7950" max="7950" width="8.75" style="1542" customWidth="1"/>
    <col min="7951" max="7951" width="6.375" style="1542" customWidth="1"/>
    <col min="7952" max="7952" width="11" style="1542"/>
    <col min="7953" max="7953" width="5.875" style="1542" customWidth="1"/>
    <col min="7954" max="7955" width="11" style="1542"/>
    <col min="7956" max="7956" width="10.875" style="1542" customWidth="1"/>
    <col min="7957" max="7957" width="9" style="1542" customWidth="1"/>
    <col min="7958" max="7958" width="4.875" style="1542" customWidth="1"/>
    <col min="7959" max="7959" width="10.25" style="1542" customWidth="1"/>
    <col min="7960" max="7964" width="10.875" style="1542" customWidth="1"/>
    <col min="7965" max="8192" width="11" style="1542"/>
    <col min="8193" max="8193" width="10.25" style="1542" customWidth="1"/>
    <col min="8194" max="8194" width="35.375" style="1542" customWidth="1"/>
    <col min="8195" max="8195" width="10.125" style="1542" customWidth="1"/>
    <col min="8196" max="8196" width="10.375" style="1542" customWidth="1"/>
    <col min="8197" max="8197" width="7.375" style="1542" customWidth="1"/>
    <col min="8198" max="8201" width="10.25" style="1542" customWidth="1"/>
    <col min="8202" max="8202" width="12" style="1542" customWidth="1"/>
    <col min="8203" max="8203" width="10.25" style="1542" customWidth="1"/>
    <col min="8204" max="8204" width="9" style="1542" customWidth="1"/>
    <col min="8205" max="8205" width="9.75" style="1542" customWidth="1"/>
    <col min="8206" max="8206" width="8.75" style="1542" customWidth="1"/>
    <col min="8207" max="8207" width="6.375" style="1542" customWidth="1"/>
    <col min="8208" max="8208" width="11" style="1542"/>
    <col min="8209" max="8209" width="5.875" style="1542" customWidth="1"/>
    <col min="8210" max="8211" width="11" style="1542"/>
    <col min="8212" max="8212" width="10.875" style="1542" customWidth="1"/>
    <col min="8213" max="8213" width="9" style="1542" customWidth="1"/>
    <col min="8214" max="8214" width="4.875" style="1542" customWidth="1"/>
    <col min="8215" max="8215" width="10.25" style="1542" customWidth="1"/>
    <col min="8216" max="8220" width="10.875" style="1542" customWidth="1"/>
    <col min="8221" max="8448" width="11" style="1542"/>
    <col min="8449" max="8449" width="10.25" style="1542" customWidth="1"/>
    <col min="8450" max="8450" width="35.375" style="1542" customWidth="1"/>
    <col min="8451" max="8451" width="10.125" style="1542" customWidth="1"/>
    <col min="8452" max="8452" width="10.375" style="1542" customWidth="1"/>
    <col min="8453" max="8453" width="7.375" style="1542" customWidth="1"/>
    <col min="8454" max="8457" width="10.25" style="1542" customWidth="1"/>
    <col min="8458" max="8458" width="12" style="1542" customWidth="1"/>
    <col min="8459" max="8459" width="10.25" style="1542" customWidth="1"/>
    <col min="8460" max="8460" width="9" style="1542" customWidth="1"/>
    <col min="8461" max="8461" width="9.75" style="1542" customWidth="1"/>
    <col min="8462" max="8462" width="8.75" style="1542" customWidth="1"/>
    <col min="8463" max="8463" width="6.375" style="1542" customWidth="1"/>
    <col min="8464" max="8464" width="11" style="1542"/>
    <col min="8465" max="8465" width="5.875" style="1542" customWidth="1"/>
    <col min="8466" max="8467" width="11" style="1542"/>
    <col min="8468" max="8468" width="10.875" style="1542" customWidth="1"/>
    <col min="8469" max="8469" width="9" style="1542" customWidth="1"/>
    <col min="8470" max="8470" width="4.875" style="1542" customWidth="1"/>
    <col min="8471" max="8471" width="10.25" style="1542" customWidth="1"/>
    <col min="8472" max="8476" width="10.875" style="1542" customWidth="1"/>
    <col min="8477" max="8704" width="11" style="1542"/>
    <col min="8705" max="8705" width="10.25" style="1542" customWidth="1"/>
    <col min="8706" max="8706" width="35.375" style="1542" customWidth="1"/>
    <col min="8707" max="8707" width="10.125" style="1542" customWidth="1"/>
    <col min="8708" max="8708" width="10.375" style="1542" customWidth="1"/>
    <col min="8709" max="8709" width="7.375" style="1542" customWidth="1"/>
    <col min="8710" max="8713" width="10.25" style="1542" customWidth="1"/>
    <col min="8714" max="8714" width="12" style="1542" customWidth="1"/>
    <col min="8715" max="8715" width="10.25" style="1542" customWidth="1"/>
    <col min="8716" max="8716" width="9" style="1542" customWidth="1"/>
    <col min="8717" max="8717" width="9.75" style="1542" customWidth="1"/>
    <col min="8718" max="8718" width="8.75" style="1542" customWidth="1"/>
    <col min="8719" max="8719" width="6.375" style="1542" customWidth="1"/>
    <col min="8720" max="8720" width="11" style="1542"/>
    <col min="8721" max="8721" width="5.875" style="1542" customWidth="1"/>
    <col min="8722" max="8723" width="11" style="1542"/>
    <col min="8724" max="8724" width="10.875" style="1542" customWidth="1"/>
    <col min="8725" max="8725" width="9" style="1542" customWidth="1"/>
    <col min="8726" max="8726" width="4.875" style="1542" customWidth="1"/>
    <col min="8727" max="8727" width="10.25" style="1542" customWidth="1"/>
    <col min="8728" max="8732" width="10.875" style="1542" customWidth="1"/>
    <col min="8733" max="8960" width="11" style="1542"/>
    <col min="8961" max="8961" width="10.25" style="1542" customWidth="1"/>
    <col min="8962" max="8962" width="35.375" style="1542" customWidth="1"/>
    <col min="8963" max="8963" width="10.125" style="1542" customWidth="1"/>
    <col min="8964" max="8964" width="10.375" style="1542" customWidth="1"/>
    <col min="8965" max="8965" width="7.375" style="1542" customWidth="1"/>
    <col min="8966" max="8969" width="10.25" style="1542" customWidth="1"/>
    <col min="8970" max="8970" width="12" style="1542" customWidth="1"/>
    <col min="8971" max="8971" width="10.25" style="1542" customWidth="1"/>
    <col min="8972" max="8972" width="9" style="1542" customWidth="1"/>
    <col min="8973" max="8973" width="9.75" style="1542" customWidth="1"/>
    <col min="8974" max="8974" width="8.75" style="1542" customWidth="1"/>
    <col min="8975" max="8975" width="6.375" style="1542" customWidth="1"/>
    <col min="8976" max="8976" width="11" style="1542"/>
    <col min="8977" max="8977" width="5.875" style="1542" customWidth="1"/>
    <col min="8978" max="8979" width="11" style="1542"/>
    <col min="8980" max="8980" width="10.875" style="1542" customWidth="1"/>
    <col min="8981" max="8981" width="9" style="1542" customWidth="1"/>
    <col min="8982" max="8982" width="4.875" style="1542" customWidth="1"/>
    <col min="8983" max="8983" width="10.25" style="1542" customWidth="1"/>
    <col min="8984" max="8988" width="10.875" style="1542" customWidth="1"/>
    <col min="8989" max="9216" width="11" style="1542"/>
    <col min="9217" max="9217" width="10.25" style="1542" customWidth="1"/>
    <col min="9218" max="9218" width="35.375" style="1542" customWidth="1"/>
    <col min="9219" max="9219" width="10.125" style="1542" customWidth="1"/>
    <col min="9220" max="9220" width="10.375" style="1542" customWidth="1"/>
    <col min="9221" max="9221" width="7.375" style="1542" customWidth="1"/>
    <col min="9222" max="9225" width="10.25" style="1542" customWidth="1"/>
    <col min="9226" max="9226" width="12" style="1542" customWidth="1"/>
    <col min="9227" max="9227" width="10.25" style="1542" customWidth="1"/>
    <col min="9228" max="9228" width="9" style="1542" customWidth="1"/>
    <col min="9229" max="9229" width="9.75" style="1542" customWidth="1"/>
    <col min="9230" max="9230" width="8.75" style="1542" customWidth="1"/>
    <col min="9231" max="9231" width="6.375" style="1542" customWidth="1"/>
    <col min="9232" max="9232" width="11" style="1542"/>
    <col min="9233" max="9233" width="5.875" style="1542" customWidth="1"/>
    <col min="9234" max="9235" width="11" style="1542"/>
    <col min="9236" max="9236" width="10.875" style="1542" customWidth="1"/>
    <col min="9237" max="9237" width="9" style="1542" customWidth="1"/>
    <col min="9238" max="9238" width="4.875" style="1542" customWidth="1"/>
    <col min="9239" max="9239" width="10.25" style="1542" customWidth="1"/>
    <col min="9240" max="9244" width="10.875" style="1542" customWidth="1"/>
    <col min="9245" max="9472" width="11" style="1542"/>
    <col min="9473" max="9473" width="10.25" style="1542" customWidth="1"/>
    <col min="9474" max="9474" width="35.375" style="1542" customWidth="1"/>
    <col min="9475" max="9475" width="10.125" style="1542" customWidth="1"/>
    <col min="9476" max="9476" width="10.375" style="1542" customWidth="1"/>
    <col min="9477" max="9477" width="7.375" style="1542" customWidth="1"/>
    <col min="9478" max="9481" width="10.25" style="1542" customWidth="1"/>
    <col min="9482" max="9482" width="12" style="1542" customWidth="1"/>
    <col min="9483" max="9483" width="10.25" style="1542" customWidth="1"/>
    <col min="9484" max="9484" width="9" style="1542" customWidth="1"/>
    <col min="9485" max="9485" width="9.75" style="1542" customWidth="1"/>
    <col min="9486" max="9486" width="8.75" style="1542" customWidth="1"/>
    <col min="9487" max="9487" width="6.375" style="1542" customWidth="1"/>
    <col min="9488" max="9488" width="11" style="1542"/>
    <col min="9489" max="9489" width="5.875" style="1542" customWidth="1"/>
    <col min="9490" max="9491" width="11" style="1542"/>
    <col min="9492" max="9492" width="10.875" style="1542" customWidth="1"/>
    <col min="9493" max="9493" width="9" style="1542" customWidth="1"/>
    <col min="9494" max="9494" width="4.875" style="1542" customWidth="1"/>
    <col min="9495" max="9495" width="10.25" style="1542" customWidth="1"/>
    <col min="9496" max="9500" width="10.875" style="1542" customWidth="1"/>
    <col min="9501" max="9728" width="11" style="1542"/>
    <col min="9729" max="9729" width="10.25" style="1542" customWidth="1"/>
    <col min="9730" max="9730" width="35.375" style="1542" customWidth="1"/>
    <col min="9731" max="9731" width="10.125" style="1542" customWidth="1"/>
    <col min="9732" max="9732" width="10.375" style="1542" customWidth="1"/>
    <col min="9733" max="9733" width="7.375" style="1542" customWidth="1"/>
    <col min="9734" max="9737" width="10.25" style="1542" customWidth="1"/>
    <col min="9738" max="9738" width="12" style="1542" customWidth="1"/>
    <col min="9739" max="9739" width="10.25" style="1542" customWidth="1"/>
    <col min="9740" max="9740" width="9" style="1542" customWidth="1"/>
    <col min="9741" max="9741" width="9.75" style="1542" customWidth="1"/>
    <col min="9742" max="9742" width="8.75" style="1542" customWidth="1"/>
    <col min="9743" max="9743" width="6.375" style="1542" customWidth="1"/>
    <col min="9744" max="9744" width="11" style="1542"/>
    <col min="9745" max="9745" width="5.875" style="1542" customWidth="1"/>
    <col min="9746" max="9747" width="11" style="1542"/>
    <col min="9748" max="9748" width="10.875" style="1542" customWidth="1"/>
    <col min="9749" max="9749" width="9" style="1542" customWidth="1"/>
    <col min="9750" max="9750" width="4.875" style="1542" customWidth="1"/>
    <col min="9751" max="9751" width="10.25" style="1542" customWidth="1"/>
    <col min="9752" max="9756" width="10.875" style="1542" customWidth="1"/>
    <col min="9757" max="9984" width="11" style="1542"/>
    <col min="9985" max="9985" width="10.25" style="1542" customWidth="1"/>
    <col min="9986" max="9986" width="35.375" style="1542" customWidth="1"/>
    <col min="9987" max="9987" width="10.125" style="1542" customWidth="1"/>
    <col min="9988" max="9988" width="10.375" style="1542" customWidth="1"/>
    <col min="9989" max="9989" width="7.375" style="1542" customWidth="1"/>
    <col min="9990" max="9993" width="10.25" style="1542" customWidth="1"/>
    <col min="9994" max="9994" width="12" style="1542" customWidth="1"/>
    <col min="9995" max="9995" width="10.25" style="1542" customWidth="1"/>
    <col min="9996" max="9996" width="9" style="1542" customWidth="1"/>
    <col min="9997" max="9997" width="9.75" style="1542" customWidth="1"/>
    <col min="9998" max="9998" width="8.75" style="1542" customWidth="1"/>
    <col min="9999" max="9999" width="6.375" style="1542" customWidth="1"/>
    <col min="10000" max="10000" width="11" style="1542"/>
    <col min="10001" max="10001" width="5.875" style="1542" customWidth="1"/>
    <col min="10002" max="10003" width="11" style="1542"/>
    <col min="10004" max="10004" width="10.875" style="1542" customWidth="1"/>
    <col min="10005" max="10005" width="9" style="1542" customWidth="1"/>
    <col min="10006" max="10006" width="4.875" style="1542" customWidth="1"/>
    <col min="10007" max="10007" width="10.25" style="1542" customWidth="1"/>
    <col min="10008" max="10012" width="10.875" style="1542" customWidth="1"/>
    <col min="10013" max="10240" width="11" style="1542"/>
    <col min="10241" max="10241" width="10.25" style="1542" customWidth="1"/>
    <col min="10242" max="10242" width="35.375" style="1542" customWidth="1"/>
    <col min="10243" max="10243" width="10.125" style="1542" customWidth="1"/>
    <col min="10244" max="10244" width="10.375" style="1542" customWidth="1"/>
    <col min="10245" max="10245" width="7.375" style="1542" customWidth="1"/>
    <col min="10246" max="10249" width="10.25" style="1542" customWidth="1"/>
    <col min="10250" max="10250" width="12" style="1542" customWidth="1"/>
    <col min="10251" max="10251" width="10.25" style="1542" customWidth="1"/>
    <col min="10252" max="10252" width="9" style="1542" customWidth="1"/>
    <col min="10253" max="10253" width="9.75" style="1542" customWidth="1"/>
    <col min="10254" max="10254" width="8.75" style="1542" customWidth="1"/>
    <col min="10255" max="10255" width="6.375" style="1542" customWidth="1"/>
    <col min="10256" max="10256" width="11" style="1542"/>
    <col min="10257" max="10257" width="5.875" style="1542" customWidth="1"/>
    <col min="10258" max="10259" width="11" style="1542"/>
    <col min="10260" max="10260" width="10.875" style="1542" customWidth="1"/>
    <col min="10261" max="10261" width="9" style="1542" customWidth="1"/>
    <col min="10262" max="10262" width="4.875" style="1542" customWidth="1"/>
    <col min="10263" max="10263" width="10.25" style="1542" customWidth="1"/>
    <col min="10264" max="10268" width="10.875" style="1542" customWidth="1"/>
    <col min="10269" max="10496" width="11" style="1542"/>
    <col min="10497" max="10497" width="10.25" style="1542" customWidth="1"/>
    <col min="10498" max="10498" width="35.375" style="1542" customWidth="1"/>
    <col min="10499" max="10499" width="10.125" style="1542" customWidth="1"/>
    <col min="10500" max="10500" width="10.375" style="1542" customWidth="1"/>
    <col min="10501" max="10501" width="7.375" style="1542" customWidth="1"/>
    <col min="10502" max="10505" width="10.25" style="1542" customWidth="1"/>
    <col min="10506" max="10506" width="12" style="1542" customWidth="1"/>
    <col min="10507" max="10507" width="10.25" style="1542" customWidth="1"/>
    <col min="10508" max="10508" width="9" style="1542" customWidth="1"/>
    <col min="10509" max="10509" width="9.75" style="1542" customWidth="1"/>
    <col min="10510" max="10510" width="8.75" style="1542" customWidth="1"/>
    <col min="10511" max="10511" width="6.375" style="1542" customWidth="1"/>
    <col min="10512" max="10512" width="11" style="1542"/>
    <col min="10513" max="10513" width="5.875" style="1542" customWidth="1"/>
    <col min="10514" max="10515" width="11" style="1542"/>
    <col min="10516" max="10516" width="10.875" style="1542" customWidth="1"/>
    <col min="10517" max="10517" width="9" style="1542" customWidth="1"/>
    <col min="10518" max="10518" width="4.875" style="1542" customWidth="1"/>
    <col min="10519" max="10519" width="10.25" style="1542" customWidth="1"/>
    <col min="10520" max="10524" width="10.875" style="1542" customWidth="1"/>
    <col min="10525" max="10752" width="11" style="1542"/>
    <col min="10753" max="10753" width="10.25" style="1542" customWidth="1"/>
    <col min="10754" max="10754" width="35.375" style="1542" customWidth="1"/>
    <col min="10755" max="10755" width="10.125" style="1542" customWidth="1"/>
    <col min="10756" max="10756" width="10.375" style="1542" customWidth="1"/>
    <col min="10757" max="10757" width="7.375" style="1542" customWidth="1"/>
    <col min="10758" max="10761" width="10.25" style="1542" customWidth="1"/>
    <col min="10762" max="10762" width="12" style="1542" customWidth="1"/>
    <col min="10763" max="10763" width="10.25" style="1542" customWidth="1"/>
    <col min="10764" max="10764" width="9" style="1542" customWidth="1"/>
    <col min="10765" max="10765" width="9.75" style="1542" customWidth="1"/>
    <col min="10766" max="10766" width="8.75" style="1542" customWidth="1"/>
    <col min="10767" max="10767" width="6.375" style="1542" customWidth="1"/>
    <col min="10768" max="10768" width="11" style="1542"/>
    <col min="10769" max="10769" width="5.875" style="1542" customWidth="1"/>
    <col min="10770" max="10771" width="11" style="1542"/>
    <col min="10772" max="10772" width="10.875" style="1542" customWidth="1"/>
    <col min="10773" max="10773" width="9" style="1542" customWidth="1"/>
    <col min="10774" max="10774" width="4.875" style="1542" customWidth="1"/>
    <col min="10775" max="10775" width="10.25" style="1542" customWidth="1"/>
    <col min="10776" max="10780" width="10.875" style="1542" customWidth="1"/>
    <col min="10781" max="11008" width="11" style="1542"/>
    <col min="11009" max="11009" width="10.25" style="1542" customWidth="1"/>
    <col min="11010" max="11010" width="35.375" style="1542" customWidth="1"/>
    <col min="11011" max="11011" width="10.125" style="1542" customWidth="1"/>
    <col min="11012" max="11012" width="10.375" style="1542" customWidth="1"/>
    <col min="11013" max="11013" width="7.375" style="1542" customWidth="1"/>
    <col min="11014" max="11017" width="10.25" style="1542" customWidth="1"/>
    <col min="11018" max="11018" width="12" style="1542" customWidth="1"/>
    <col min="11019" max="11019" width="10.25" style="1542" customWidth="1"/>
    <col min="11020" max="11020" width="9" style="1542" customWidth="1"/>
    <col min="11021" max="11021" width="9.75" style="1542" customWidth="1"/>
    <col min="11022" max="11022" width="8.75" style="1542" customWidth="1"/>
    <col min="11023" max="11023" width="6.375" style="1542" customWidth="1"/>
    <col min="11024" max="11024" width="11" style="1542"/>
    <col min="11025" max="11025" width="5.875" style="1542" customWidth="1"/>
    <col min="11026" max="11027" width="11" style="1542"/>
    <col min="11028" max="11028" width="10.875" style="1542" customWidth="1"/>
    <col min="11029" max="11029" width="9" style="1542" customWidth="1"/>
    <col min="11030" max="11030" width="4.875" style="1542" customWidth="1"/>
    <col min="11031" max="11031" width="10.25" style="1542" customWidth="1"/>
    <col min="11032" max="11036" width="10.875" style="1542" customWidth="1"/>
    <col min="11037" max="11264" width="11" style="1542"/>
    <col min="11265" max="11265" width="10.25" style="1542" customWidth="1"/>
    <col min="11266" max="11266" width="35.375" style="1542" customWidth="1"/>
    <col min="11267" max="11267" width="10.125" style="1542" customWidth="1"/>
    <col min="11268" max="11268" width="10.375" style="1542" customWidth="1"/>
    <col min="11269" max="11269" width="7.375" style="1542" customWidth="1"/>
    <col min="11270" max="11273" width="10.25" style="1542" customWidth="1"/>
    <col min="11274" max="11274" width="12" style="1542" customWidth="1"/>
    <col min="11275" max="11275" width="10.25" style="1542" customWidth="1"/>
    <col min="11276" max="11276" width="9" style="1542" customWidth="1"/>
    <col min="11277" max="11277" width="9.75" style="1542" customWidth="1"/>
    <col min="11278" max="11278" width="8.75" style="1542" customWidth="1"/>
    <col min="11279" max="11279" width="6.375" style="1542" customWidth="1"/>
    <col min="11280" max="11280" width="11" style="1542"/>
    <col min="11281" max="11281" width="5.875" style="1542" customWidth="1"/>
    <col min="11282" max="11283" width="11" style="1542"/>
    <col min="11284" max="11284" width="10.875" style="1542" customWidth="1"/>
    <col min="11285" max="11285" width="9" style="1542" customWidth="1"/>
    <col min="11286" max="11286" width="4.875" style="1542" customWidth="1"/>
    <col min="11287" max="11287" width="10.25" style="1542" customWidth="1"/>
    <col min="11288" max="11292" width="10.875" style="1542" customWidth="1"/>
    <col min="11293" max="11520" width="11" style="1542"/>
    <col min="11521" max="11521" width="10.25" style="1542" customWidth="1"/>
    <col min="11522" max="11522" width="35.375" style="1542" customWidth="1"/>
    <col min="11523" max="11523" width="10.125" style="1542" customWidth="1"/>
    <col min="11524" max="11524" width="10.375" style="1542" customWidth="1"/>
    <col min="11525" max="11525" width="7.375" style="1542" customWidth="1"/>
    <col min="11526" max="11529" width="10.25" style="1542" customWidth="1"/>
    <col min="11530" max="11530" width="12" style="1542" customWidth="1"/>
    <col min="11531" max="11531" width="10.25" style="1542" customWidth="1"/>
    <col min="11532" max="11532" width="9" style="1542" customWidth="1"/>
    <col min="11533" max="11533" width="9.75" style="1542" customWidth="1"/>
    <col min="11534" max="11534" width="8.75" style="1542" customWidth="1"/>
    <col min="11535" max="11535" width="6.375" style="1542" customWidth="1"/>
    <col min="11536" max="11536" width="11" style="1542"/>
    <col min="11537" max="11537" width="5.875" style="1542" customWidth="1"/>
    <col min="11538" max="11539" width="11" style="1542"/>
    <col min="11540" max="11540" width="10.875" style="1542" customWidth="1"/>
    <col min="11541" max="11541" width="9" style="1542" customWidth="1"/>
    <col min="11542" max="11542" width="4.875" style="1542" customWidth="1"/>
    <col min="11543" max="11543" width="10.25" style="1542" customWidth="1"/>
    <col min="11544" max="11548" width="10.875" style="1542" customWidth="1"/>
    <col min="11549" max="11776" width="11" style="1542"/>
    <col min="11777" max="11777" width="10.25" style="1542" customWidth="1"/>
    <col min="11778" max="11778" width="35.375" style="1542" customWidth="1"/>
    <col min="11779" max="11779" width="10.125" style="1542" customWidth="1"/>
    <col min="11780" max="11780" width="10.375" style="1542" customWidth="1"/>
    <col min="11781" max="11781" width="7.375" style="1542" customWidth="1"/>
    <col min="11782" max="11785" width="10.25" style="1542" customWidth="1"/>
    <col min="11786" max="11786" width="12" style="1542" customWidth="1"/>
    <col min="11787" max="11787" width="10.25" style="1542" customWidth="1"/>
    <col min="11788" max="11788" width="9" style="1542" customWidth="1"/>
    <col min="11789" max="11789" width="9.75" style="1542" customWidth="1"/>
    <col min="11790" max="11790" width="8.75" style="1542" customWidth="1"/>
    <col min="11791" max="11791" width="6.375" style="1542" customWidth="1"/>
    <col min="11792" max="11792" width="11" style="1542"/>
    <col min="11793" max="11793" width="5.875" style="1542" customWidth="1"/>
    <col min="11794" max="11795" width="11" style="1542"/>
    <col min="11796" max="11796" width="10.875" style="1542" customWidth="1"/>
    <col min="11797" max="11797" width="9" style="1542" customWidth="1"/>
    <col min="11798" max="11798" width="4.875" style="1542" customWidth="1"/>
    <col min="11799" max="11799" width="10.25" style="1542" customWidth="1"/>
    <col min="11800" max="11804" width="10.875" style="1542" customWidth="1"/>
    <col min="11805" max="12032" width="11" style="1542"/>
    <col min="12033" max="12033" width="10.25" style="1542" customWidth="1"/>
    <col min="12034" max="12034" width="35.375" style="1542" customWidth="1"/>
    <col min="12035" max="12035" width="10.125" style="1542" customWidth="1"/>
    <col min="12036" max="12036" width="10.375" style="1542" customWidth="1"/>
    <col min="12037" max="12037" width="7.375" style="1542" customWidth="1"/>
    <col min="12038" max="12041" width="10.25" style="1542" customWidth="1"/>
    <col min="12042" max="12042" width="12" style="1542" customWidth="1"/>
    <col min="12043" max="12043" width="10.25" style="1542" customWidth="1"/>
    <col min="12044" max="12044" width="9" style="1542" customWidth="1"/>
    <col min="12045" max="12045" width="9.75" style="1542" customWidth="1"/>
    <col min="12046" max="12046" width="8.75" style="1542" customWidth="1"/>
    <col min="12047" max="12047" width="6.375" style="1542" customWidth="1"/>
    <col min="12048" max="12048" width="11" style="1542"/>
    <col min="12049" max="12049" width="5.875" style="1542" customWidth="1"/>
    <col min="12050" max="12051" width="11" style="1542"/>
    <col min="12052" max="12052" width="10.875" style="1542" customWidth="1"/>
    <col min="12053" max="12053" width="9" style="1542" customWidth="1"/>
    <col min="12054" max="12054" width="4.875" style="1542" customWidth="1"/>
    <col min="12055" max="12055" width="10.25" style="1542" customWidth="1"/>
    <col min="12056" max="12060" width="10.875" style="1542" customWidth="1"/>
    <col min="12061" max="12288" width="11" style="1542"/>
    <col min="12289" max="12289" width="10.25" style="1542" customWidth="1"/>
    <col min="12290" max="12290" width="35.375" style="1542" customWidth="1"/>
    <col min="12291" max="12291" width="10.125" style="1542" customWidth="1"/>
    <col min="12292" max="12292" width="10.375" style="1542" customWidth="1"/>
    <col min="12293" max="12293" width="7.375" style="1542" customWidth="1"/>
    <col min="12294" max="12297" width="10.25" style="1542" customWidth="1"/>
    <col min="12298" max="12298" width="12" style="1542" customWidth="1"/>
    <col min="12299" max="12299" width="10.25" style="1542" customWidth="1"/>
    <col min="12300" max="12300" width="9" style="1542" customWidth="1"/>
    <col min="12301" max="12301" width="9.75" style="1542" customWidth="1"/>
    <col min="12302" max="12302" width="8.75" style="1542" customWidth="1"/>
    <col min="12303" max="12303" width="6.375" style="1542" customWidth="1"/>
    <col min="12304" max="12304" width="11" style="1542"/>
    <col min="12305" max="12305" width="5.875" style="1542" customWidth="1"/>
    <col min="12306" max="12307" width="11" style="1542"/>
    <col min="12308" max="12308" width="10.875" style="1542" customWidth="1"/>
    <col min="12309" max="12309" width="9" style="1542" customWidth="1"/>
    <col min="12310" max="12310" width="4.875" style="1542" customWidth="1"/>
    <col min="12311" max="12311" width="10.25" style="1542" customWidth="1"/>
    <col min="12312" max="12316" width="10.875" style="1542" customWidth="1"/>
    <col min="12317" max="12544" width="11" style="1542"/>
    <col min="12545" max="12545" width="10.25" style="1542" customWidth="1"/>
    <col min="12546" max="12546" width="35.375" style="1542" customWidth="1"/>
    <col min="12547" max="12547" width="10.125" style="1542" customWidth="1"/>
    <col min="12548" max="12548" width="10.375" style="1542" customWidth="1"/>
    <col min="12549" max="12549" width="7.375" style="1542" customWidth="1"/>
    <col min="12550" max="12553" width="10.25" style="1542" customWidth="1"/>
    <col min="12554" max="12554" width="12" style="1542" customWidth="1"/>
    <col min="12555" max="12555" width="10.25" style="1542" customWidth="1"/>
    <col min="12556" max="12556" width="9" style="1542" customWidth="1"/>
    <col min="12557" max="12557" width="9.75" style="1542" customWidth="1"/>
    <col min="12558" max="12558" width="8.75" style="1542" customWidth="1"/>
    <col min="12559" max="12559" width="6.375" style="1542" customWidth="1"/>
    <col min="12560" max="12560" width="11" style="1542"/>
    <col min="12561" max="12561" width="5.875" style="1542" customWidth="1"/>
    <col min="12562" max="12563" width="11" style="1542"/>
    <col min="12564" max="12564" width="10.875" style="1542" customWidth="1"/>
    <col min="12565" max="12565" width="9" style="1542" customWidth="1"/>
    <col min="12566" max="12566" width="4.875" style="1542" customWidth="1"/>
    <col min="12567" max="12567" width="10.25" style="1542" customWidth="1"/>
    <col min="12568" max="12572" width="10.875" style="1542" customWidth="1"/>
    <col min="12573" max="12800" width="11" style="1542"/>
    <col min="12801" max="12801" width="10.25" style="1542" customWidth="1"/>
    <col min="12802" max="12802" width="35.375" style="1542" customWidth="1"/>
    <col min="12803" max="12803" width="10.125" style="1542" customWidth="1"/>
    <col min="12804" max="12804" width="10.375" style="1542" customWidth="1"/>
    <col min="12805" max="12805" width="7.375" style="1542" customWidth="1"/>
    <col min="12806" max="12809" width="10.25" style="1542" customWidth="1"/>
    <col min="12810" max="12810" width="12" style="1542" customWidth="1"/>
    <col min="12811" max="12811" width="10.25" style="1542" customWidth="1"/>
    <col min="12812" max="12812" width="9" style="1542" customWidth="1"/>
    <col min="12813" max="12813" width="9.75" style="1542" customWidth="1"/>
    <col min="12814" max="12814" width="8.75" style="1542" customWidth="1"/>
    <col min="12815" max="12815" width="6.375" style="1542" customWidth="1"/>
    <col min="12816" max="12816" width="11" style="1542"/>
    <col min="12817" max="12817" width="5.875" style="1542" customWidth="1"/>
    <col min="12818" max="12819" width="11" style="1542"/>
    <col min="12820" max="12820" width="10.875" style="1542" customWidth="1"/>
    <col min="12821" max="12821" width="9" style="1542" customWidth="1"/>
    <col min="12822" max="12822" width="4.875" style="1542" customWidth="1"/>
    <col min="12823" max="12823" width="10.25" style="1542" customWidth="1"/>
    <col min="12824" max="12828" width="10.875" style="1542" customWidth="1"/>
    <col min="12829" max="13056" width="11" style="1542"/>
    <col min="13057" max="13057" width="10.25" style="1542" customWidth="1"/>
    <col min="13058" max="13058" width="35.375" style="1542" customWidth="1"/>
    <col min="13059" max="13059" width="10.125" style="1542" customWidth="1"/>
    <col min="13060" max="13060" width="10.375" style="1542" customWidth="1"/>
    <col min="13061" max="13061" width="7.375" style="1542" customWidth="1"/>
    <col min="13062" max="13065" width="10.25" style="1542" customWidth="1"/>
    <col min="13066" max="13066" width="12" style="1542" customWidth="1"/>
    <col min="13067" max="13067" width="10.25" style="1542" customWidth="1"/>
    <col min="13068" max="13068" width="9" style="1542" customWidth="1"/>
    <col min="13069" max="13069" width="9.75" style="1542" customWidth="1"/>
    <col min="13070" max="13070" width="8.75" style="1542" customWidth="1"/>
    <col min="13071" max="13071" width="6.375" style="1542" customWidth="1"/>
    <col min="13072" max="13072" width="11" style="1542"/>
    <col min="13073" max="13073" width="5.875" style="1542" customWidth="1"/>
    <col min="13074" max="13075" width="11" style="1542"/>
    <col min="13076" max="13076" width="10.875" style="1542" customWidth="1"/>
    <col min="13077" max="13077" width="9" style="1542" customWidth="1"/>
    <col min="13078" max="13078" width="4.875" style="1542" customWidth="1"/>
    <col min="13079" max="13079" width="10.25" style="1542" customWidth="1"/>
    <col min="13080" max="13084" width="10.875" style="1542" customWidth="1"/>
    <col min="13085" max="13312" width="11" style="1542"/>
    <col min="13313" max="13313" width="10.25" style="1542" customWidth="1"/>
    <col min="13314" max="13314" width="35.375" style="1542" customWidth="1"/>
    <col min="13315" max="13315" width="10.125" style="1542" customWidth="1"/>
    <col min="13316" max="13316" width="10.375" style="1542" customWidth="1"/>
    <col min="13317" max="13317" width="7.375" style="1542" customWidth="1"/>
    <col min="13318" max="13321" width="10.25" style="1542" customWidth="1"/>
    <col min="13322" max="13322" width="12" style="1542" customWidth="1"/>
    <col min="13323" max="13323" width="10.25" style="1542" customWidth="1"/>
    <col min="13324" max="13324" width="9" style="1542" customWidth="1"/>
    <col min="13325" max="13325" width="9.75" style="1542" customWidth="1"/>
    <col min="13326" max="13326" width="8.75" style="1542" customWidth="1"/>
    <col min="13327" max="13327" width="6.375" style="1542" customWidth="1"/>
    <col min="13328" max="13328" width="11" style="1542"/>
    <col min="13329" max="13329" width="5.875" style="1542" customWidth="1"/>
    <col min="13330" max="13331" width="11" style="1542"/>
    <col min="13332" max="13332" width="10.875" style="1542" customWidth="1"/>
    <col min="13333" max="13333" width="9" style="1542" customWidth="1"/>
    <col min="13334" max="13334" width="4.875" style="1542" customWidth="1"/>
    <col min="13335" max="13335" width="10.25" style="1542" customWidth="1"/>
    <col min="13336" max="13340" width="10.875" style="1542" customWidth="1"/>
    <col min="13341" max="13568" width="11" style="1542"/>
    <col min="13569" max="13569" width="10.25" style="1542" customWidth="1"/>
    <col min="13570" max="13570" width="35.375" style="1542" customWidth="1"/>
    <col min="13571" max="13571" width="10.125" style="1542" customWidth="1"/>
    <col min="13572" max="13572" width="10.375" style="1542" customWidth="1"/>
    <col min="13573" max="13573" width="7.375" style="1542" customWidth="1"/>
    <col min="13574" max="13577" width="10.25" style="1542" customWidth="1"/>
    <col min="13578" max="13578" width="12" style="1542" customWidth="1"/>
    <col min="13579" max="13579" width="10.25" style="1542" customWidth="1"/>
    <col min="13580" max="13580" width="9" style="1542" customWidth="1"/>
    <col min="13581" max="13581" width="9.75" style="1542" customWidth="1"/>
    <col min="13582" max="13582" width="8.75" style="1542" customWidth="1"/>
    <col min="13583" max="13583" width="6.375" style="1542" customWidth="1"/>
    <col min="13584" max="13584" width="11" style="1542"/>
    <col min="13585" max="13585" width="5.875" style="1542" customWidth="1"/>
    <col min="13586" max="13587" width="11" style="1542"/>
    <col min="13588" max="13588" width="10.875" style="1542" customWidth="1"/>
    <col min="13589" max="13589" width="9" style="1542" customWidth="1"/>
    <col min="13590" max="13590" width="4.875" style="1542" customWidth="1"/>
    <col min="13591" max="13591" width="10.25" style="1542" customWidth="1"/>
    <col min="13592" max="13596" width="10.875" style="1542" customWidth="1"/>
    <col min="13597" max="13824" width="11" style="1542"/>
    <col min="13825" max="13825" width="10.25" style="1542" customWidth="1"/>
    <col min="13826" max="13826" width="35.375" style="1542" customWidth="1"/>
    <col min="13827" max="13827" width="10.125" style="1542" customWidth="1"/>
    <col min="13828" max="13828" width="10.375" style="1542" customWidth="1"/>
    <col min="13829" max="13829" width="7.375" style="1542" customWidth="1"/>
    <col min="13830" max="13833" width="10.25" style="1542" customWidth="1"/>
    <col min="13834" max="13834" width="12" style="1542" customWidth="1"/>
    <col min="13835" max="13835" width="10.25" style="1542" customWidth="1"/>
    <col min="13836" max="13836" width="9" style="1542" customWidth="1"/>
    <col min="13837" max="13837" width="9.75" style="1542" customWidth="1"/>
    <col min="13838" max="13838" width="8.75" style="1542" customWidth="1"/>
    <col min="13839" max="13839" width="6.375" style="1542" customWidth="1"/>
    <col min="13840" max="13840" width="11" style="1542"/>
    <col min="13841" max="13841" width="5.875" style="1542" customWidth="1"/>
    <col min="13842" max="13843" width="11" style="1542"/>
    <col min="13844" max="13844" width="10.875" style="1542" customWidth="1"/>
    <col min="13845" max="13845" width="9" style="1542" customWidth="1"/>
    <col min="13846" max="13846" width="4.875" style="1542" customWidth="1"/>
    <col min="13847" max="13847" width="10.25" style="1542" customWidth="1"/>
    <col min="13848" max="13852" width="10.875" style="1542" customWidth="1"/>
    <col min="13853" max="14080" width="11" style="1542"/>
    <col min="14081" max="14081" width="10.25" style="1542" customWidth="1"/>
    <col min="14082" max="14082" width="35.375" style="1542" customWidth="1"/>
    <col min="14083" max="14083" width="10.125" style="1542" customWidth="1"/>
    <col min="14084" max="14084" width="10.375" style="1542" customWidth="1"/>
    <col min="14085" max="14085" width="7.375" style="1542" customWidth="1"/>
    <col min="14086" max="14089" width="10.25" style="1542" customWidth="1"/>
    <col min="14090" max="14090" width="12" style="1542" customWidth="1"/>
    <col min="14091" max="14091" width="10.25" style="1542" customWidth="1"/>
    <col min="14092" max="14092" width="9" style="1542" customWidth="1"/>
    <col min="14093" max="14093" width="9.75" style="1542" customWidth="1"/>
    <col min="14094" max="14094" width="8.75" style="1542" customWidth="1"/>
    <col min="14095" max="14095" width="6.375" style="1542" customWidth="1"/>
    <col min="14096" max="14096" width="11" style="1542"/>
    <col min="14097" max="14097" width="5.875" style="1542" customWidth="1"/>
    <col min="14098" max="14099" width="11" style="1542"/>
    <col min="14100" max="14100" width="10.875" style="1542" customWidth="1"/>
    <col min="14101" max="14101" width="9" style="1542" customWidth="1"/>
    <col min="14102" max="14102" width="4.875" style="1542" customWidth="1"/>
    <col min="14103" max="14103" width="10.25" style="1542" customWidth="1"/>
    <col min="14104" max="14108" width="10.875" style="1542" customWidth="1"/>
    <col min="14109" max="14336" width="11" style="1542"/>
    <col min="14337" max="14337" width="10.25" style="1542" customWidth="1"/>
    <col min="14338" max="14338" width="35.375" style="1542" customWidth="1"/>
    <col min="14339" max="14339" width="10.125" style="1542" customWidth="1"/>
    <col min="14340" max="14340" width="10.375" style="1542" customWidth="1"/>
    <col min="14341" max="14341" width="7.375" style="1542" customWidth="1"/>
    <col min="14342" max="14345" width="10.25" style="1542" customWidth="1"/>
    <col min="14346" max="14346" width="12" style="1542" customWidth="1"/>
    <col min="14347" max="14347" width="10.25" style="1542" customWidth="1"/>
    <col min="14348" max="14348" width="9" style="1542" customWidth="1"/>
    <col min="14349" max="14349" width="9.75" style="1542" customWidth="1"/>
    <col min="14350" max="14350" width="8.75" style="1542" customWidth="1"/>
    <col min="14351" max="14351" width="6.375" style="1542" customWidth="1"/>
    <col min="14352" max="14352" width="11" style="1542"/>
    <col min="14353" max="14353" width="5.875" style="1542" customWidth="1"/>
    <col min="14354" max="14355" width="11" style="1542"/>
    <col min="14356" max="14356" width="10.875" style="1542" customWidth="1"/>
    <col min="14357" max="14357" width="9" style="1542" customWidth="1"/>
    <col min="14358" max="14358" width="4.875" style="1542" customWidth="1"/>
    <col min="14359" max="14359" width="10.25" style="1542" customWidth="1"/>
    <col min="14360" max="14364" width="10.875" style="1542" customWidth="1"/>
    <col min="14365" max="14592" width="11" style="1542"/>
    <col min="14593" max="14593" width="10.25" style="1542" customWidth="1"/>
    <col min="14594" max="14594" width="35.375" style="1542" customWidth="1"/>
    <col min="14595" max="14595" width="10.125" style="1542" customWidth="1"/>
    <col min="14596" max="14596" width="10.375" style="1542" customWidth="1"/>
    <col min="14597" max="14597" width="7.375" style="1542" customWidth="1"/>
    <col min="14598" max="14601" width="10.25" style="1542" customWidth="1"/>
    <col min="14602" max="14602" width="12" style="1542" customWidth="1"/>
    <col min="14603" max="14603" width="10.25" style="1542" customWidth="1"/>
    <col min="14604" max="14604" width="9" style="1542" customWidth="1"/>
    <col min="14605" max="14605" width="9.75" style="1542" customWidth="1"/>
    <col min="14606" max="14606" width="8.75" style="1542" customWidth="1"/>
    <col min="14607" max="14607" width="6.375" style="1542" customWidth="1"/>
    <col min="14608" max="14608" width="11" style="1542"/>
    <col min="14609" max="14609" width="5.875" style="1542" customWidth="1"/>
    <col min="14610" max="14611" width="11" style="1542"/>
    <col min="14612" max="14612" width="10.875" style="1542" customWidth="1"/>
    <col min="14613" max="14613" width="9" style="1542" customWidth="1"/>
    <col min="14614" max="14614" width="4.875" style="1542" customWidth="1"/>
    <col min="14615" max="14615" width="10.25" style="1542" customWidth="1"/>
    <col min="14616" max="14620" width="10.875" style="1542" customWidth="1"/>
    <col min="14621" max="14848" width="11" style="1542"/>
    <col min="14849" max="14849" width="10.25" style="1542" customWidth="1"/>
    <col min="14850" max="14850" width="35.375" style="1542" customWidth="1"/>
    <col min="14851" max="14851" width="10.125" style="1542" customWidth="1"/>
    <col min="14852" max="14852" width="10.375" style="1542" customWidth="1"/>
    <col min="14853" max="14853" width="7.375" style="1542" customWidth="1"/>
    <col min="14854" max="14857" width="10.25" style="1542" customWidth="1"/>
    <col min="14858" max="14858" width="12" style="1542" customWidth="1"/>
    <col min="14859" max="14859" width="10.25" style="1542" customWidth="1"/>
    <col min="14860" max="14860" width="9" style="1542" customWidth="1"/>
    <col min="14861" max="14861" width="9.75" style="1542" customWidth="1"/>
    <col min="14862" max="14862" width="8.75" style="1542" customWidth="1"/>
    <col min="14863" max="14863" width="6.375" style="1542" customWidth="1"/>
    <col min="14864" max="14864" width="11" style="1542"/>
    <col min="14865" max="14865" width="5.875" style="1542" customWidth="1"/>
    <col min="14866" max="14867" width="11" style="1542"/>
    <col min="14868" max="14868" width="10.875" style="1542" customWidth="1"/>
    <col min="14869" max="14869" width="9" style="1542" customWidth="1"/>
    <col min="14870" max="14870" width="4.875" style="1542" customWidth="1"/>
    <col min="14871" max="14871" width="10.25" style="1542" customWidth="1"/>
    <col min="14872" max="14876" width="10.875" style="1542" customWidth="1"/>
    <col min="14877" max="15104" width="11" style="1542"/>
    <col min="15105" max="15105" width="10.25" style="1542" customWidth="1"/>
    <col min="15106" max="15106" width="35.375" style="1542" customWidth="1"/>
    <col min="15107" max="15107" width="10.125" style="1542" customWidth="1"/>
    <col min="15108" max="15108" width="10.375" style="1542" customWidth="1"/>
    <col min="15109" max="15109" width="7.375" style="1542" customWidth="1"/>
    <col min="15110" max="15113" width="10.25" style="1542" customWidth="1"/>
    <col min="15114" max="15114" width="12" style="1542" customWidth="1"/>
    <col min="15115" max="15115" width="10.25" style="1542" customWidth="1"/>
    <col min="15116" max="15116" width="9" style="1542" customWidth="1"/>
    <col min="15117" max="15117" width="9.75" style="1542" customWidth="1"/>
    <col min="15118" max="15118" width="8.75" style="1542" customWidth="1"/>
    <col min="15119" max="15119" width="6.375" style="1542" customWidth="1"/>
    <col min="15120" max="15120" width="11" style="1542"/>
    <col min="15121" max="15121" width="5.875" style="1542" customWidth="1"/>
    <col min="15122" max="15123" width="11" style="1542"/>
    <col min="15124" max="15124" width="10.875" style="1542" customWidth="1"/>
    <col min="15125" max="15125" width="9" style="1542" customWidth="1"/>
    <col min="15126" max="15126" width="4.875" style="1542" customWidth="1"/>
    <col min="15127" max="15127" width="10.25" style="1542" customWidth="1"/>
    <col min="15128" max="15132" width="10.875" style="1542" customWidth="1"/>
    <col min="15133" max="15360" width="11" style="1542"/>
    <col min="15361" max="15361" width="10.25" style="1542" customWidth="1"/>
    <col min="15362" max="15362" width="35.375" style="1542" customWidth="1"/>
    <col min="15363" max="15363" width="10.125" style="1542" customWidth="1"/>
    <col min="15364" max="15364" width="10.375" style="1542" customWidth="1"/>
    <col min="15365" max="15365" width="7.375" style="1542" customWidth="1"/>
    <col min="15366" max="15369" width="10.25" style="1542" customWidth="1"/>
    <col min="15370" max="15370" width="12" style="1542" customWidth="1"/>
    <col min="15371" max="15371" width="10.25" style="1542" customWidth="1"/>
    <col min="15372" max="15372" width="9" style="1542" customWidth="1"/>
    <col min="15373" max="15373" width="9.75" style="1542" customWidth="1"/>
    <col min="15374" max="15374" width="8.75" style="1542" customWidth="1"/>
    <col min="15375" max="15375" width="6.375" style="1542" customWidth="1"/>
    <col min="15376" max="15376" width="11" style="1542"/>
    <col min="15377" max="15377" width="5.875" style="1542" customWidth="1"/>
    <col min="15378" max="15379" width="11" style="1542"/>
    <col min="15380" max="15380" width="10.875" style="1542" customWidth="1"/>
    <col min="15381" max="15381" width="9" style="1542" customWidth="1"/>
    <col min="15382" max="15382" width="4.875" style="1542" customWidth="1"/>
    <col min="15383" max="15383" width="10.25" style="1542" customWidth="1"/>
    <col min="15384" max="15388" width="10.875" style="1542" customWidth="1"/>
    <col min="15389" max="15616" width="11" style="1542"/>
    <col min="15617" max="15617" width="10.25" style="1542" customWidth="1"/>
    <col min="15618" max="15618" width="35.375" style="1542" customWidth="1"/>
    <col min="15619" max="15619" width="10.125" style="1542" customWidth="1"/>
    <col min="15620" max="15620" width="10.375" style="1542" customWidth="1"/>
    <col min="15621" max="15621" width="7.375" style="1542" customWidth="1"/>
    <col min="15622" max="15625" width="10.25" style="1542" customWidth="1"/>
    <col min="15626" max="15626" width="12" style="1542" customWidth="1"/>
    <col min="15627" max="15627" width="10.25" style="1542" customWidth="1"/>
    <col min="15628" max="15628" width="9" style="1542" customWidth="1"/>
    <col min="15629" max="15629" width="9.75" style="1542" customWidth="1"/>
    <col min="15630" max="15630" width="8.75" style="1542" customWidth="1"/>
    <col min="15631" max="15631" width="6.375" style="1542" customWidth="1"/>
    <col min="15632" max="15632" width="11" style="1542"/>
    <col min="15633" max="15633" width="5.875" style="1542" customWidth="1"/>
    <col min="15634" max="15635" width="11" style="1542"/>
    <col min="15636" max="15636" width="10.875" style="1542" customWidth="1"/>
    <col min="15637" max="15637" width="9" style="1542" customWidth="1"/>
    <col min="15638" max="15638" width="4.875" style="1542" customWidth="1"/>
    <col min="15639" max="15639" width="10.25" style="1542" customWidth="1"/>
    <col min="15640" max="15644" width="10.875" style="1542" customWidth="1"/>
    <col min="15645" max="15872" width="11" style="1542"/>
    <col min="15873" max="15873" width="10.25" style="1542" customWidth="1"/>
    <col min="15874" max="15874" width="35.375" style="1542" customWidth="1"/>
    <col min="15875" max="15875" width="10.125" style="1542" customWidth="1"/>
    <col min="15876" max="15876" width="10.375" style="1542" customWidth="1"/>
    <col min="15877" max="15877" width="7.375" style="1542" customWidth="1"/>
    <col min="15878" max="15881" width="10.25" style="1542" customWidth="1"/>
    <col min="15882" max="15882" width="12" style="1542" customWidth="1"/>
    <col min="15883" max="15883" width="10.25" style="1542" customWidth="1"/>
    <col min="15884" max="15884" width="9" style="1542" customWidth="1"/>
    <col min="15885" max="15885" width="9.75" style="1542" customWidth="1"/>
    <col min="15886" max="15886" width="8.75" style="1542" customWidth="1"/>
    <col min="15887" max="15887" width="6.375" style="1542" customWidth="1"/>
    <col min="15888" max="15888" width="11" style="1542"/>
    <col min="15889" max="15889" width="5.875" style="1542" customWidth="1"/>
    <col min="15890" max="15891" width="11" style="1542"/>
    <col min="15892" max="15892" width="10.875" style="1542" customWidth="1"/>
    <col min="15893" max="15893" width="9" style="1542" customWidth="1"/>
    <col min="15894" max="15894" width="4.875" style="1542" customWidth="1"/>
    <col min="15895" max="15895" width="10.25" style="1542" customWidth="1"/>
    <col min="15896" max="15900" width="10.875" style="1542" customWidth="1"/>
    <col min="15901" max="16128" width="11" style="1542"/>
    <col min="16129" max="16129" width="10.25" style="1542" customWidth="1"/>
    <col min="16130" max="16130" width="35.375" style="1542" customWidth="1"/>
    <col min="16131" max="16131" width="10.125" style="1542" customWidth="1"/>
    <col min="16132" max="16132" width="10.375" style="1542" customWidth="1"/>
    <col min="16133" max="16133" width="7.375" style="1542" customWidth="1"/>
    <col min="16134" max="16137" width="10.25" style="1542" customWidth="1"/>
    <col min="16138" max="16138" width="12" style="1542" customWidth="1"/>
    <col min="16139" max="16139" width="10.25" style="1542" customWidth="1"/>
    <col min="16140" max="16140" width="9" style="1542" customWidth="1"/>
    <col min="16141" max="16141" width="9.75" style="1542" customWidth="1"/>
    <col min="16142" max="16142" width="8.75" style="1542" customWidth="1"/>
    <col min="16143" max="16143" width="6.375" style="1542" customWidth="1"/>
    <col min="16144" max="16144" width="11" style="1542"/>
    <col min="16145" max="16145" width="5.875" style="1542" customWidth="1"/>
    <col min="16146" max="16147" width="11" style="1542"/>
    <col min="16148" max="16148" width="10.875" style="1542" customWidth="1"/>
    <col min="16149" max="16149" width="9" style="1542" customWidth="1"/>
    <col min="16150" max="16150" width="4.875" style="1542" customWidth="1"/>
    <col min="16151" max="16151" width="10.25" style="1542" customWidth="1"/>
    <col min="16152" max="16156" width="10.875" style="1542" customWidth="1"/>
    <col min="16157" max="16384" width="11" style="1542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1538"/>
      <c r="H1" s="1538"/>
      <c r="I1" s="1538"/>
      <c r="J1" s="1538"/>
      <c r="K1" s="1538"/>
      <c r="L1" s="1538"/>
      <c r="M1" s="1538"/>
      <c r="N1" s="1538"/>
      <c r="O1" s="1539"/>
      <c r="P1" s="1538"/>
      <c r="Q1" s="1539"/>
      <c r="R1" s="1539"/>
      <c r="S1" s="1540"/>
      <c r="T1" s="1540"/>
      <c r="U1" s="1539"/>
      <c r="V1" s="1539"/>
      <c r="W1" s="1538"/>
      <c r="X1" s="1540"/>
      <c r="Y1" s="1540"/>
      <c r="Z1" s="1540"/>
      <c r="AA1" s="1540"/>
      <c r="AB1" s="1540"/>
    </row>
    <row r="2" spans="1:31">
      <c r="A2" s="1538" t="s">
        <v>49</v>
      </c>
      <c r="B2" s="1543" t="s">
        <v>726</v>
      </c>
      <c r="Q2" s="1544"/>
      <c r="R2" s="1544"/>
    </row>
    <row r="3" spans="1:31">
      <c r="A3" s="1543" t="s">
        <v>60</v>
      </c>
      <c r="B3" s="1543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448</v>
      </c>
      <c r="H3" s="1539"/>
      <c r="I3" s="1539"/>
      <c r="J3" s="1539"/>
      <c r="K3" s="1539"/>
      <c r="L3" s="1539"/>
      <c r="M3" s="1539"/>
      <c r="N3" s="1539"/>
      <c r="O3" s="1539"/>
      <c r="P3" s="1539"/>
      <c r="Q3" s="1539"/>
      <c r="R3" s="1539"/>
      <c r="S3" s="1540"/>
      <c r="T3" s="1540"/>
      <c r="U3" s="1543"/>
      <c r="V3" s="1539"/>
      <c r="W3" s="1539"/>
      <c r="X3" s="1540"/>
      <c r="Y3" s="1540"/>
      <c r="Z3" s="1540"/>
      <c r="AA3" s="1540"/>
      <c r="AB3" s="1540"/>
    </row>
    <row r="4" spans="1:31">
      <c r="A4" s="1546" t="s">
        <v>61</v>
      </c>
      <c r="B4" s="1543" t="s">
        <v>421</v>
      </c>
      <c r="C4" s="2266"/>
      <c r="D4" s="2266"/>
      <c r="E4" s="2267"/>
      <c r="F4" s="2268"/>
      <c r="G4" s="1538"/>
      <c r="H4" s="1538"/>
      <c r="I4" s="1538"/>
      <c r="J4" s="1538"/>
      <c r="K4" s="1538"/>
      <c r="L4" s="1538"/>
      <c r="M4" s="1538"/>
      <c r="N4" s="1538"/>
      <c r="O4" s="1539"/>
      <c r="P4" s="1538"/>
      <c r="Q4" s="1539"/>
      <c r="R4" s="1539"/>
      <c r="S4" s="1540"/>
      <c r="T4" s="1540"/>
      <c r="U4" s="1539"/>
      <c r="V4" s="1539"/>
      <c r="W4" s="1538"/>
      <c r="X4" s="1540"/>
      <c r="Y4" s="1540"/>
      <c r="Z4" s="1540"/>
      <c r="AA4" s="1540"/>
      <c r="AB4" s="1540"/>
    </row>
    <row r="5" spans="1:31">
      <c r="A5" s="1547" t="s">
        <v>119</v>
      </c>
      <c r="B5" s="1548">
        <v>201400015</v>
      </c>
      <c r="C5" s="1539"/>
      <c r="D5" s="1539"/>
      <c r="E5" s="1549"/>
      <c r="F5" s="1538"/>
      <c r="G5" s="1538"/>
      <c r="J5" s="1538"/>
      <c r="K5" s="1542"/>
      <c r="L5" s="1538"/>
      <c r="M5" s="1538"/>
      <c r="N5" s="1538"/>
      <c r="O5" s="1539"/>
      <c r="P5" s="1538"/>
      <c r="Q5" s="1539"/>
      <c r="R5" s="1539"/>
      <c r="S5" s="1538"/>
      <c r="T5" s="1540"/>
      <c r="U5" s="1539"/>
      <c r="V5" s="1539"/>
      <c r="W5" s="1538"/>
      <c r="X5" s="1540"/>
      <c r="Y5" s="1540"/>
      <c r="Z5" s="1540"/>
      <c r="AA5" s="1540"/>
      <c r="AB5" s="1540"/>
    </row>
    <row r="6" spans="1:31">
      <c r="A6" s="1547" t="s">
        <v>120</v>
      </c>
      <c r="B6" s="1550" t="s">
        <v>727</v>
      </c>
      <c r="C6" s="1539"/>
      <c r="D6" s="1539"/>
      <c r="E6" s="1549"/>
      <c r="F6" s="1538"/>
      <c r="G6" s="1538"/>
      <c r="H6" s="1551"/>
      <c r="I6" s="1552"/>
      <c r="J6" s="1553"/>
      <c r="K6" s="1546"/>
      <c r="L6" s="1546"/>
      <c r="M6" s="1540"/>
      <c r="N6" s="1541"/>
      <c r="O6" s="1541"/>
      <c r="P6" s="1541"/>
      <c r="Q6" s="1540"/>
      <c r="R6" s="1539"/>
      <c r="S6" s="1540"/>
      <c r="T6" s="1540"/>
      <c r="U6" s="1539"/>
      <c r="V6" s="1539"/>
      <c r="W6" s="1538"/>
      <c r="X6" s="1540"/>
      <c r="Y6" s="1540"/>
      <c r="Z6" s="1540"/>
      <c r="AA6" s="1540"/>
      <c r="AB6" s="1540"/>
    </row>
    <row r="7" spans="1:31">
      <c r="A7" s="1547"/>
      <c r="B7" s="1554"/>
      <c r="C7" s="1539"/>
      <c r="D7" s="1539"/>
      <c r="E7" s="1549"/>
      <c r="F7" s="1538"/>
      <c r="G7" s="1538"/>
      <c r="H7" s="1551"/>
      <c r="I7" s="1552"/>
      <c r="J7" s="1553"/>
      <c r="K7" s="1546"/>
      <c r="L7" s="1546"/>
      <c r="M7" s="1540"/>
      <c r="N7" s="1541"/>
      <c r="O7" s="1541"/>
      <c r="P7" s="1541"/>
      <c r="Q7" s="1540"/>
      <c r="R7" s="1539"/>
      <c r="S7" s="1540"/>
      <c r="T7" s="1540"/>
      <c r="U7" s="1539"/>
      <c r="V7" s="1539"/>
      <c r="W7" s="1538"/>
      <c r="X7" s="1540"/>
      <c r="Y7" s="1540"/>
      <c r="Z7" s="1540"/>
      <c r="AA7" s="1540"/>
      <c r="AB7" s="1540"/>
    </row>
    <row r="8" spans="1:31" s="1570" customFormat="1" ht="16.5">
      <c r="A8" s="1555" t="s">
        <v>0</v>
      </c>
      <c r="B8" s="1555" t="s">
        <v>1</v>
      </c>
      <c r="C8" s="1556" t="s">
        <v>393</v>
      </c>
      <c r="D8" s="1557" t="s">
        <v>3</v>
      </c>
      <c r="E8" s="1558"/>
      <c r="F8" s="1559"/>
      <c r="G8" s="1560" t="s">
        <v>4</v>
      </c>
      <c r="H8" s="1561"/>
      <c r="I8" s="1560" t="s">
        <v>5</v>
      </c>
      <c r="J8" s="1561"/>
      <c r="K8" s="1562" t="s">
        <v>6</v>
      </c>
      <c r="L8" s="1562"/>
      <c r="M8" s="1562"/>
      <c r="N8" s="1562"/>
      <c r="O8" s="1563" t="s">
        <v>7</v>
      </c>
      <c r="P8" s="1559"/>
      <c r="Q8" s="1563" t="s">
        <v>8</v>
      </c>
      <c r="R8" s="1559"/>
      <c r="S8" s="1564"/>
      <c r="T8" s="1565"/>
      <c r="U8" s="1566" t="s">
        <v>82</v>
      </c>
      <c r="V8" s="1567"/>
      <c r="W8" s="1568"/>
      <c r="X8" s="2411" t="str">
        <f>"Production cumulée au 31/12/"&amp;(YEAR($E$1)-1)</f>
        <v>Production cumulée au 31/12/2014</v>
      </c>
      <c r="Y8" s="2411" t="str">
        <f>"Sous traitance cumulée au 31/12/"&amp;(YEAR($E$1)-1)</f>
        <v>Sous traitance cumulée au 31/12/2014</v>
      </c>
      <c r="Z8" s="2411" t="str">
        <f>"Facturation cumulée au 31/12/"&amp;(YEAR($E$1)-1)</f>
        <v>Facturation cumulée au 31/12/2014</v>
      </c>
      <c r="AA8" s="2411" t="str">
        <f>"Encaissement cumulé au 31/12/"&amp;(YEAR($E$1)-1)</f>
        <v>Encaissement cumulé au 31/12/2014</v>
      </c>
      <c r="AB8" s="2411" t="s">
        <v>64</v>
      </c>
      <c r="AC8" s="1569"/>
      <c r="AD8" s="1569"/>
      <c r="AE8" s="1569"/>
    </row>
    <row r="9" spans="1:31" s="1570" customFormat="1" ht="10.5">
      <c r="A9" s="1571" t="s">
        <v>9</v>
      </c>
      <c r="B9" s="1572"/>
      <c r="C9" s="1573"/>
      <c r="D9" s="1574"/>
      <c r="E9" s="1575"/>
      <c r="F9" s="1576"/>
      <c r="G9" s="1577"/>
      <c r="H9" s="1578"/>
      <c r="I9" s="1577" t="s">
        <v>10</v>
      </c>
      <c r="J9" s="1577"/>
      <c r="K9" s="1579" t="s">
        <v>11</v>
      </c>
      <c r="L9" s="1579"/>
      <c r="M9" s="1579"/>
      <c r="N9" s="1579" t="s">
        <v>12</v>
      </c>
      <c r="O9" s="1580"/>
      <c r="P9" s="1576"/>
      <c r="Q9" s="1580"/>
      <c r="R9" s="1581"/>
      <c r="S9" s="1582" t="s">
        <v>13</v>
      </c>
      <c r="T9" s="1583" t="s">
        <v>14</v>
      </c>
      <c r="U9" s="1584"/>
      <c r="V9" s="1585"/>
      <c r="W9" s="1586"/>
      <c r="X9" s="2412"/>
      <c r="Y9" s="2412"/>
      <c r="Z9" s="2412"/>
      <c r="AA9" s="2412"/>
      <c r="AB9" s="2412"/>
      <c r="AC9" s="1569"/>
      <c r="AD9" s="1569"/>
      <c r="AE9" s="1569"/>
    </row>
    <row r="10" spans="1:31" s="1570" customFormat="1" ht="8.25">
      <c r="A10" s="1572"/>
      <c r="B10" s="1572"/>
      <c r="C10" s="1573"/>
      <c r="D10" s="1587" t="s">
        <v>15</v>
      </c>
      <c r="E10" s="1588" t="s">
        <v>16</v>
      </c>
      <c r="F10" s="1562" t="s">
        <v>17</v>
      </c>
      <c r="G10" s="1577"/>
      <c r="H10" s="1578"/>
      <c r="I10" s="1577"/>
      <c r="J10" s="1577"/>
      <c r="K10" s="1589" t="s">
        <v>18</v>
      </c>
      <c r="L10" s="1589" t="s">
        <v>17</v>
      </c>
      <c r="M10" s="1589" t="s">
        <v>19</v>
      </c>
      <c r="N10" s="1589" t="s">
        <v>20</v>
      </c>
      <c r="O10" s="1587" t="s">
        <v>16</v>
      </c>
      <c r="P10" s="1562" t="s">
        <v>17</v>
      </c>
      <c r="Q10" s="1587" t="s">
        <v>16</v>
      </c>
      <c r="R10" s="1562" t="s">
        <v>17</v>
      </c>
      <c r="S10" s="1582" t="s">
        <v>21</v>
      </c>
      <c r="T10" s="1583" t="s">
        <v>22</v>
      </c>
      <c r="U10" s="1587" t="s">
        <v>15</v>
      </c>
      <c r="V10" s="1587" t="s">
        <v>16</v>
      </c>
      <c r="W10" s="1562" t="s">
        <v>17</v>
      </c>
      <c r="X10" s="2412"/>
      <c r="Y10" s="2412"/>
      <c r="Z10" s="2412"/>
      <c r="AA10" s="2412"/>
      <c r="AB10" s="2412"/>
      <c r="AC10" s="1569"/>
      <c r="AD10" s="1569"/>
      <c r="AE10" s="1569"/>
    </row>
    <row r="11" spans="1:31" s="1570" customFormat="1" ht="8.25">
      <c r="A11" s="1572"/>
      <c r="B11" s="1572"/>
      <c r="C11" s="1573"/>
      <c r="D11" s="1582" t="s">
        <v>23</v>
      </c>
      <c r="E11" s="1590"/>
      <c r="F11" s="1579" t="s">
        <v>23</v>
      </c>
      <c r="G11" s="1562" t="s">
        <v>24</v>
      </c>
      <c r="H11" s="1562" t="s">
        <v>25</v>
      </c>
      <c r="I11" s="1562" t="s">
        <v>26</v>
      </c>
      <c r="J11" s="1562" t="s">
        <v>27</v>
      </c>
      <c r="K11" s="1579" t="s">
        <v>28</v>
      </c>
      <c r="L11" s="1579" t="s">
        <v>29</v>
      </c>
      <c r="M11" s="1579" t="s">
        <v>30</v>
      </c>
      <c r="N11" s="1579" t="s">
        <v>31</v>
      </c>
      <c r="O11" s="1582"/>
      <c r="P11" s="1579" t="s">
        <v>23</v>
      </c>
      <c r="Q11" s="1582"/>
      <c r="R11" s="1579" t="s">
        <v>23</v>
      </c>
      <c r="S11" s="1573"/>
      <c r="T11" s="1583" t="s">
        <v>32</v>
      </c>
      <c r="U11" s="1582" t="s">
        <v>23</v>
      </c>
      <c r="V11" s="1582"/>
      <c r="W11" s="1579" t="s">
        <v>23</v>
      </c>
      <c r="X11" s="2412"/>
      <c r="Y11" s="2412"/>
      <c r="Z11" s="2412"/>
      <c r="AA11" s="2412"/>
      <c r="AB11" s="2412"/>
      <c r="AC11" s="1569"/>
      <c r="AD11" s="1569"/>
      <c r="AE11" s="1569"/>
    </row>
    <row r="12" spans="1:31">
      <c r="A12" s="1572"/>
      <c r="B12" s="1572"/>
      <c r="C12" s="1573"/>
      <c r="D12" s="1573"/>
      <c r="E12" s="1591"/>
      <c r="F12" s="1592"/>
      <c r="G12" s="1592"/>
      <c r="H12" s="1592"/>
      <c r="I12" s="1592"/>
      <c r="J12" s="1579" t="s">
        <v>33</v>
      </c>
      <c r="K12" s="1579" t="s">
        <v>34</v>
      </c>
      <c r="L12" s="1579"/>
      <c r="M12" s="1579"/>
      <c r="N12" s="1579"/>
      <c r="O12" s="1573"/>
      <c r="P12" s="1592"/>
      <c r="Q12" s="1573"/>
      <c r="R12" s="1592"/>
      <c r="S12" s="1593"/>
      <c r="T12" s="1594"/>
      <c r="U12" s="1573"/>
      <c r="V12" s="1573"/>
      <c r="W12" s="1592"/>
      <c r="X12" s="2412"/>
      <c r="Y12" s="2412"/>
      <c r="Z12" s="2412"/>
      <c r="AA12" s="2412"/>
      <c r="AB12" s="2412"/>
    </row>
    <row r="13" spans="1:31">
      <c r="A13" s="1595"/>
      <c r="B13" s="1595" t="s">
        <v>35</v>
      </c>
      <c r="C13" s="1596" t="s">
        <v>36</v>
      </c>
      <c r="D13" s="1596"/>
      <c r="E13" s="1597"/>
      <c r="F13" s="1598" t="s">
        <v>37</v>
      </c>
      <c r="G13" s="1598" t="s">
        <v>38</v>
      </c>
      <c r="H13" s="1598" t="s">
        <v>39</v>
      </c>
      <c r="I13" s="1598" t="s">
        <v>40</v>
      </c>
      <c r="J13" s="1598" t="s">
        <v>41</v>
      </c>
      <c r="K13" s="1598" t="s">
        <v>42</v>
      </c>
      <c r="L13" s="1598" t="s">
        <v>43</v>
      </c>
      <c r="M13" s="1598" t="s">
        <v>44</v>
      </c>
      <c r="N13" s="1598" t="s">
        <v>45</v>
      </c>
      <c r="O13" s="1596"/>
      <c r="P13" s="1598" t="s">
        <v>37</v>
      </c>
      <c r="Q13" s="1596" t="s">
        <v>46</v>
      </c>
      <c r="R13" s="1596"/>
      <c r="S13" s="1599" t="s">
        <v>47</v>
      </c>
      <c r="T13" s="1600" t="s">
        <v>48</v>
      </c>
      <c r="U13" s="1596"/>
      <c r="V13" s="1596"/>
      <c r="W13" s="1598" t="s">
        <v>37</v>
      </c>
      <c r="X13" s="1600" t="s">
        <v>86</v>
      </c>
      <c r="Y13" s="1600"/>
      <c r="Z13" s="1600"/>
      <c r="AA13" s="1600"/>
      <c r="AB13" s="1600"/>
    </row>
    <row r="14" spans="1:31" ht="15.75" customHeight="1">
      <c r="A14" s="1601"/>
      <c r="B14" s="1602"/>
      <c r="C14" s="1603"/>
      <c r="D14" s="1603"/>
      <c r="E14" s="1604"/>
      <c r="F14" s="1605"/>
      <c r="G14" s="1605"/>
      <c r="H14" s="1605"/>
      <c r="I14" s="1605"/>
      <c r="J14" s="1605"/>
      <c r="K14" s="1605"/>
      <c r="L14" s="1605"/>
      <c r="M14" s="1605"/>
      <c r="N14" s="1605"/>
      <c r="O14" s="1603"/>
      <c r="P14" s="1605">
        <f>O14*D14</f>
        <v>0</v>
      </c>
      <c r="Q14" s="1603"/>
      <c r="R14" s="1603">
        <f>Q14*D14</f>
        <v>0</v>
      </c>
      <c r="S14" s="1603"/>
      <c r="T14" s="1606"/>
      <c r="U14" s="1603"/>
      <c r="V14" s="1603"/>
      <c r="W14" s="1605"/>
      <c r="X14" s="1606"/>
      <c r="Y14" s="1606"/>
      <c r="Z14" s="1606"/>
      <c r="AA14" s="1606"/>
      <c r="AB14" s="1606"/>
    </row>
    <row r="15" spans="1:31" ht="12.75" customHeight="1">
      <c r="A15" s="1607"/>
      <c r="B15" s="1608"/>
      <c r="C15" s="1609"/>
      <c r="D15" s="1610"/>
      <c r="E15" s="1611"/>
      <c r="F15" s="1612">
        <f>D15*E15</f>
        <v>0</v>
      </c>
      <c r="G15" s="1612"/>
      <c r="H15" s="1612"/>
      <c r="I15" s="1612"/>
      <c r="J15" s="1612"/>
      <c r="K15" s="1612"/>
      <c r="L15" s="1612"/>
      <c r="M15" s="1612"/>
      <c r="N15" s="1612"/>
      <c r="O15" s="1612"/>
      <c r="P15" s="1613"/>
      <c r="Q15" s="1612"/>
      <c r="R15" s="1614"/>
      <c r="S15" s="1614"/>
      <c r="T15" s="1615"/>
      <c r="U15" s="1610"/>
      <c r="V15" s="1611"/>
      <c r="W15" s="1612">
        <f>U15*V15</f>
        <v>0</v>
      </c>
      <c r="X15" s="1615"/>
      <c r="Y15" s="1615"/>
      <c r="Z15" s="1615"/>
      <c r="AA15" s="1615"/>
      <c r="AB15" s="1615">
        <v>0</v>
      </c>
    </row>
    <row r="16" spans="1:31">
      <c r="A16" s="1616">
        <v>1</v>
      </c>
      <c r="B16" s="366" t="s">
        <v>728</v>
      </c>
      <c r="C16" s="1613">
        <f>F16</f>
        <v>2550000</v>
      </c>
      <c r="D16" s="1613">
        <f>2125000*1.2</f>
        <v>2550000</v>
      </c>
      <c r="E16" s="1617">
        <v>1</v>
      </c>
      <c r="F16" s="1613">
        <f>D16*E16</f>
        <v>2550000</v>
      </c>
      <c r="G16" s="2362">
        <v>42857</v>
      </c>
      <c r="H16" s="2362" t="s">
        <v>374</v>
      </c>
      <c r="I16" s="1619"/>
      <c r="J16" s="1618"/>
      <c r="K16" s="1618">
        <v>400000</v>
      </c>
      <c r="L16" s="1618">
        <f t="shared" ref="L16:L21" si="0">+I16-J16+K16</f>
        <v>400000</v>
      </c>
      <c r="M16" s="1618"/>
      <c r="N16" s="1618">
        <f>G16</f>
        <v>42857</v>
      </c>
      <c r="O16" s="1618"/>
      <c r="P16" s="1613"/>
      <c r="Q16" s="1620"/>
      <c r="R16" s="1613"/>
      <c r="S16" s="1618"/>
      <c r="T16" s="1618">
        <f>W16-L16</f>
        <v>2150000</v>
      </c>
      <c r="U16" s="1613">
        <f>2125000*1.2</f>
        <v>2550000</v>
      </c>
      <c r="V16" s="1617">
        <v>1</v>
      </c>
      <c r="W16" s="1613">
        <f>U16*V16</f>
        <v>2550000</v>
      </c>
      <c r="X16" s="1618"/>
      <c r="Y16" s="1618"/>
      <c r="Z16" s="1618"/>
      <c r="AA16" s="1618"/>
      <c r="AB16" s="1618"/>
    </row>
    <row r="17" spans="1:28">
      <c r="A17" s="1616"/>
      <c r="B17" s="366"/>
      <c r="C17" s="1613"/>
      <c r="D17" s="1613"/>
      <c r="E17" s="1617"/>
      <c r="F17" s="1613"/>
      <c r="G17" s="1618"/>
      <c r="H17" s="1618"/>
      <c r="I17" s="1618"/>
      <c r="J17" s="1618"/>
      <c r="K17" s="1618"/>
      <c r="L17" s="1618"/>
      <c r="M17" s="1618">
        <f>+M16/1.2</f>
        <v>0</v>
      </c>
      <c r="N17" s="1618"/>
      <c r="O17" s="1618"/>
      <c r="P17" s="1618"/>
      <c r="Q17" s="1621"/>
      <c r="R17" s="1613"/>
      <c r="S17" s="1618"/>
      <c r="T17" s="1618">
        <f>W17-L17</f>
        <v>0</v>
      </c>
      <c r="U17" s="1613"/>
      <c r="V17" s="1617"/>
      <c r="W17" s="1613"/>
      <c r="X17" s="1618"/>
      <c r="Y17" s="1618"/>
      <c r="Z17" s="1618"/>
      <c r="AA17" s="1618"/>
      <c r="AB17" s="1618"/>
    </row>
    <row r="18" spans="1:28">
      <c r="A18" s="1616">
        <v>2</v>
      </c>
      <c r="B18" s="366" t="s">
        <v>729</v>
      </c>
      <c r="C18" s="1613">
        <f>F18</f>
        <v>1218000</v>
      </c>
      <c r="D18" s="1613">
        <f>1015000*1.2</f>
        <v>1218000</v>
      </c>
      <c r="E18" s="1617">
        <v>1</v>
      </c>
      <c r="F18" s="1613">
        <f>D18*E18</f>
        <v>1218000</v>
      </c>
      <c r="G18" s="2362">
        <v>492800</v>
      </c>
      <c r="H18" s="2362" t="s">
        <v>769</v>
      </c>
      <c r="I18" s="1618"/>
      <c r="J18" s="1618"/>
      <c r="K18" s="1618"/>
      <c r="L18" s="1618">
        <f t="shared" si="0"/>
        <v>0</v>
      </c>
      <c r="M18" s="1618"/>
      <c r="N18" s="2362">
        <v>300552</v>
      </c>
      <c r="O18" s="1618"/>
      <c r="P18" s="2269"/>
      <c r="Q18" s="1621"/>
      <c r="R18" s="1618"/>
      <c r="S18" s="1618"/>
      <c r="T18" s="1618">
        <f>W18-L18</f>
        <v>1218000</v>
      </c>
      <c r="U18" s="1613">
        <f>1015000*1.2</f>
        <v>1218000</v>
      </c>
      <c r="V18" s="1617">
        <v>1</v>
      </c>
      <c r="W18" s="1613">
        <f>U18*V18</f>
        <v>1218000</v>
      </c>
      <c r="X18" s="1618"/>
      <c r="Y18" s="1618"/>
      <c r="Z18" s="1618"/>
      <c r="AA18" s="1618"/>
      <c r="AB18" s="1618"/>
    </row>
    <row r="19" spans="1:28">
      <c r="A19" s="1616"/>
      <c r="B19" s="366"/>
      <c r="C19" s="1613"/>
      <c r="D19" s="1613"/>
      <c r="E19" s="1617"/>
      <c r="F19" s="1613"/>
      <c r="G19" s="1618"/>
      <c r="H19" s="1618"/>
      <c r="I19" s="1618"/>
      <c r="J19" s="1618"/>
      <c r="K19" s="1618"/>
      <c r="L19" s="1618">
        <f t="shared" si="0"/>
        <v>0</v>
      </c>
      <c r="M19" s="1618"/>
      <c r="N19" s="1618"/>
      <c r="O19" s="1618"/>
      <c r="P19" s="1618"/>
      <c r="Q19" s="1621"/>
      <c r="R19" s="1618"/>
      <c r="S19" s="1618"/>
      <c r="T19" s="1618">
        <f>W19-L19</f>
        <v>0</v>
      </c>
      <c r="U19" s="1613"/>
      <c r="V19" s="1617"/>
      <c r="W19" s="1613"/>
      <c r="X19" s="1618"/>
      <c r="Y19" s="1618"/>
      <c r="Z19" s="1618"/>
      <c r="AA19" s="1618"/>
      <c r="AB19" s="1618"/>
    </row>
    <row r="20" spans="1:28" ht="22.5">
      <c r="A20" s="1616">
        <v>3</v>
      </c>
      <c r="B20" s="168" t="s">
        <v>730</v>
      </c>
      <c r="C20" s="1613">
        <f>F20</f>
        <v>792000</v>
      </c>
      <c r="D20" s="1613">
        <f>660000*1.2</f>
        <v>792000</v>
      </c>
      <c r="E20" s="1617">
        <v>1</v>
      </c>
      <c r="F20" s="1613">
        <f>D20*E20</f>
        <v>792000</v>
      </c>
      <c r="G20" s="1618"/>
      <c r="H20" s="1618"/>
      <c r="I20" s="1618"/>
      <c r="J20" s="1618"/>
      <c r="K20" s="1618"/>
      <c r="L20" s="1618">
        <f t="shared" si="0"/>
        <v>0</v>
      </c>
      <c r="M20" s="1618"/>
      <c r="N20" s="1618"/>
      <c r="O20" s="1618"/>
      <c r="P20" s="1618"/>
      <c r="Q20" s="1621"/>
      <c r="R20" s="1613"/>
      <c r="S20" s="1618">
        <f>+P20-R20</f>
        <v>0</v>
      </c>
      <c r="T20" s="1618">
        <f>W20-L20</f>
        <v>792000</v>
      </c>
      <c r="U20" s="1613">
        <f>660000*1.2</f>
        <v>792000</v>
      </c>
      <c r="V20" s="1617">
        <v>1</v>
      </c>
      <c r="W20" s="1613">
        <f>U20*V20</f>
        <v>792000</v>
      </c>
      <c r="X20" s="1618"/>
      <c r="Y20" s="1618"/>
      <c r="Z20" s="1618"/>
      <c r="AA20" s="1618"/>
      <c r="AB20" s="1618"/>
    </row>
    <row r="21" spans="1:28" ht="12.75" customHeight="1">
      <c r="A21" s="1607"/>
      <c r="B21" s="366"/>
      <c r="C21" s="1613"/>
      <c r="D21" s="1613"/>
      <c r="E21" s="1617"/>
      <c r="F21" s="1613"/>
      <c r="G21" s="1618"/>
      <c r="H21" s="1618"/>
      <c r="I21" s="1618"/>
      <c r="J21" s="1618"/>
      <c r="K21" s="1618"/>
      <c r="L21" s="1618">
        <f t="shared" si="0"/>
        <v>0</v>
      </c>
      <c r="M21" s="1618"/>
      <c r="N21" s="1618"/>
      <c r="O21" s="1618"/>
      <c r="P21" s="1618"/>
      <c r="Q21" s="1621"/>
      <c r="R21" s="1613"/>
      <c r="S21" s="1618"/>
      <c r="T21" s="1618"/>
      <c r="U21" s="1618"/>
      <c r="V21" s="1622"/>
      <c r="W21" s="1613">
        <f>U21*V21</f>
        <v>0</v>
      </c>
      <c r="X21" s="1618"/>
      <c r="Y21" s="1618"/>
      <c r="Z21" s="1618"/>
      <c r="AA21" s="1618"/>
      <c r="AB21" s="1618"/>
    </row>
    <row r="22" spans="1:28">
      <c r="A22" s="1616"/>
      <c r="B22" s="366"/>
      <c r="C22" s="1613"/>
      <c r="D22" s="1613"/>
      <c r="E22" s="1617"/>
      <c r="F22" s="1613"/>
      <c r="G22" s="1618"/>
      <c r="H22" s="1618"/>
      <c r="I22" s="1618"/>
      <c r="J22" s="1618"/>
      <c r="K22" s="1618"/>
      <c r="L22" s="1618">
        <f t="shared" ref="L22:L43" si="1">+I22+J22-K22</f>
        <v>0</v>
      </c>
      <c r="M22" s="1618"/>
      <c r="N22" s="1618"/>
      <c r="O22" s="1618"/>
      <c r="P22" s="1618"/>
      <c r="Q22" s="1621"/>
      <c r="R22" s="1618"/>
      <c r="S22" s="1618"/>
      <c r="T22" s="1618"/>
      <c r="U22" s="1618"/>
      <c r="V22" s="1622"/>
      <c r="W22" s="1613"/>
      <c r="X22" s="1618"/>
      <c r="Y22" s="1618"/>
      <c r="Z22" s="1618"/>
      <c r="AA22" s="1618"/>
      <c r="AB22" s="1618"/>
    </row>
    <row r="23" spans="1:28">
      <c r="A23" s="1616"/>
      <c r="B23" s="366"/>
      <c r="C23" s="1613"/>
      <c r="D23" s="1613"/>
      <c r="E23" s="1617"/>
      <c r="F23" s="1613"/>
      <c r="G23" s="1618"/>
      <c r="H23" s="1618"/>
      <c r="I23" s="1618"/>
      <c r="J23" s="1618"/>
      <c r="K23" s="1618"/>
      <c r="L23" s="1618">
        <f t="shared" si="1"/>
        <v>0</v>
      </c>
      <c r="M23" s="1618"/>
      <c r="N23" s="1618"/>
      <c r="O23" s="1618"/>
      <c r="P23" s="1618"/>
      <c r="Q23" s="1621"/>
      <c r="R23" s="1618"/>
      <c r="S23" s="1618"/>
      <c r="T23" s="1618"/>
      <c r="U23" s="1618"/>
      <c r="V23" s="1622"/>
      <c r="W23" s="1613"/>
      <c r="X23" s="1618"/>
      <c r="Y23" s="1618"/>
      <c r="Z23" s="1618"/>
      <c r="AA23" s="1618"/>
      <c r="AB23" s="1618"/>
    </row>
    <row r="24" spans="1:28">
      <c r="A24" s="1616"/>
      <c r="B24" s="366"/>
      <c r="C24" s="1613"/>
      <c r="D24" s="1613"/>
      <c r="E24" s="1617"/>
      <c r="F24" s="1613"/>
      <c r="G24" s="1618"/>
      <c r="H24" s="1618"/>
      <c r="I24" s="1618"/>
      <c r="J24" s="1618"/>
      <c r="K24" s="1618"/>
      <c r="L24" s="1618">
        <f t="shared" si="1"/>
        <v>0</v>
      </c>
      <c r="M24" s="1618"/>
      <c r="N24" s="1618"/>
      <c r="O24" s="1618"/>
      <c r="P24" s="1618"/>
      <c r="Q24" s="1621"/>
      <c r="R24" s="1618"/>
      <c r="S24" s="1618"/>
      <c r="T24" s="1618"/>
      <c r="U24" s="1618"/>
      <c r="V24" s="1622"/>
      <c r="W24" s="1613"/>
      <c r="X24" s="1618"/>
      <c r="Y24" s="1618"/>
      <c r="Z24" s="1618"/>
      <c r="AA24" s="1618"/>
      <c r="AB24" s="1618"/>
    </row>
    <row r="25" spans="1:28">
      <c r="A25" s="1616"/>
      <c r="B25" s="366"/>
      <c r="C25" s="1613"/>
      <c r="D25" s="1613"/>
      <c r="E25" s="1617"/>
      <c r="F25" s="1613"/>
      <c r="G25" s="1618"/>
      <c r="H25" s="1618"/>
      <c r="I25" s="1618"/>
      <c r="J25" s="1618"/>
      <c r="K25" s="1618"/>
      <c r="L25" s="1618">
        <f t="shared" si="1"/>
        <v>0</v>
      </c>
      <c r="M25" s="1618"/>
      <c r="N25" s="1618"/>
      <c r="O25" s="1618"/>
      <c r="P25" s="1618"/>
      <c r="Q25" s="1621"/>
      <c r="R25" s="1618"/>
      <c r="S25" s="1618"/>
      <c r="T25" s="1618"/>
      <c r="U25" s="1618"/>
      <c r="V25" s="1622"/>
      <c r="W25" s="1613"/>
      <c r="X25" s="1618"/>
      <c r="Y25" s="1618"/>
      <c r="Z25" s="1618"/>
      <c r="AA25" s="1618"/>
      <c r="AB25" s="1618"/>
    </row>
    <row r="26" spans="1:28">
      <c r="A26" s="1616"/>
      <c r="B26" s="366"/>
      <c r="C26" s="1613"/>
      <c r="D26" s="1613"/>
      <c r="E26" s="1617"/>
      <c r="F26" s="1613"/>
      <c r="G26" s="1618"/>
      <c r="H26" s="1618"/>
      <c r="I26" s="1618"/>
      <c r="J26" s="1618"/>
      <c r="K26" s="1618"/>
      <c r="L26" s="1618">
        <f t="shared" si="1"/>
        <v>0</v>
      </c>
      <c r="M26" s="1618"/>
      <c r="N26" s="1618"/>
      <c r="O26" s="1618"/>
      <c r="P26" s="1618"/>
      <c r="Q26" s="1623"/>
      <c r="R26" s="1618"/>
      <c r="S26" s="1618"/>
      <c r="T26" s="1618"/>
      <c r="U26" s="1618"/>
      <c r="V26" s="1611"/>
      <c r="W26" s="1613"/>
      <c r="X26" s="1618"/>
      <c r="Y26" s="1618"/>
      <c r="Z26" s="1618"/>
      <c r="AA26" s="1618"/>
      <c r="AB26" s="1618"/>
    </row>
    <row r="27" spans="1:28">
      <c r="A27" s="1616"/>
      <c r="B27" s="366"/>
      <c r="C27" s="1613"/>
      <c r="D27" s="1613"/>
      <c r="E27" s="1617"/>
      <c r="F27" s="1613"/>
      <c r="G27" s="1618"/>
      <c r="H27" s="1618"/>
      <c r="I27" s="1618"/>
      <c r="J27" s="1618"/>
      <c r="K27" s="1618"/>
      <c r="L27" s="1618">
        <f t="shared" si="1"/>
        <v>0</v>
      </c>
      <c r="M27" s="1618"/>
      <c r="N27" s="1618"/>
      <c r="O27" s="1618"/>
      <c r="P27" s="1618"/>
      <c r="Q27" s="1624"/>
      <c r="R27" s="1618"/>
      <c r="S27" s="1618"/>
      <c r="T27" s="1618"/>
      <c r="U27" s="1618"/>
      <c r="V27" s="1622"/>
      <c r="W27" s="1613"/>
      <c r="X27" s="1618"/>
      <c r="Y27" s="1618"/>
      <c r="Z27" s="1618"/>
      <c r="AA27" s="1618"/>
      <c r="AB27" s="1618">
        <v>0</v>
      </c>
    </row>
    <row r="28" spans="1:28">
      <c r="A28" s="1616"/>
      <c r="B28" s="366"/>
      <c r="C28" s="1613"/>
      <c r="D28" s="1613"/>
      <c r="E28" s="1617"/>
      <c r="F28" s="1613"/>
      <c r="G28" s="1618"/>
      <c r="H28" s="1618"/>
      <c r="I28" s="1618"/>
      <c r="J28" s="1618"/>
      <c r="K28" s="1618"/>
      <c r="L28" s="1618">
        <f t="shared" si="1"/>
        <v>0</v>
      </c>
      <c r="M28" s="1618"/>
      <c r="N28" s="1618"/>
      <c r="O28" s="1618"/>
      <c r="P28" s="1618"/>
      <c r="Q28" s="1624"/>
      <c r="R28" s="1618"/>
      <c r="S28" s="1618"/>
      <c r="T28" s="1618"/>
      <c r="U28" s="1618"/>
      <c r="V28" s="1622"/>
      <c r="W28" s="1613"/>
      <c r="X28" s="1618"/>
      <c r="Y28" s="1618"/>
      <c r="Z28" s="1618"/>
      <c r="AA28" s="1618"/>
      <c r="AB28" s="1618">
        <v>0</v>
      </c>
    </row>
    <row r="29" spans="1:28">
      <c r="A29" s="1616"/>
      <c r="B29" s="366"/>
      <c r="C29" s="1613"/>
      <c r="D29" s="1613"/>
      <c r="E29" s="1617"/>
      <c r="F29" s="1613"/>
      <c r="G29" s="1613"/>
      <c r="H29" s="1613"/>
      <c r="I29" s="1614"/>
      <c r="J29" s="1613"/>
      <c r="K29" s="1613"/>
      <c r="L29" s="1618">
        <f t="shared" si="1"/>
        <v>0</v>
      </c>
      <c r="M29" s="1613"/>
      <c r="N29" s="1613"/>
      <c r="O29" s="1613"/>
      <c r="P29" s="1618"/>
      <c r="Q29" s="1624"/>
      <c r="R29" s="1618"/>
      <c r="S29" s="1618"/>
      <c r="T29" s="1625"/>
      <c r="U29" s="1618"/>
      <c r="V29" s="1622"/>
      <c r="W29" s="1613"/>
      <c r="X29" s="1625"/>
      <c r="Y29" s="1625"/>
      <c r="Z29" s="1625"/>
      <c r="AA29" s="1625"/>
      <c r="AB29" s="1625"/>
    </row>
    <row r="30" spans="1:28">
      <c r="A30" s="1616"/>
      <c r="B30" s="366"/>
      <c r="C30" s="1613"/>
      <c r="D30" s="1613"/>
      <c r="E30" s="1617"/>
      <c r="F30" s="1613"/>
      <c r="G30" s="1613"/>
      <c r="H30" s="1613"/>
      <c r="I30" s="1614"/>
      <c r="J30" s="1613"/>
      <c r="K30" s="1613"/>
      <c r="L30" s="1618">
        <f t="shared" si="1"/>
        <v>0</v>
      </c>
      <c r="M30" s="1613"/>
      <c r="N30" s="1613"/>
      <c r="O30" s="1613"/>
      <c r="P30" s="1613"/>
      <c r="Q30" s="1624"/>
      <c r="R30" s="1618"/>
      <c r="S30" s="1618"/>
      <c r="T30" s="1625"/>
      <c r="U30" s="1613"/>
      <c r="V30" s="1622"/>
      <c r="W30" s="1613"/>
      <c r="X30" s="1625"/>
      <c r="Y30" s="1625"/>
      <c r="Z30" s="1625"/>
      <c r="AA30" s="1625"/>
      <c r="AB30" s="1625"/>
    </row>
    <row r="31" spans="1:28">
      <c r="A31" s="1616"/>
      <c r="B31" s="366"/>
      <c r="C31" s="1613"/>
      <c r="D31" s="1613"/>
      <c r="E31" s="1617"/>
      <c r="F31" s="1613"/>
      <c r="G31" s="1613"/>
      <c r="H31" s="1613"/>
      <c r="I31" s="1614"/>
      <c r="J31" s="1613"/>
      <c r="K31" s="1613"/>
      <c r="L31" s="1618">
        <f t="shared" si="1"/>
        <v>0</v>
      </c>
      <c r="M31" s="1613"/>
      <c r="N31" s="1613"/>
      <c r="O31" s="1613"/>
      <c r="P31" s="1613"/>
      <c r="Q31" s="1624"/>
      <c r="R31" s="1618"/>
      <c r="S31" s="1618"/>
      <c r="T31" s="1625"/>
      <c r="U31" s="1613"/>
      <c r="V31" s="1622"/>
      <c r="W31" s="1613"/>
      <c r="X31" s="1625"/>
      <c r="Y31" s="1625"/>
      <c r="Z31" s="1625"/>
      <c r="AA31" s="1625"/>
      <c r="AB31" s="1625"/>
    </row>
    <row r="32" spans="1:28">
      <c r="A32" s="1616"/>
      <c r="B32" s="1626"/>
      <c r="C32" s="1613"/>
      <c r="D32" s="1613"/>
      <c r="E32" s="1617"/>
      <c r="F32" s="1613"/>
      <c r="G32" s="1613"/>
      <c r="H32" s="1613"/>
      <c r="I32" s="1614"/>
      <c r="J32" s="1613"/>
      <c r="K32" s="1613"/>
      <c r="L32" s="1618">
        <f t="shared" si="1"/>
        <v>0</v>
      </c>
      <c r="M32" s="1613"/>
      <c r="N32" s="1613"/>
      <c r="O32" s="1613"/>
      <c r="P32" s="1613"/>
      <c r="Q32" s="1624"/>
      <c r="R32" s="1618"/>
      <c r="S32" s="1618"/>
      <c r="T32" s="1625"/>
      <c r="U32" s="1613"/>
      <c r="V32" s="1622"/>
      <c r="W32" s="1613"/>
      <c r="X32" s="1625"/>
      <c r="Y32" s="1625"/>
      <c r="Z32" s="1625"/>
      <c r="AA32" s="1625"/>
      <c r="AB32" s="1625"/>
    </row>
    <row r="33" spans="1:28">
      <c r="A33" s="1616"/>
      <c r="B33" s="1627"/>
      <c r="C33" s="1613"/>
      <c r="D33" s="1613"/>
      <c r="E33" s="1617"/>
      <c r="F33" s="1613"/>
      <c r="G33" s="1613"/>
      <c r="H33" s="1613"/>
      <c r="I33" s="1614"/>
      <c r="J33" s="1613"/>
      <c r="K33" s="1613"/>
      <c r="L33" s="1618">
        <f t="shared" si="1"/>
        <v>0</v>
      </c>
      <c r="M33" s="1613"/>
      <c r="N33" s="1613"/>
      <c r="O33" s="1613"/>
      <c r="P33" s="1613"/>
      <c r="Q33" s="1624"/>
      <c r="R33" s="1618"/>
      <c r="S33" s="1618"/>
      <c r="T33" s="1625"/>
      <c r="U33" s="1613"/>
      <c r="V33" s="1622"/>
      <c r="W33" s="1613"/>
      <c r="X33" s="1625"/>
      <c r="Y33" s="1625"/>
      <c r="Z33" s="1625"/>
      <c r="AA33" s="1625"/>
      <c r="AB33" s="1625"/>
    </row>
    <row r="34" spans="1:28">
      <c r="A34" s="1616"/>
      <c r="B34" s="1627"/>
      <c r="C34" s="1613"/>
      <c r="D34" s="1613"/>
      <c r="E34" s="1617"/>
      <c r="F34" s="1613"/>
      <c r="G34" s="1613"/>
      <c r="H34" s="1613"/>
      <c r="I34" s="1614"/>
      <c r="J34" s="1613"/>
      <c r="K34" s="1613"/>
      <c r="L34" s="1618">
        <f t="shared" si="1"/>
        <v>0</v>
      </c>
      <c r="M34" s="1613"/>
      <c r="N34" s="1613"/>
      <c r="O34" s="1613"/>
      <c r="P34" s="1618"/>
      <c r="Q34" s="1613"/>
      <c r="R34" s="1618"/>
      <c r="S34" s="1618"/>
      <c r="T34" s="1625"/>
      <c r="U34" s="1613"/>
      <c r="V34" s="1611"/>
      <c r="W34" s="1613"/>
      <c r="X34" s="1625"/>
      <c r="Y34" s="1625"/>
      <c r="Z34" s="1625"/>
      <c r="AA34" s="1625"/>
      <c r="AB34" s="1625"/>
    </row>
    <row r="35" spans="1:28">
      <c r="A35" s="1616"/>
      <c r="B35" s="1627"/>
      <c r="C35" s="1613"/>
      <c r="D35" s="1613"/>
      <c r="E35" s="1617"/>
      <c r="F35" s="1613"/>
      <c r="G35" s="1613"/>
      <c r="H35" s="1613"/>
      <c r="I35" s="1614"/>
      <c r="J35" s="1613"/>
      <c r="K35" s="1613"/>
      <c r="L35" s="1618">
        <f t="shared" si="1"/>
        <v>0</v>
      </c>
      <c r="M35" s="1613"/>
      <c r="N35" s="1613"/>
      <c r="O35" s="1613"/>
      <c r="P35" s="1618"/>
      <c r="Q35" s="1613"/>
      <c r="R35" s="1618"/>
      <c r="S35" s="1618"/>
      <c r="T35" s="1625"/>
      <c r="U35" s="1613"/>
      <c r="V35" s="1611"/>
      <c r="W35" s="1613"/>
      <c r="X35" s="1625"/>
      <c r="Y35" s="1625"/>
      <c r="Z35" s="1625"/>
      <c r="AA35" s="1625"/>
      <c r="AB35" s="1625"/>
    </row>
    <row r="36" spans="1:28">
      <c r="A36" s="1616"/>
      <c r="B36" s="1627"/>
      <c r="C36" s="1613"/>
      <c r="D36" s="1613"/>
      <c r="E36" s="1617"/>
      <c r="F36" s="1613"/>
      <c r="G36" s="1613"/>
      <c r="H36" s="1613"/>
      <c r="I36" s="1614"/>
      <c r="J36" s="1613"/>
      <c r="K36" s="1613"/>
      <c r="L36" s="1618">
        <f t="shared" si="1"/>
        <v>0</v>
      </c>
      <c r="M36" s="1613"/>
      <c r="N36" s="1613"/>
      <c r="O36" s="1613"/>
      <c r="P36" s="1618"/>
      <c r="Q36" s="1613"/>
      <c r="R36" s="1618"/>
      <c r="S36" s="1618"/>
      <c r="T36" s="1625"/>
      <c r="U36" s="1613"/>
      <c r="V36" s="1611"/>
      <c r="W36" s="1613"/>
      <c r="X36" s="1625"/>
      <c r="Y36" s="1625"/>
      <c r="Z36" s="1625"/>
      <c r="AA36" s="1625"/>
      <c r="AB36" s="1625"/>
    </row>
    <row r="37" spans="1:28">
      <c r="A37" s="1616"/>
      <c r="B37" s="1627"/>
      <c r="C37" s="1613"/>
      <c r="D37" s="1613"/>
      <c r="E37" s="1617"/>
      <c r="F37" s="1613"/>
      <c r="G37" s="1613"/>
      <c r="H37" s="1613"/>
      <c r="I37" s="1614"/>
      <c r="J37" s="1613"/>
      <c r="K37" s="1613"/>
      <c r="L37" s="1618">
        <f t="shared" si="1"/>
        <v>0</v>
      </c>
      <c r="M37" s="1613"/>
      <c r="N37" s="1613"/>
      <c r="O37" s="1613"/>
      <c r="P37" s="1618"/>
      <c r="Q37" s="1613"/>
      <c r="R37" s="1618"/>
      <c r="S37" s="1618"/>
      <c r="T37" s="1625"/>
      <c r="U37" s="1613"/>
      <c r="V37" s="1617"/>
      <c r="W37" s="1613"/>
      <c r="X37" s="1625"/>
      <c r="Y37" s="1625"/>
      <c r="Z37" s="1625"/>
      <c r="AA37" s="1625"/>
      <c r="AB37" s="1625"/>
    </row>
    <row r="38" spans="1:28">
      <c r="A38" s="1616"/>
      <c r="B38" s="1627"/>
      <c r="C38" s="1613"/>
      <c r="D38" s="1613"/>
      <c r="E38" s="1617"/>
      <c r="F38" s="1613"/>
      <c r="G38" s="1613"/>
      <c r="H38" s="1613"/>
      <c r="I38" s="1614"/>
      <c r="J38" s="1613"/>
      <c r="K38" s="1613"/>
      <c r="L38" s="1618">
        <f t="shared" si="1"/>
        <v>0</v>
      </c>
      <c r="M38" s="1613"/>
      <c r="N38" s="1613"/>
      <c r="O38" s="1613"/>
      <c r="P38" s="1618"/>
      <c r="Q38" s="1613"/>
      <c r="R38" s="1618"/>
      <c r="S38" s="1618"/>
      <c r="T38" s="1625"/>
      <c r="U38" s="1613"/>
      <c r="V38" s="1617"/>
      <c r="W38" s="1613"/>
      <c r="X38" s="1625"/>
      <c r="Y38" s="1625"/>
      <c r="Z38" s="1625"/>
      <c r="AA38" s="1625"/>
      <c r="AB38" s="1625"/>
    </row>
    <row r="39" spans="1:28">
      <c r="A39" s="1616"/>
      <c r="B39" s="1627"/>
      <c r="C39" s="1613"/>
      <c r="D39" s="1613"/>
      <c r="E39" s="1617"/>
      <c r="F39" s="1613"/>
      <c r="G39" s="1613"/>
      <c r="H39" s="1613"/>
      <c r="I39" s="1614"/>
      <c r="J39" s="1613"/>
      <c r="K39" s="1613"/>
      <c r="L39" s="1618">
        <f t="shared" si="1"/>
        <v>0</v>
      </c>
      <c r="M39" s="1613"/>
      <c r="N39" s="1613"/>
      <c r="O39" s="1613"/>
      <c r="P39" s="1618"/>
      <c r="Q39" s="1613"/>
      <c r="R39" s="1618"/>
      <c r="S39" s="1618"/>
      <c r="T39" s="1625"/>
      <c r="U39" s="1613"/>
      <c r="V39" s="1617"/>
      <c r="W39" s="1613"/>
      <c r="X39" s="1625"/>
      <c r="Y39" s="1625"/>
      <c r="Z39" s="1625"/>
      <c r="AA39" s="1625"/>
      <c r="AB39" s="1625"/>
    </row>
    <row r="40" spans="1:28">
      <c r="A40" s="1616"/>
      <c r="B40" s="1627"/>
      <c r="C40" s="1613"/>
      <c r="D40" s="1613"/>
      <c r="E40" s="1617"/>
      <c r="F40" s="1613"/>
      <c r="G40" s="1613"/>
      <c r="H40" s="1613"/>
      <c r="I40" s="1614"/>
      <c r="J40" s="1613"/>
      <c r="K40" s="1613"/>
      <c r="L40" s="1618">
        <f t="shared" si="1"/>
        <v>0</v>
      </c>
      <c r="M40" s="1613"/>
      <c r="N40" s="1613"/>
      <c r="O40" s="1613"/>
      <c r="P40" s="1618"/>
      <c r="Q40" s="1613"/>
      <c r="R40" s="1618"/>
      <c r="S40" s="1618"/>
      <c r="T40" s="1625"/>
      <c r="U40" s="1613"/>
      <c r="V40" s="1617"/>
      <c r="W40" s="1613"/>
      <c r="X40" s="1625"/>
      <c r="Y40" s="1625"/>
      <c r="Z40" s="1625"/>
      <c r="AA40" s="1625"/>
      <c r="AB40" s="1625"/>
    </row>
    <row r="41" spans="1:28">
      <c r="A41" s="1616"/>
      <c r="B41" s="1627"/>
      <c r="C41" s="1613"/>
      <c r="D41" s="1613"/>
      <c r="E41" s="1617"/>
      <c r="F41" s="1613"/>
      <c r="G41" s="1613"/>
      <c r="H41" s="1613"/>
      <c r="I41" s="1614"/>
      <c r="J41" s="1613"/>
      <c r="K41" s="1613"/>
      <c r="L41" s="1618">
        <f t="shared" si="1"/>
        <v>0</v>
      </c>
      <c r="M41" s="1613"/>
      <c r="N41" s="1613"/>
      <c r="O41" s="1613"/>
      <c r="P41" s="1618"/>
      <c r="Q41" s="1613"/>
      <c r="R41" s="1618"/>
      <c r="S41" s="1618"/>
      <c r="T41" s="1625"/>
      <c r="U41" s="1613"/>
      <c r="V41" s="1617"/>
      <c r="W41" s="1613"/>
      <c r="X41" s="1625"/>
      <c r="Y41" s="1625"/>
      <c r="Z41" s="1625"/>
      <c r="AA41" s="1625"/>
      <c r="AB41" s="1625"/>
    </row>
    <row r="42" spans="1:28">
      <c r="A42" s="1616"/>
      <c r="B42" s="1628"/>
      <c r="C42" s="1613"/>
      <c r="D42" s="1613"/>
      <c r="E42" s="1617"/>
      <c r="F42" s="1613"/>
      <c r="G42" s="1613"/>
      <c r="H42" s="1613"/>
      <c r="I42" s="1614"/>
      <c r="J42" s="1613"/>
      <c r="K42" s="1613"/>
      <c r="L42" s="1618">
        <f t="shared" si="1"/>
        <v>0</v>
      </c>
      <c r="M42" s="1613"/>
      <c r="N42" s="1613"/>
      <c r="O42" s="1613"/>
      <c r="P42" s="1618"/>
      <c r="Q42" s="1613"/>
      <c r="R42" s="1618"/>
      <c r="S42" s="1618"/>
      <c r="T42" s="1625"/>
      <c r="U42" s="1613"/>
      <c r="V42" s="1617"/>
      <c r="W42" s="1613"/>
      <c r="X42" s="1625"/>
      <c r="Y42" s="1625"/>
      <c r="Z42" s="1625"/>
      <c r="AA42" s="1625"/>
      <c r="AB42" s="1625"/>
    </row>
    <row r="43" spans="1:28">
      <c r="A43" s="1616"/>
      <c r="B43" s="1627"/>
      <c r="C43" s="1613"/>
      <c r="D43" s="1613"/>
      <c r="E43" s="1617"/>
      <c r="F43" s="1613"/>
      <c r="G43" s="1613"/>
      <c r="H43" s="1613"/>
      <c r="I43" s="1614"/>
      <c r="J43" s="1613"/>
      <c r="K43" s="1613"/>
      <c r="L43" s="1618">
        <f t="shared" si="1"/>
        <v>0</v>
      </c>
      <c r="M43" s="1613"/>
      <c r="N43" s="1613"/>
      <c r="O43" s="1613"/>
      <c r="P43" s="1618"/>
      <c r="Q43" s="1613"/>
      <c r="R43" s="1618"/>
      <c r="S43" s="1618"/>
      <c r="T43" s="1625"/>
      <c r="U43" s="1613"/>
      <c r="V43" s="1617"/>
      <c r="W43" s="1613"/>
      <c r="X43" s="1625"/>
      <c r="Y43" s="1625"/>
      <c r="Z43" s="1625"/>
      <c r="AA43" s="1625"/>
      <c r="AB43" s="1625"/>
    </row>
    <row r="44" spans="1:28">
      <c r="A44" s="1616"/>
      <c r="B44" s="1627"/>
      <c r="C44" s="1613"/>
      <c r="D44" s="1613"/>
      <c r="E44" s="1617"/>
      <c r="F44" s="1613"/>
      <c r="G44" s="1613"/>
      <c r="H44" s="1613"/>
      <c r="I44" s="1614"/>
      <c r="J44" s="1613"/>
      <c r="K44" s="1613"/>
      <c r="L44" s="1618"/>
      <c r="M44" s="1613"/>
      <c r="N44" s="1613"/>
      <c r="O44" s="1613"/>
      <c r="P44" s="1618"/>
      <c r="Q44" s="1613"/>
      <c r="R44" s="1618"/>
      <c r="S44" s="1618"/>
      <c r="T44" s="1625"/>
      <c r="U44" s="1613"/>
      <c r="V44" s="1617"/>
      <c r="W44" s="1613"/>
      <c r="X44" s="1625"/>
      <c r="Y44" s="1625"/>
      <c r="Z44" s="1625"/>
      <c r="AA44" s="1625"/>
      <c r="AB44" s="1625"/>
    </row>
    <row r="45" spans="1:28">
      <c r="A45" s="1616"/>
      <c r="B45" s="1627"/>
      <c r="C45" s="1613"/>
      <c r="D45" s="1613"/>
      <c r="E45" s="1617"/>
      <c r="F45" s="1613"/>
      <c r="G45" s="1613"/>
      <c r="H45" s="1613"/>
      <c r="I45" s="1614"/>
      <c r="J45" s="1613"/>
      <c r="K45" s="1613"/>
      <c r="L45" s="1618"/>
      <c r="M45" s="1613"/>
      <c r="N45" s="1613"/>
      <c r="O45" s="1613"/>
      <c r="P45" s="1618"/>
      <c r="Q45" s="1613"/>
      <c r="R45" s="1618"/>
      <c r="S45" s="1618"/>
      <c r="T45" s="1625"/>
      <c r="U45" s="1613"/>
      <c r="V45" s="1617"/>
      <c r="W45" s="1613"/>
      <c r="X45" s="1625"/>
      <c r="Y45" s="1625"/>
      <c r="Z45" s="1625"/>
      <c r="AA45" s="1625"/>
      <c r="AB45" s="1625"/>
    </row>
    <row r="46" spans="1:28">
      <c r="A46" s="1616"/>
      <c r="B46" s="1628"/>
      <c r="C46" s="1613"/>
      <c r="D46" s="1613"/>
      <c r="E46" s="1617"/>
      <c r="F46" s="1613"/>
      <c r="G46" s="1613"/>
      <c r="H46" s="1613"/>
      <c r="I46" s="1614"/>
      <c r="J46" s="1613"/>
      <c r="K46" s="1613"/>
      <c r="L46" s="1618">
        <f t="shared" ref="L46:L52" si="2">+I46+J46-K46</f>
        <v>0</v>
      </c>
      <c r="M46" s="1613"/>
      <c r="N46" s="1613"/>
      <c r="O46" s="1613"/>
      <c r="P46" s="1618"/>
      <c r="Q46" s="1613"/>
      <c r="R46" s="1618"/>
      <c r="S46" s="1618"/>
      <c r="T46" s="1625"/>
      <c r="U46" s="1613"/>
      <c r="V46" s="1617"/>
      <c r="W46" s="1613"/>
      <c r="X46" s="1625"/>
      <c r="Y46" s="1625"/>
      <c r="Z46" s="1625"/>
      <c r="AA46" s="1625"/>
      <c r="AB46" s="1625"/>
    </row>
    <row r="47" spans="1:28">
      <c r="A47" s="1616"/>
      <c r="B47" s="1627"/>
      <c r="C47" s="1613"/>
      <c r="D47" s="1613"/>
      <c r="E47" s="1617"/>
      <c r="F47" s="1613"/>
      <c r="G47" s="1613"/>
      <c r="H47" s="1613"/>
      <c r="I47" s="1614"/>
      <c r="J47" s="1613"/>
      <c r="K47" s="1613"/>
      <c r="L47" s="1618">
        <f t="shared" si="2"/>
        <v>0</v>
      </c>
      <c r="M47" s="1613"/>
      <c r="N47" s="1613"/>
      <c r="O47" s="1613"/>
      <c r="P47" s="1618"/>
      <c r="Q47" s="1613"/>
      <c r="R47" s="1618"/>
      <c r="S47" s="1618"/>
      <c r="T47" s="1625"/>
      <c r="U47" s="1613"/>
      <c r="V47" s="1617"/>
      <c r="W47" s="1613"/>
      <c r="X47" s="1625"/>
      <c r="Y47" s="1625"/>
      <c r="Z47" s="1625"/>
      <c r="AA47" s="1625"/>
      <c r="AB47" s="1625"/>
    </row>
    <row r="48" spans="1:28" ht="15.75">
      <c r="A48" s="1629"/>
      <c r="B48" s="1609"/>
      <c r="C48" s="1613"/>
      <c r="D48" s="1613"/>
      <c r="E48" s="1622"/>
      <c r="F48" s="1613"/>
      <c r="G48" s="1613"/>
      <c r="H48" s="1613"/>
      <c r="I48" s="1613"/>
      <c r="J48" s="1613"/>
      <c r="K48" s="1613"/>
      <c r="L48" s="1618">
        <f t="shared" si="2"/>
        <v>0</v>
      </c>
      <c r="M48" s="1613"/>
      <c r="N48" s="1613"/>
      <c r="O48" s="1613"/>
      <c r="P48" s="1618"/>
      <c r="Q48" s="1613"/>
      <c r="R48" s="1618"/>
      <c r="S48" s="1618"/>
      <c r="T48" s="1625"/>
      <c r="U48" s="1613"/>
      <c r="V48" s="1622"/>
      <c r="W48" s="1613"/>
      <c r="X48" s="1625"/>
      <c r="Y48" s="1625"/>
      <c r="Z48" s="1625"/>
      <c r="AA48" s="1625"/>
      <c r="AB48" s="1625"/>
    </row>
    <row r="49" spans="1:28">
      <c r="A49" s="1616"/>
      <c r="B49" s="1630"/>
      <c r="C49" s="1613"/>
      <c r="D49" s="1613"/>
      <c r="E49" s="1622"/>
      <c r="F49" s="1613"/>
      <c r="G49" s="1612"/>
      <c r="H49" s="1612"/>
      <c r="I49" s="1612"/>
      <c r="J49" s="1612"/>
      <c r="K49" s="1612"/>
      <c r="L49" s="1618">
        <f t="shared" si="2"/>
        <v>0</v>
      </c>
      <c r="M49" s="1612"/>
      <c r="N49" s="1612"/>
      <c r="O49" s="1612"/>
      <c r="P49" s="1618">
        <f>O49*D49</f>
        <v>0</v>
      </c>
      <c r="Q49" s="1612"/>
      <c r="R49" s="1618">
        <f>Q49*D49</f>
        <v>0</v>
      </c>
      <c r="S49" s="1618">
        <f>+P49-R49</f>
        <v>0</v>
      </c>
      <c r="T49" s="1625"/>
      <c r="U49" s="1613"/>
      <c r="V49" s="1622"/>
      <c r="W49" s="1613"/>
      <c r="X49" s="1625">
        <f>+N49-W49</f>
        <v>0</v>
      </c>
      <c r="Y49" s="1625"/>
      <c r="Z49" s="1625"/>
      <c r="AA49" s="1625"/>
      <c r="AB49" s="1625"/>
    </row>
    <row r="50" spans="1:28">
      <c r="A50" s="1616"/>
      <c r="B50" s="366"/>
      <c r="C50" s="1613"/>
      <c r="D50" s="1613"/>
      <c r="E50" s="1622"/>
      <c r="F50" s="1613"/>
      <c r="G50" s="1612"/>
      <c r="H50" s="1612"/>
      <c r="I50" s="1612"/>
      <c r="J50" s="1612"/>
      <c r="K50" s="1612"/>
      <c r="L50" s="1618">
        <f t="shared" si="2"/>
        <v>0</v>
      </c>
      <c r="M50" s="1612"/>
      <c r="N50" s="1612"/>
      <c r="O50" s="1612"/>
      <c r="P50" s="1618"/>
      <c r="Q50" s="1612"/>
      <c r="R50" s="1618"/>
      <c r="S50" s="1618"/>
      <c r="T50" s="1625"/>
      <c r="U50" s="1613"/>
      <c r="V50" s="1622"/>
      <c r="W50" s="1613"/>
      <c r="X50" s="1625"/>
      <c r="Y50" s="1625"/>
      <c r="Z50" s="1625"/>
      <c r="AA50" s="1625"/>
      <c r="AB50" s="1625"/>
    </row>
    <row r="51" spans="1:28">
      <c r="A51" s="1616"/>
      <c r="B51" s="367"/>
      <c r="C51" s="1542"/>
      <c r="D51" s="1631"/>
      <c r="E51" s="1632"/>
      <c r="F51" s="1542"/>
      <c r="G51" s="1612"/>
      <c r="H51" s="1612"/>
      <c r="I51" s="1612"/>
      <c r="J51" s="1612"/>
      <c r="K51" s="1612"/>
      <c r="L51" s="1618">
        <f t="shared" si="2"/>
        <v>0</v>
      </c>
      <c r="M51" s="1612"/>
      <c r="N51" s="1612"/>
      <c r="O51" s="1612"/>
      <c r="P51" s="1618"/>
      <c r="Q51" s="1612"/>
      <c r="R51" s="1618"/>
      <c r="S51" s="1618"/>
      <c r="T51" s="1625"/>
      <c r="U51" s="1631"/>
      <c r="V51" s="1632"/>
      <c r="W51" s="1542"/>
      <c r="X51" s="1625"/>
      <c r="Y51" s="1625"/>
      <c r="Z51" s="1625"/>
      <c r="AA51" s="1625"/>
      <c r="AB51" s="1625"/>
    </row>
    <row r="52" spans="1:28">
      <c r="A52" s="1616"/>
      <c r="B52" s="168"/>
      <c r="C52" s="1613"/>
      <c r="D52" s="1613"/>
      <c r="E52" s="1622"/>
      <c r="F52" s="1613"/>
      <c r="G52" s="1612"/>
      <c r="H52" s="1612"/>
      <c r="I52" s="1612"/>
      <c r="J52" s="1612"/>
      <c r="K52" s="1612"/>
      <c r="L52" s="1618">
        <f t="shared" si="2"/>
        <v>0</v>
      </c>
      <c r="M52" s="1612"/>
      <c r="N52" s="1612"/>
      <c r="O52" s="1612"/>
      <c r="P52" s="1618"/>
      <c r="Q52" s="1612"/>
      <c r="R52" s="1618"/>
      <c r="S52" s="1618"/>
      <c r="T52" s="1625"/>
      <c r="U52" s="1613"/>
      <c r="V52" s="1622"/>
      <c r="W52" s="1613"/>
      <c r="X52" s="1625"/>
      <c r="Y52" s="1625"/>
      <c r="Z52" s="1625"/>
      <c r="AA52" s="1625"/>
      <c r="AB52" s="1625"/>
    </row>
    <row r="53" spans="1:28">
      <c r="A53" s="1633"/>
      <c r="B53" s="189"/>
      <c r="C53" s="1613"/>
      <c r="D53" s="1613"/>
      <c r="E53" s="1622"/>
      <c r="F53" s="1613"/>
      <c r="G53" s="1612"/>
      <c r="H53" s="1612"/>
      <c r="I53" s="1612"/>
      <c r="J53" s="1612"/>
      <c r="K53" s="1612"/>
      <c r="L53" s="1618"/>
      <c r="M53" s="1612"/>
      <c r="N53" s="1612"/>
      <c r="O53" s="1612"/>
      <c r="P53" s="1618"/>
      <c r="Q53" s="1612"/>
      <c r="R53" s="1618"/>
      <c r="S53" s="1618"/>
      <c r="T53" s="1625"/>
      <c r="U53" s="1613"/>
      <c r="V53" s="1622"/>
      <c r="W53" s="1613"/>
      <c r="X53" s="1625"/>
      <c r="Y53" s="1625"/>
      <c r="Z53" s="1625"/>
      <c r="AA53" s="1625"/>
      <c r="AB53" s="1625"/>
    </row>
    <row r="54" spans="1:28">
      <c r="A54" s="1633"/>
      <c r="B54" s="371"/>
      <c r="C54" s="1613"/>
      <c r="D54" s="1613"/>
      <c r="E54" s="1622"/>
      <c r="F54" s="1613"/>
      <c r="G54" s="1612"/>
      <c r="H54" s="1612"/>
      <c r="I54" s="1612"/>
      <c r="J54" s="1612"/>
      <c r="K54" s="1612"/>
      <c r="L54" s="1618">
        <f>+I54+J54-K54</f>
        <v>0</v>
      </c>
      <c r="M54" s="1612"/>
      <c r="N54" s="1612"/>
      <c r="O54" s="1612"/>
      <c r="P54" s="1618"/>
      <c r="Q54" s="1612"/>
      <c r="R54" s="1618"/>
      <c r="S54" s="1618"/>
      <c r="T54" s="1625"/>
      <c r="U54" s="1613"/>
      <c r="V54" s="1622"/>
      <c r="W54" s="1613"/>
      <c r="X54" s="1625"/>
      <c r="Y54" s="1625"/>
      <c r="Z54" s="1625"/>
      <c r="AA54" s="1625"/>
      <c r="AB54" s="1625"/>
    </row>
    <row r="55" spans="1:28">
      <c r="A55" s="1616"/>
      <c r="B55" s="1634"/>
      <c r="C55" s="1613"/>
      <c r="D55" s="1613"/>
      <c r="E55" s="1622"/>
      <c r="F55" s="1613"/>
      <c r="G55" s="1612"/>
      <c r="H55" s="1612"/>
      <c r="I55" s="1612"/>
      <c r="J55" s="1612"/>
      <c r="K55" s="1612"/>
      <c r="L55" s="1618">
        <f>+I55+J55-K55</f>
        <v>0</v>
      </c>
      <c r="M55" s="1612"/>
      <c r="N55" s="1612"/>
      <c r="O55" s="1612"/>
      <c r="P55" s="1618"/>
      <c r="Q55" s="1612"/>
      <c r="R55" s="1618"/>
      <c r="S55" s="1618"/>
      <c r="T55" s="1625"/>
      <c r="U55" s="1613"/>
      <c r="V55" s="1622"/>
      <c r="W55" s="1613"/>
      <c r="X55" s="1625"/>
      <c r="Y55" s="1625"/>
      <c r="Z55" s="1625"/>
      <c r="AA55" s="1625"/>
      <c r="AB55" s="1625"/>
    </row>
    <row r="56" spans="1:28">
      <c r="A56" s="1616"/>
      <c r="B56" s="1628"/>
      <c r="C56" s="1613">
        <f>D56*E56</f>
        <v>0</v>
      </c>
      <c r="D56" s="1613"/>
      <c r="E56" s="1622"/>
      <c r="F56" s="1613">
        <f>D56*E56</f>
        <v>0</v>
      </c>
      <c r="G56" s="1612"/>
      <c r="H56" s="1612"/>
      <c r="I56" s="1612"/>
      <c r="J56" s="1612"/>
      <c r="K56" s="1612"/>
      <c r="L56" s="1618">
        <f>+I56+J56-K56</f>
        <v>0</v>
      </c>
      <c r="M56" s="1612"/>
      <c r="N56" s="1612"/>
      <c r="O56" s="1612"/>
      <c r="P56" s="1618"/>
      <c r="Q56" s="1612"/>
      <c r="R56" s="1618"/>
      <c r="S56" s="1618"/>
      <c r="T56" s="1625"/>
      <c r="U56" s="1613"/>
      <c r="V56" s="1622"/>
      <c r="W56" s="1613">
        <f>U56*V56</f>
        <v>0</v>
      </c>
      <c r="X56" s="1625"/>
      <c r="Y56" s="1625"/>
      <c r="Z56" s="1625"/>
      <c r="AA56" s="1625"/>
      <c r="AB56" s="1625"/>
    </row>
    <row r="57" spans="1:28">
      <c r="A57" s="1635" t="s">
        <v>97</v>
      </c>
      <c r="B57" s="1636" t="s">
        <v>17</v>
      </c>
      <c r="C57" s="1637">
        <f>SUM(C16:C56)</f>
        <v>4560000</v>
      </c>
      <c r="D57" s="1637"/>
      <c r="E57" s="1638"/>
      <c r="F57" s="1637">
        <f>SUM(F16:F56)</f>
        <v>4560000</v>
      </c>
      <c r="G57" s="1637">
        <f t="shared" ref="G57:N57" si="3">SUM(G15:G56)</f>
        <v>535657</v>
      </c>
      <c r="H57" s="1637">
        <f t="shared" si="3"/>
        <v>0</v>
      </c>
      <c r="I57" s="1637">
        <f t="shared" si="3"/>
        <v>0</v>
      </c>
      <c r="J57" s="1637">
        <f t="shared" si="3"/>
        <v>0</v>
      </c>
      <c r="K57" s="1637">
        <f t="shared" si="3"/>
        <v>400000</v>
      </c>
      <c r="L57" s="1637">
        <f t="shared" si="3"/>
        <v>400000</v>
      </c>
      <c r="M57" s="1637">
        <f t="shared" si="3"/>
        <v>0</v>
      </c>
      <c r="N57" s="1637">
        <f t="shared" si="3"/>
        <v>343409</v>
      </c>
      <c r="O57" s="1637"/>
      <c r="P57" s="1637">
        <f>SUM(P15:P56)</f>
        <v>0</v>
      </c>
      <c r="Q57" s="1637"/>
      <c r="R57" s="1637">
        <f>SUM(R15:R56)</f>
        <v>0</v>
      </c>
      <c r="S57" s="1637">
        <f>SUM(S15:S56)</f>
        <v>0</v>
      </c>
      <c r="T57" s="1639">
        <f>W57-L57</f>
        <v>4160000</v>
      </c>
      <c r="U57" s="1637"/>
      <c r="V57" s="1637"/>
      <c r="W57" s="1637">
        <f>SUM(W16:W56)</f>
        <v>4560000</v>
      </c>
      <c r="X57" s="1637">
        <f>SUM(X15:X56)</f>
        <v>0</v>
      </c>
      <c r="Y57" s="1637">
        <f>SUM(Y15:Y56)</f>
        <v>0</v>
      </c>
      <c r="Z57" s="1637">
        <f>SUM(Z15:Z56)</f>
        <v>0</v>
      </c>
      <c r="AA57" s="1637">
        <f>SUM(AA15:AA56)</f>
        <v>0</v>
      </c>
      <c r="AB57" s="1637">
        <f>SUM(AB15:AB56)</f>
        <v>0</v>
      </c>
    </row>
    <row r="58" spans="1:28">
      <c r="A58" s="1640"/>
      <c r="B58" s="1641"/>
      <c r="F58" s="1642"/>
      <c r="G58" s="1642"/>
      <c r="H58" s="1642"/>
      <c r="I58" s="1642"/>
      <c r="J58" s="1642"/>
      <c r="K58" s="1642"/>
      <c r="L58" s="1642"/>
      <c r="M58" s="1642"/>
      <c r="N58" s="1642"/>
      <c r="P58" s="1642"/>
      <c r="Q58" s="1544"/>
      <c r="R58" s="1544"/>
      <c r="W58" s="1642"/>
    </row>
    <row r="59" spans="1:28">
      <c r="A59" s="1643"/>
      <c r="B59" s="1641"/>
      <c r="F59" s="1642"/>
      <c r="G59" s="1642"/>
      <c r="H59" s="1642"/>
      <c r="I59" s="1642"/>
      <c r="J59" s="1642"/>
      <c r="K59" s="1642"/>
      <c r="L59" s="1642"/>
      <c r="M59" s="1642"/>
      <c r="N59" s="1642"/>
      <c r="P59" s="1642"/>
      <c r="Q59" s="1544"/>
      <c r="R59" s="1544"/>
      <c r="W59" s="1642"/>
    </row>
    <row r="60" spans="1:28">
      <c r="F60" s="1642"/>
      <c r="R60" s="1544"/>
      <c r="W60" s="1642"/>
    </row>
    <row r="61" spans="1:28">
      <c r="F61" s="1642"/>
      <c r="R61" s="1544"/>
      <c r="W61" s="1642"/>
    </row>
    <row r="62" spans="1:28">
      <c r="R62" s="1544"/>
    </row>
    <row r="63" spans="1:28">
      <c r="A63" s="1544" t="s">
        <v>59</v>
      </c>
      <c r="F63" s="1642"/>
      <c r="W63" s="1642"/>
    </row>
    <row r="75" spans="2:2">
      <c r="B75" s="1544" t="s">
        <v>126</v>
      </c>
    </row>
  </sheetData>
  <mergeCells count="6">
    <mergeCell ref="AB8:AB12"/>
    <mergeCell ref="E1:F1"/>
    <mergeCell ref="X8:X12"/>
    <mergeCell ref="Y8:Y12"/>
    <mergeCell ref="Z8:Z12"/>
    <mergeCell ref="AA8:AA12"/>
  </mergeCells>
  <conditionalFormatting sqref="U8:W9 X8:AB12">
    <cfRule type="cellIs" dxfId="54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5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CJ74"/>
  <sheetViews>
    <sheetView showGridLines="0" showZeros="0" topLeftCell="C1" zoomScaleNormal="100" workbookViewId="0">
      <selection activeCell="N17" sqref="N17"/>
    </sheetView>
  </sheetViews>
  <sheetFormatPr baseColWidth="10" defaultRowHeight="12"/>
  <cols>
    <col min="1" max="1" width="10.25" customWidth="1"/>
    <col min="2" max="2" width="35.375" customWidth="1"/>
    <col min="3" max="4" width="11.625" style="792" bestFit="1" customWidth="1"/>
    <col min="5" max="5" width="7.375" style="792" customWidth="1"/>
    <col min="6" max="6" width="11.625" style="792" bestFit="1" customWidth="1"/>
    <col min="7" max="8" width="11" style="792"/>
    <col min="9" max="10" width="11.125" style="792" bestFit="1" customWidth="1"/>
    <col min="11" max="11" width="11" style="792"/>
    <col min="12" max="12" width="11.125" style="792" bestFit="1" customWidth="1"/>
    <col min="13" max="14" width="11" style="792"/>
    <col min="15" max="15" width="6.5" style="792" customWidth="1"/>
    <col min="16" max="16" width="11" style="792"/>
    <col min="17" max="17" width="5.875" style="792" customWidth="1"/>
    <col min="18" max="18" width="11" style="792"/>
    <col min="19" max="19" width="11" style="792" customWidth="1"/>
    <col min="20" max="20" width="11.125" style="792" bestFit="1" customWidth="1"/>
    <col min="21" max="21" width="9.875" style="792" customWidth="1"/>
    <col min="22" max="22" width="11.125" style="792" bestFit="1" customWidth="1"/>
    <col min="23" max="23" width="11.625" style="792" bestFit="1" customWidth="1"/>
    <col min="24" max="27" width="11" style="792"/>
    <col min="28" max="28" width="11.625" style="792" bestFit="1" customWidth="1"/>
    <col min="29" max="30" width="11" style="792"/>
    <col min="31" max="32" width="11.125" style="792" bestFit="1" customWidth="1"/>
    <col min="33" max="34" width="11" style="792"/>
  </cols>
  <sheetData>
    <row r="1" spans="1:88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8" s="12" customFormat="1" ht="12.75">
      <c r="A2" s="13" t="s">
        <v>65</v>
      </c>
      <c r="B2" s="9" t="s">
        <v>420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212"/>
      <c r="AF2" s="212"/>
      <c r="AG2" s="788"/>
      <c r="AH2" s="788"/>
      <c r="AI2" s="11"/>
    </row>
    <row r="3" spans="1:88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1"/>
    </row>
    <row r="4" spans="1:88" s="12" customFormat="1" ht="12.75">
      <c r="A4" s="13" t="s">
        <v>73</v>
      </c>
      <c r="B4" s="14" t="s">
        <v>421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212"/>
      <c r="AF4" s="212"/>
      <c r="AG4" s="788"/>
      <c r="AH4" s="788"/>
      <c r="AI4" s="11"/>
    </row>
    <row r="5" spans="1:88" s="12" customFormat="1" ht="12.75">
      <c r="A5" s="13" t="s">
        <v>74</v>
      </c>
      <c r="B5" s="450">
        <v>201400007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212"/>
      <c r="AF5" s="212"/>
      <c r="AG5" s="788"/>
      <c r="AH5" s="788"/>
      <c r="AI5" s="11"/>
    </row>
    <row r="6" spans="1:88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212"/>
      <c r="AF6" s="212"/>
      <c r="AG6" s="788"/>
      <c r="AH6" s="788"/>
      <c r="AI6" s="11"/>
    </row>
    <row r="7" spans="1:88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E7" s="212"/>
      <c r="AF7" s="212"/>
      <c r="AG7" s="212"/>
      <c r="AH7" s="212"/>
      <c r="AI7" s="212"/>
      <c r="AJ7" s="212"/>
      <c r="AO7" s="212"/>
      <c r="AP7" s="212"/>
      <c r="AQ7" s="212"/>
      <c r="AR7" s="212"/>
      <c r="AS7" s="212"/>
      <c r="AT7" s="212"/>
      <c r="AU7" s="212"/>
      <c r="AV7" s="212"/>
      <c r="AW7" s="212"/>
      <c r="AX7" s="1"/>
      <c r="AY7" s="212"/>
      <c r="AZ7" s="212"/>
      <c r="BA7" s="212"/>
      <c r="BB7" s="212"/>
      <c r="BC7" s="212"/>
      <c r="BD7" s="1"/>
      <c r="BE7" s="212"/>
      <c r="BF7" s="212"/>
      <c r="BG7" s="212"/>
      <c r="BH7" s="212"/>
      <c r="BI7" s="212"/>
      <c r="BJ7" s="1"/>
      <c r="BK7" s="212"/>
      <c r="BL7" s="212"/>
      <c r="BM7" s="212"/>
      <c r="BN7" s="212"/>
      <c r="BO7" s="212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</row>
    <row r="8" spans="1:88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396" t="s">
        <v>64</v>
      </c>
      <c r="AC8" s="788"/>
      <c r="AD8" s="788"/>
      <c r="AE8" s="2413" t="s">
        <v>67</v>
      </c>
      <c r="AF8" s="2416" t="s">
        <v>68</v>
      </c>
      <c r="AG8" s="788"/>
      <c r="AH8" s="788"/>
      <c r="AI8" s="11"/>
    </row>
    <row r="9" spans="1:88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418"/>
      <c r="Y9" s="2418"/>
      <c r="Z9" s="2418"/>
      <c r="AA9" s="2418"/>
      <c r="AB9" s="2397"/>
      <c r="AC9" s="788"/>
      <c r="AD9" s="788"/>
      <c r="AE9" s="2414"/>
      <c r="AF9" s="2414"/>
      <c r="AG9" s="788"/>
      <c r="AH9" s="788"/>
      <c r="AI9" s="11"/>
    </row>
    <row r="10" spans="1:88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397"/>
      <c r="AC10" s="788"/>
      <c r="AD10" s="788"/>
      <c r="AE10" s="2414"/>
      <c r="AF10" s="2414" t="s">
        <v>68</v>
      </c>
      <c r="AG10" s="788"/>
      <c r="AH10" s="788"/>
      <c r="AI10" s="11"/>
    </row>
    <row r="11" spans="1:88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397"/>
      <c r="AC11" s="788"/>
      <c r="AD11" s="788"/>
      <c r="AE11" s="2414"/>
      <c r="AF11" s="2414"/>
      <c r="AG11" s="788"/>
      <c r="AH11" s="788"/>
      <c r="AI11" s="11"/>
    </row>
    <row r="12" spans="1:88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418"/>
      <c r="Y12" s="2418"/>
      <c r="Z12" s="2418"/>
      <c r="AA12" s="2418"/>
      <c r="AB12" s="2397"/>
      <c r="AC12" s="788"/>
      <c r="AD12" s="788"/>
      <c r="AE12" s="2415"/>
      <c r="AF12" s="2415"/>
      <c r="AG12" s="788"/>
      <c r="AH12" s="788"/>
      <c r="AI12" s="11"/>
    </row>
    <row r="13" spans="1:88" s="12" customFormat="1" ht="12.75" customHeight="1">
      <c r="A13" s="805"/>
      <c r="B13" s="805" t="s">
        <v>35</v>
      </c>
      <c r="C13" s="1339" t="s">
        <v>36</v>
      </c>
      <c r="D13" s="1339"/>
      <c r="E13" s="1339"/>
      <c r="F13" s="1340" t="s">
        <v>37</v>
      </c>
      <c r="G13" s="1340" t="s">
        <v>38</v>
      </c>
      <c r="H13" s="1340" t="s">
        <v>39</v>
      </c>
      <c r="I13" s="1340" t="s">
        <v>40</v>
      </c>
      <c r="J13" s="1340" t="s">
        <v>41</v>
      </c>
      <c r="K13" s="1340" t="s">
        <v>42</v>
      </c>
      <c r="L13" s="1340" t="s">
        <v>43</v>
      </c>
      <c r="M13" s="1340" t="s">
        <v>44</v>
      </c>
      <c r="N13" s="1340" t="s">
        <v>45</v>
      </c>
      <c r="O13" s="1339"/>
      <c r="P13" s="1340" t="s">
        <v>37</v>
      </c>
      <c r="Q13" s="1339" t="s">
        <v>46</v>
      </c>
      <c r="R13" s="1339"/>
      <c r="S13" s="1341" t="s">
        <v>47</v>
      </c>
      <c r="T13" s="1342" t="s">
        <v>48</v>
      </c>
      <c r="U13" s="1339"/>
      <c r="V13" s="1339"/>
      <c r="W13" s="1340" t="s">
        <v>37</v>
      </c>
      <c r="X13" s="289"/>
      <c r="Y13" s="289"/>
      <c r="Z13" s="289"/>
      <c r="AA13" s="289"/>
      <c r="AB13" s="289"/>
      <c r="AC13" s="788"/>
      <c r="AD13" s="788"/>
      <c r="AE13" s="1750"/>
      <c r="AF13" s="1750"/>
      <c r="AG13" s="788"/>
      <c r="AH13" s="788"/>
      <c r="AI13" s="11"/>
    </row>
    <row r="14" spans="1:88" s="12" customFormat="1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>
        <f t="shared" ref="T14:T56" si="0">W14-L14</f>
        <v>0</v>
      </c>
      <c r="U14" s="1739"/>
      <c r="V14" s="1739"/>
      <c r="W14" s="1739"/>
      <c r="X14" s="1739"/>
      <c r="Y14" s="1739"/>
      <c r="Z14" s="1739"/>
      <c r="AA14" s="1739"/>
      <c r="AB14" s="464"/>
      <c r="AC14" s="788"/>
      <c r="AD14" s="788"/>
      <c r="AE14" s="1703"/>
      <c r="AF14" s="1703"/>
      <c r="AG14" s="788"/>
      <c r="AH14" s="788"/>
      <c r="AI14" s="11"/>
    </row>
    <row r="15" spans="1:88" s="12" customFormat="1" ht="12.75">
      <c r="A15" s="881">
        <v>1</v>
      </c>
      <c r="B15" s="811" t="s">
        <v>422</v>
      </c>
      <c r="C15" s="1751"/>
      <c r="D15" s="1751"/>
      <c r="E15" s="1752"/>
      <c r="F15" s="886"/>
      <c r="G15" s="886"/>
      <c r="H15" s="886"/>
      <c r="I15" s="886"/>
      <c r="J15" s="886"/>
      <c r="K15" s="886"/>
      <c r="L15" s="886"/>
      <c r="M15" s="886"/>
      <c r="N15" s="886"/>
      <c r="O15" s="1752"/>
      <c r="P15" s="886">
        <v>0</v>
      </c>
      <c r="Q15" s="1751"/>
      <c r="R15" s="1751">
        <v>0</v>
      </c>
      <c r="S15" s="1751">
        <f>P15-R15</f>
        <v>0</v>
      </c>
      <c r="T15" s="1751">
        <f t="shared" si="0"/>
        <v>0</v>
      </c>
      <c r="U15" s="1751"/>
      <c r="V15" s="1752"/>
      <c r="W15" s="886"/>
      <c r="X15" s="886"/>
      <c r="Y15" s="886"/>
      <c r="Z15" s="886">
        <v>0</v>
      </c>
      <c r="AA15" s="1751">
        <v>0</v>
      </c>
      <c r="AB15" s="824"/>
      <c r="AC15" s="1768"/>
      <c r="AD15" s="1768"/>
      <c r="AE15" s="1781"/>
      <c r="AF15" s="1781"/>
      <c r="AG15" s="788"/>
      <c r="AH15" s="788"/>
      <c r="AI15" s="11"/>
    </row>
    <row r="16" spans="1:88" s="12" customFormat="1" ht="12.75">
      <c r="A16" s="881"/>
      <c r="B16" s="816" t="s">
        <v>123</v>
      </c>
      <c r="C16" s="502">
        <f>1.2*2200000</f>
        <v>2640000</v>
      </c>
      <c r="D16" s="502">
        <f>1.2*500000</f>
        <v>600000</v>
      </c>
      <c r="E16" s="511">
        <v>1</v>
      </c>
      <c r="F16" s="500">
        <f>D16*E16</f>
        <v>600000</v>
      </c>
      <c r="G16" s="103">
        <f>6800.4*11.2</f>
        <v>76164.479999999996</v>
      </c>
      <c r="H16" s="103" t="s">
        <v>772</v>
      </c>
      <c r="I16" s="797">
        <f>+W16</f>
        <v>600000</v>
      </c>
      <c r="J16" s="500"/>
      <c r="K16" s="500"/>
      <c r="L16" s="500">
        <f>I16-J16+K16</f>
        <v>600000</v>
      </c>
      <c r="M16" s="500"/>
      <c r="N16" s="500">
        <f>0.5*G16</f>
        <v>38082.239999999998</v>
      </c>
      <c r="O16" s="2329"/>
      <c r="P16" s="2330">
        <v>540000</v>
      </c>
      <c r="Q16" s="2330"/>
      <c r="R16" s="2342"/>
      <c r="S16" s="2342">
        <f>+P16-R16</f>
        <v>540000</v>
      </c>
      <c r="T16" s="502">
        <f t="shared" si="0"/>
        <v>0</v>
      </c>
      <c r="U16" s="502">
        <f>+F16</f>
        <v>600000</v>
      </c>
      <c r="V16" s="511">
        <v>1</v>
      </c>
      <c r="W16" s="500">
        <f>U16*V16</f>
        <v>600000</v>
      </c>
      <c r="X16" s="500">
        <v>240000</v>
      </c>
      <c r="Y16" s="500"/>
      <c r="Z16" s="500"/>
      <c r="AA16" s="502">
        <v>0</v>
      </c>
      <c r="AB16" s="890">
        <f>+W16</f>
        <v>600000</v>
      </c>
      <c r="AC16" s="1791"/>
      <c r="AD16" s="1791"/>
      <c r="AE16" s="1918">
        <v>1</v>
      </c>
      <c r="AF16" s="1918">
        <f t="shared" ref="AF16:AF22" si="1">AE16*F16</f>
        <v>600000</v>
      </c>
      <c r="AG16" s="788"/>
      <c r="AH16" s="788"/>
      <c r="AI16" s="11"/>
    </row>
    <row r="17" spans="1:35" s="12" customFormat="1">
      <c r="A17" s="815"/>
      <c r="B17" s="814"/>
      <c r="C17" s="1795"/>
      <c r="D17" s="502"/>
      <c r="E17" s="511"/>
      <c r="F17" s="500"/>
      <c r="G17" s="500"/>
      <c r="H17" s="500"/>
      <c r="I17" s="797"/>
      <c r="J17" s="500"/>
      <c r="K17" s="500"/>
      <c r="L17" s="500"/>
      <c r="M17" s="500"/>
      <c r="N17" s="500"/>
      <c r="O17" s="511"/>
      <c r="P17" s="500"/>
      <c r="Q17" s="500"/>
      <c r="R17" s="502"/>
      <c r="S17" s="502"/>
      <c r="T17" s="502">
        <f t="shared" si="0"/>
        <v>0</v>
      </c>
      <c r="U17" s="502">
        <f t="shared" ref="U17:U26" si="2">+F17</f>
        <v>0</v>
      </c>
      <c r="V17" s="511"/>
      <c r="W17" s="500"/>
      <c r="X17" s="500"/>
      <c r="Y17" s="500"/>
      <c r="Z17" s="500"/>
      <c r="AA17" s="502">
        <v>0</v>
      </c>
      <c r="AB17" s="890">
        <f t="shared" ref="AB17:AB26" si="3">+W17</f>
        <v>0</v>
      </c>
      <c r="AC17" s="1791"/>
      <c r="AD17" s="1791"/>
      <c r="AE17" s="1918"/>
      <c r="AF17" s="1918">
        <f t="shared" si="1"/>
        <v>0</v>
      </c>
      <c r="AG17" s="788"/>
      <c r="AH17" s="788"/>
      <c r="AI17" s="11"/>
    </row>
    <row r="18" spans="1:35" s="12" customFormat="1">
      <c r="A18" s="815">
        <v>2</v>
      </c>
      <c r="B18" s="814" t="s">
        <v>423</v>
      </c>
      <c r="C18" s="1795"/>
      <c r="D18" s="502"/>
      <c r="E18" s="511"/>
      <c r="F18" s="500"/>
      <c r="G18" s="500"/>
      <c r="H18" s="500"/>
      <c r="I18" s="797"/>
      <c r="J18" s="500"/>
      <c r="K18" s="500"/>
      <c r="L18" s="500"/>
      <c r="M18" s="500"/>
      <c r="N18" s="500"/>
      <c r="O18" s="511"/>
      <c r="P18" s="500"/>
      <c r="Q18" s="500"/>
      <c r="R18" s="502"/>
      <c r="S18" s="502"/>
      <c r="T18" s="502">
        <f t="shared" si="0"/>
        <v>0</v>
      </c>
      <c r="U18" s="502">
        <f t="shared" si="2"/>
        <v>0</v>
      </c>
      <c r="V18" s="511"/>
      <c r="W18" s="500"/>
      <c r="X18" s="500"/>
      <c r="Y18" s="500"/>
      <c r="Z18" s="500"/>
      <c r="AA18" s="502"/>
      <c r="AB18" s="890">
        <f t="shared" si="3"/>
        <v>0</v>
      </c>
      <c r="AC18" s="1791"/>
      <c r="AD18" s="1791"/>
      <c r="AE18" s="1918"/>
      <c r="AF18" s="1918">
        <f t="shared" si="1"/>
        <v>0</v>
      </c>
      <c r="AG18" s="788"/>
      <c r="AH18" s="788"/>
      <c r="AI18" s="11"/>
    </row>
    <row r="19" spans="1:35" s="12" customFormat="1" ht="12.75">
      <c r="A19" s="815"/>
      <c r="B19" s="816" t="s">
        <v>123</v>
      </c>
      <c r="C19" s="502">
        <f>1.2*1300000</f>
        <v>1560000</v>
      </c>
      <c r="D19" s="502">
        <f>1.2*700000</f>
        <v>840000</v>
      </c>
      <c r="E19" s="511">
        <v>1</v>
      </c>
      <c r="F19" s="500">
        <f>D19*E19</f>
        <v>840000</v>
      </c>
      <c r="G19" s="500"/>
      <c r="H19" s="500"/>
      <c r="I19" s="797"/>
      <c r="J19" s="500"/>
      <c r="K19" s="500">
        <f>0.2*W19</f>
        <v>168000</v>
      </c>
      <c r="L19" s="500"/>
      <c r="M19" s="500"/>
      <c r="N19" s="500"/>
      <c r="O19" s="511"/>
      <c r="P19" s="500"/>
      <c r="Q19" s="500"/>
      <c r="R19" s="502"/>
      <c r="S19" s="502"/>
      <c r="T19" s="502">
        <f t="shared" si="0"/>
        <v>840000</v>
      </c>
      <c r="U19" s="502">
        <f t="shared" si="2"/>
        <v>840000</v>
      </c>
      <c r="V19" s="511">
        <v>1</v>
      </c>
      <c r="W19" s="500">
        <f>U19*V19</f>
        <v>840000</v>
      </c>
      <c r="X19" s="500"/>
      <c r="Y19" s="500"/>
      <c r="Z19" s="500"/>
      <c r="AA19" s="502"/>
      <c r="AB19" s="890">
        <f t="shared" si="3"/>
        <v>840000</v>
      </c>
      <c r="AC19" s="1791"/>
      <c r="AD19" s="1791"/>
      <c r="AE19" s="1918"/>
      <c r="AF19" s="1918">
        <f t="shared" si="1"/>
        <v>0</v>
      </c>
      <c r="AG19" s="788"/>
      <c r="AH19" s="788"/>
      <c r="AI19" s="11"/>
    </row>
    <row r="20" spans="1:35" s="12" customFormat="1">
      <c r="A20" s="815"/>
      <c r="B20" s="817"/>
      <c r="C20" s="1795"/>
      <c r="D20" s="502"/>
      <c r="E20" s="511"/>
      <c r="F20" s="500"/>
      <c r="G20" s="797"/>
      <c r="H20" s="797"/>
      <c r="I20" s="797"/>
      <c r="J20" s="797"/>
      <c r="K20" s="797"/>
      <c r="L20" s="500"/>
      <c r="M20" s="797"/>
      <c r="N20" s="797"/>
      <c r="O20" s="511"/>
      <c r="P20" s="500"/>
      <c r="Q20" s="797"/>
      <c r="R20" s="797"/>
      <c r="S20" s="502"/>
      <c r="T20" s="502">
        <f t="shared" si="0"/>
        <v>0</v>
      </c>
      <c r="U20" s="502">
        <f t="shared" si="2"/>
        <v>0</v>
      </c>
      <c r="V20" s="511"/>
      <c r="W20" s="500"/>
      <c r="X20" s="500"/>
      <c r="Y20" s="797"/>
      <c r="Z20" s="500"/>
      <c r="AA20" s="797">
        <v>0</v>
      </c>
      <c r="AB20" s="890">
        <f t="shared" si="3"/>
        <v>0</v>
      </c>
      <c r="AC20" s="1791"/>
      <c r="AD20" s="1791"/>
      <c r="AE20" s="1918"/>
      <c r="AF20" s="1918">
        <f t="shared" si="1"/>
        <v>0</v>
      </c>
      <c r="AG20" s="788"/>
      <c r="AH20" s="788"/>
      <c r="AI20" s="11"/>
    </row>
    <row r="21" spans="1:35" s="12" customFormat="1" ht="12.75" customHeight="1">
      <c r="A21" s="815">
        <v>3</v>
      </c>
      <c r="B21" s="814" t="s">
        <v>350</v>
      </c>
      <c r="C21" s="1795"/>
      <c r="D21" s="502"/>
      <c r="E21" s="511"/>
      <c r="F21" s="500"/>
      <c r="G21" s="797"/>
      <c r="H21" s="797"/>
      <c r="I21" s="797"/>
      <c r="J21" s="797"/>
      <c r="K21" s="797"/>
      <c r="L21" s="500"/>
      <c r="M21" s="797"/>
      <c r="N21" s="797"/>
      <c r="O21" s="511"/>
      <c r="P21" s="500"/>
      <c r="Q21" s="797"/>
      <c r="R21" s="797"/>
      <c r="S21" s="502"/>
      <c r="T21" s="502">
        <f t="shared" si="0"/>
        <v>0</v>
      </c>
      <c r="U21" s="502">
        <f t="shared" si="2"/>
        <v>0</v>
      </c>
      <c r="V21" s="511"/>
      <c r="W21" s="500"/>
      <c r="X21" s="500"/>
      <c r="Y21" s="797"/>
      <c r="Z21" s="500"/>
      <c r="AA21" s="797">
        <v>0</v>
      </c>
      <c r="AB21" s="890">
        <f t="shared" si="3"/>
        <v>0</v>
      </c>
      <c r="AC21" s="1791"/>
      <c r="AD21" s="1791"/>
      <c r="AE21" s="1918"/>
      <c r="AF21" s="1918">
        <f t="shared" si="1"/>
        <v>0</v>
      </c>
      <c r="AG21" s="788"/>
      <c r="AH21" s="788"/>
      <c r="AI21" s="11"/>
    </row>
    <row r="22" spans="1:35" s="12" customFormat="1" ht="12.75">
      <c r="A22" s="815"/>
      <c r="B22" s="816" t="s">
        <v>123</v>
      </c>
      <c r="C22" s="502">
        <f>1.2*2300000</f>
        <v>2760000</v>
      </c>
      <c r="D22" s="502">
        <f>1.2*1700000</f>
        <v>2040000</v>
      </c>
      <c r="E22" s="511">
        <v>1</v>
      </c>
      <c r="F22" s="500">
        <f>D22*E22</f>
        <v>2040000</v>
      </c>
      <c r="G22" s="797"/>
      <c r="H22" s="797"/>
      <c r="I22" s="797"/>
      <c r="J22" s="797"/>
      <c r="K22" s="797"/>
      <c r="L22" s="500">
        <f>I22-J22+K22</f>
        <v>0</v>
      </c>
      <c r="M22" s="797"/>
      <c r="N22" s="797"/>
      <c r="O22" s="511"/>
      <c r="P22" s="500"/>
      <c r="Q22" s="797"/>
      <c r="R22" s="797"/>
      <c r="S22" s="502"/>
      <c r="T22" s="502">
        <f t="shared" si="0"/>
        <v>2040000</v>
      </c>
      <c r="U22" s="502">
        <f t="shared" si="2"/>
        <v>2040000</v>
      </c>
      <c r="V22" s="511">
        <v>1</v>
      </c>
      <c r="W22" s="500">
        <f>U22*V22</f>
        <v>2040000</v>
      </c>
      <c r="X22" s="500"/>
      <c r="Y22" s="797"/>
      <c r="Z22" s="500"/>
      <c r="AA22" s="797"/>
      <c r="AB22" s="890">
        <f t="shared" si="3"/>
        <v>2040000</v>
      </c>
      <c r="AC22" s="1791"/>
      <c r="AD22" s="1791"/>
      <c r="AE22" s="1918">
        <v>1</v>
      </c>
      <c r="AF22" s="1918">
        <f t="shared" si="1"/>
        <v>2040000</v>
      </c>
      <c r="AG22" s="788"/>
      <c r="AH22" s="788"/>
      <c r="AI22" s="11"/>
    </row>
    <row r="23" spans="1:35" s="12" customFormat="1" ht="12.75">
      <c r="A23" s="815"/>
      <c r="B23" s="887"/>
      <c r="C23" s="1795"/>
      <c r="D23" s="502"/>
      <c r="E23" s="511"/>
      <c r="F23" s="500"/>
      <c r="G23" s="797"/>
      <c r="H23" s="797"/>
      <c r="I23" s="797"/>
      <c r="J23" s="797"/>
      <c r="K23" s="797"/>
      <c r="L23" s="500"/>
      <c r="M23" s="797"/>
      <c r="N23" s="797"/>
      <c r="O23" s="797"/>
      <c r="P23" s="500"/>
      <c r="Q23" s="797"/>
      <c r="R23" s="797"/>
      <c r="S23" s="502"/>
      <c r="T23" s="502">
        <f t="shared" si="0"/>
        <v>0</v>
      </c>
      <c r="U23" s="502">
        <f t="shared" si="2"/>
        <v>0</v>
      </c>
      <c r="V23" s="511"/>
      <c r="W23" s="500"/>
      <c r="X23" s="500"/>
      <c r="Y23" s="797"/>
      <c r="Z23" s="797">
        <v>0</v>
      </c>
      <c r="AA23" s="797"/>
      <c r="AB23" s="890">
        <f t="shared" si="3"/>
        <v>0</v>
      </c>
      <c r="AC23" s="1791"/>
      <c r="AD23" s="1791"/>
      <c r="AE23" s="1918"/>
      <c r="AF23" s="1918"/>
      <c r="AG23" s="788"/>
      <c r="AH23" s="788"/>
      <c r="AI23" s="11"/>
    </row>
    <row r="24" spans="1:35" s="12" customFormat="1" ht="12.75">
      <c r="A24" s="815">
        <v>4</v>
      </c>
      <c r="B24" s="811" t="s">
        <v>424</v>
      </c>
      <c r="C24" s="502"/>
      <c r="D24" s="502"/>
      <c r="E24" s="511"/>
      <c r="F24" s="500">
        <f>D24*E24</f>
        <v>0</v>
      </c>
      <c r="G24" s="797"/>
      <c r="H24" s="797"/>
      <c r="I24" s="797"/>
      <c r="J24" s="797"/>
      <c r="K24" s="797"/>
      <c r="L24" s="500"/>
      <c r="M24" s="797"/>
      <c r="N24" s="797"/>
      <c r="O24" s="797"/>
      <c r="P24" s="797"/>
      <c r="Q24" s="797"/>
      <c r="R24" s="797"/>
      <c r="S24" s="797"/>
      <c r="T24" s="502">
        <f t="shared" si="0"/>
        <v>0</v>
      </c>
      <c r="U24" s="502">
        <f t="shared" si="2"/>
        <v>0</v>
      </c>
      <c r="V24" s="511"/>
      <c r="W24" s="500"/>
      <c r="X24" s="500"/>
      <c r="Y24" s="797"/>
      <c r="Z24" s="797"/>
      <c r="AA24" s="797"/>
      <c r="AB24" s="890">
        <f t="shared" si="3"/>
        <v>0</v>
      </c>
      <c r="AC24" s="1791"/>
      <c r="AD24" s="1791"/>
      <c r="AE24" s="1918"/>
      <c r="AF24" s="1918">
        <f>AE24*F24</f>
        <v>0</v>
      </c>
      <c r="AG24" s="788"/>
      <c r="AH24" s="788"/>
      <c r="AI24" s="11"/>
    </row>
    <row r="25" spans="1:35" s="12" customFormat="1" ht="12.75">
      <c r="A25" s="815"/>
      <c r="B25" s="887"/>
      <c r="C25" s="502"/>
      <c r="D25" s="502"/>
      <c r="E25" s="511"/>
      <c r="F25" s="500">
        <f>D25*E25</f>
        <v>0</v>
      </c>
      <c r="G25" s="797"/>
      <c r="H25" s="797"/>
      <c r="I25" s="797"/>
      <c r="J25" s="797"/>
      <c r="K25" s="797"/>
      <c r="L25" s="500"/>
      <c r="M25" s="797"/>
      <c r="N25" s="797"/>
      <c r="O25" s="797"/>
      <c r="P25" s="797"/>
      <c r="Q25" s="797"/>
      <c r="R25" s="797"/>
      <c r="S25" s="797"/>
      <c r="T25" s="502">
        <f t="shared" si="0"/>
        <v>0</v>
      </c>
      <c r="U25" s="502">
        <f t="shared" si="2"/>
        <v>0</v>
      </c>
      <c r="V25" s="511"/>
      <c r="W25" s="500">
        <f t="shared" ref="W25:W30" si="4">U25*V25</f>
        <v>0</v>
      </c>
      <c r="X25" s="500"/>
      <c r="Y25" s="797"/>
      <c r="Z25" s="797"/>
      <c r="AA25" s="797"/>
      <c r="AB25" s="890">
        <f t="shared" si="3"/>
        <v>0</v>
      </c>
      <c r="AC25" s="1791"/>
      <c r="AD25" s="1791"/>
      <c r="AE25" s="1918"/>
      <c r="AF25" s="1918"/>
      <c r="AG25" s="788"/>
      <c r="AH25" s="788"/>
      <c r="AI25" s="11"/>
    </row>
    <row r="26" spans="1:35" s="12" customFormat="1" ht="12.75">
      <c r="A26" s="815"/>
      <c r="B26" s="816" t="s">
        <v>123</v>
      </c>
      <c r="C26" s="502">
        <f>1.2*1500000</f>
        <v>1800000</v>
      </c>
      <c r="D26" s="502">
        <f>1.2*600000</f>
        <v>720000</v>
      </c>
      <c r="E26" s="511">
        <v>1</v>
      </c>
      <c r="F26" s="500">
        <f>D26*E26</f>
        <v>720000</v>
      </c>
      <c r="G26" s="797"/>
      <c r="H26" s="797"/>
      <c r="I26" s="797"/>
      <c r="J26" s="797"/>
      <c r="K26" s="797"/>
      <c r="L26" s="500"/>
      <c r="M26" s="797"/>
      <c r="N26" s="797"/>
      <c r="O26" s="797"/>
      <c r="P26" s="797"/>
      <c r="Q26" s="797"/>
      <c r="R26" s="797"/>
      <c r="S26" s="797"/>
      <c r="T26" s="502">
        <f t="shared" si="0"/>
        <v>720000</v>
      </c>
      <c r="U26" s="502">
        <f t="shared" si="2"/>
        <v>720000</v>
      </c>
      <c r="V26" s="511">
        <v>1</v>
      </c>
      <c r="W26" s="500">
        <f t="shared" si="4"/>
        <v>720000</v>
      </c>
      <c r="X26" s="500"/>
      <c r="Y26" s="797"/>
      <c r="Z26" s="797"/>
      <c r="AA26" s="797"/>
      <c r="AB26" s="890">
        <f t="shared" si="3"/>
        <v>720000</v>
      </c>
      <c r="AC26" s="1791"/>
      <c r="AD26" s="1791"/>
      <c r="AE26" s="1918"/>
      <c r="AF26" s="1918"/>
      <c r="AG26" s="788"/>
      <c r="AH26" s="788"/>
      <c r="AI26" s="11"/>
    </row>
    <row r="27" spans="1:35" s="12" customFormat="1" ht="12.75">
      <c r="A27" s="815"/>
      <c r="B27" s="811"/>
      <c r="C27" s="502"/>
      <c r="D27" s="797"/>
      <c r="E27" s="511"/>
      <c r="F27" s="500"/>
      <c r="G27" s="797"/>
      <c r="H27" s="797"/>
      <c r="I27" s="797"/>
      <c r="J27" s="797"/>
      <c r="K27" s="797"/>
      <c r="L27" s="500"/>
      <c r="M27" s="797"/>
      <c r="N27" s="797"/>
      <c r="O27" s="797"/>
      <c r="P27" s="797"/>
      <c r="Q27" s="797"/>
      <c r="R27" s="797"/>
      <c r="S27" s="797"/>
      <c r="T27" s="502">
        <f t="shared" si="0"/>
        <v>0</v>
      </c>
      <c r="U27" s="797"/>
      <c r="V27" s="511"/>
      <c r="W27" s="500">
        <f t="shared" si="4"/>
        <v>0</v>
      </c>
      <c r="X27" s="500"/>
      <c r="Y27" s="797"/>
      <c r="Z27" s="797"/>
      <c r="AA27" s="797"/>
      <c r="AB27" s="891"/>
      <c r="AC27" s="1791"/>
      <c r="AD27" s="1791"/>
      <c r="AE27" s="1918"/>
      <c r="AF27" s="1918">
        <f>AE27*F27</f>
        <v>0</v>
      </c>
      <c r="AG27" s="788"/>
      <c r="AH27" s="788"/>
      <c r="AI27" s="11"/>
    </row>
    <row r="28" spans="1:35" s="12" customFormat="1" ht="12.75">
      <c r="A28" s="815"/>
      <c r="B28" s="811"/>
      <c r="C28" s="502"/>
      <c r="D28" s="797"/>
      <c r="E28" s="511"/>
      <c r="F28" s="500"/>
      <c r="G28" s="797"/>
      <c r="H28" s="797"/>
      <c r="I28" s="797"/>
      <c r="J28" s="797"/>
      <c r="K28" s="797"/>
      <c r="L28" s="500"/>
      <c r="M28" s="797"/>
      <c r="N28" s="797"/>
      <c r="O28" s="797"/>
      <c r="P28" s="797"/>
      <c r="Q28" s="797"/>
      <c r="R28" s="797"/>
      <c r="S28" s="797"/>
      <c r="T28" s="502">
        <f t="shared" si="0"/>
        <v>0</v>
      </c>
      <c r="U28" s="797"/>
      <c r="V28" s="511"/>
      <c r="W28" s="500">
        <f t="shared" si="4"/>
        <v>0</v>
      </c>
      <c r="X28" s="500"/>
      <c r="Y28" s="797"/>
      <c r="Z28" s="797"/>
      <c r="AA28" s="797"/>
      <c r="AB28" s="891"/>
      <c r="AC28" s="1791"/>
      <c r="AD28" s="1791"/>
      <c r="AE28" s="1918"/>
      <c r="AF28" s="1918"/>
      <c r="AG28" s="788"/>
      <c r="AH28" s="788"/>
      <c r="AI28" s="11"/>
    </row>
    <row r="29" spans="1:35" s="12" customFormat="1" ht="12.75">
      <c r="A29" s="815"/>
      <c r="B29" s="811"/>
      <c r="C29" s="502"/>
      <c r="D29" s="797"/>
      <c r="E29" s="511"/>
      <c r="F29" s="500"/>
      <c r="G29" s="797"/>
      <c r="H29" s="797"/>
      <c r="I29" s="797"/>
      <c r="J29" s="797"/>
      <c r="K29" s="797"/>
      <c r="L29" s="500"/>
      <c r="M29" s="797"/>
      <c r="N29" s="797"/>
      <c r="O29" s="797"/>
      <c r="P29" s="797"/>
      <c r="Q29" s="797"/>
      <c r="R29" s="797"/>
      <c r="S29" s="797"/>
      <c r="T29" s="502">
        <f t="shared" si="0"/>
        <v>0</v>
      </c>
      <c r="U29" s="797"/>
      <c r="V29" s="511"/>
      <c r="W29" s="500">
        <f t="shared" si="4"/>
        <v>0</v>
      </c>
      <c r="X29" s="500"/>
      <c r="Y29" s="797"/>
      <c r="Z29" s="797"/>
      <c r="AA29" s="797"/>
      <c r="AB29" s="891"/>
      <c r="AC29" s="1791"/>
      <c r="AD29" s="1791"/>
      <c r="AE29" s="1918"/>
      <c r="AF29" s="1918"/>
      <c r="AG29" s="788"/>
      <c r="AH29" s="788"/>
      <c r="AI29" s="11"/>
    </row>
    <row r="30" spans="1:35" s="12" customFormat="1" ht="12.75">
      <c r="A30" s="815"/>
      <c r="B30" s="811"/>
      <c r="C30" s="502"/>
      <c r="D30" s="797"/>
      <c r="E30" s="511"/>
      <c r="F30" s="500"/>
      <c r="G30" s="797"/>
      <c r="H30" s="797"/>
      <c r="I30" s="797"/>
      <c r="J30" s="797"/>
      <c r="K30" s="797"/>
      <c r="L30" s="500"/>
      <c r="M30" s="797"/>
      <c r="N30" s="797"/>
      <c r="O30" s="797"/>
      <c r="P30" s="797"/>
      <c r="Q30" s="797"/>
      <c r="R30" s="797"/>
      <c r="S30" s="797"/>
      <c r="T30" s="502">
        <f t="shared" si="0"/>
        <v>0</v>
      </c>
      <c r="U30" s="797"/>
      <c r="V30" s="511"/>
      <c r="W30" s="500">
        <f t="shared" si="4"/>
        <v>0</v>
      </c>
      <c r="X30" s="500"/>
      <c r="Y30" s="797"/>
      <c r="Z30" s="797"/>
      <c r="AA30" s="797"/>
      <c r="AB30" s="891"/>
      <c r="AC30" s="1791"/>
      <c r="AD30" s="1791"/>
      <c r="AE30" s="1918"/>
      <c r="AF30" s="1918"/>
      <c r="AG30" s="788"/>
      <c r="AH30" s="788"/>
      <c r="AI30" s="11"/>
    </row>
    <row r="31" spans="1:35" s="12" customFormat="1" ht="12.75">
      <c r="A31" s="815"/>
      <c r="B31" s="811"/>
      <c r="C31" s="502"/>
      <c r="D31" s="797"/>
      <c r="E31" s="511"/>
      <c r="F31" s="500"/>
      <c r="G31" s="797"/>
      <c r="H31" s="797"/>
      <c r="I31" s="797"/>
      <c r="J31" s="797"/>
      <c r="K31" s="797"/>
      <c r="L31" s="500"/>
      <c r="M31" s="797"/>
      <c r="N31" s="797"/>
      <c r="O31" s="797"/>
      <c r="P31" s="797"/>
      <c r="Q31" s="797"/>
      <c r="R31" s="797"/>
      <c r="S31" s="797"/>
      <c r="T31" s="502">
        <f t="shared" si="0"/>
        <v>0</v>
      </c>
      <c r="U31" s="797"/>
      <c r="V31" s="511"/>
      <c r="W31" s="500"/>
      <c r="X31" s="500"/>
      <c r="Y31" s="797"/>
      <c r="Z31" s="797"/>
      <c r="AA31" s="797"/>
      <c r="AB31" s="891"/>
      <c r="AC31" s="1791"/>
      <c r="AD31" s="1791"/>
      <c r="AE31" s="1918"/>
      <c r="AF31" s="1918"/>
      <c r="AG31" s="788"/>
      <c r="AH31" s="788"/>
      <c r="AI31" s="11"/>
    </row>
    <row r="32" spans="1:35" s="12" customFormat="1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502">
        <f t="shared" si="0"/>
        <v>0</v>
      </c>
      <c r="U32" s="797"/>
      <c r="V32" s="511"/>
      <c r="W32" s="500"/>
      <c r="X32" s="500"/>
      <c r="Y32" s="797"/>
      <c r="Z32" s="797"/>
      <c r="AA32" s="797"/>
      <c r="AB32" s="889"/>
      <c r="AC32" s="1791"/>
      <c r="AD32" s="1791"/>
      <c r="AE32" s="1918"/>
      <c r="AF32" s="1918"/>
      <c r="AG32" s="788"/>
      <c r="AH32" s="788"/>
      <c r="AI32" s="11"/>
    </row>
    <row r="33" spans="1:35" s="12" customFormat="1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502">
        <f t="shared" si="0"/>
        <v>0</v>
      </c>
      <c r="U33" s="797"/>
      <c r="V33" s="511"/>
      <c r="W33" s="500"/>
      <c r="X33" s="500"/>
      <c r="Y33" s="797"/>
      <c r="Z33" s="797"/>
      <c r="AA33" s="797"/>
      <c r="AB33" s="889"/>
      <c r="AC33" s="1791"/>
      <c r="AD33" s="1791"/>
      <c r="AE33" s="1918"/>
      <c r="AF33" s="1918"/>
      <c r="AG33" s="788"/>
      <c r="AH33" s="788"/>
      <c r="AI33" s="11"/>
    </row>
    <row r="34" spans="1:35" s="12" customFormat="1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502">
        <f t="shared" si="0"/>
        <v>0</v>
      </c>
      <c r="U34" s="797"/>
      <c r="V34" s="511"/>
      <c r="W34" s="500"/>
      <c r="X34" s="500"/>
      <c r="Y34" s="797"/>
      <c r="Z34" s="797"/>
      <c r="AA34" s="797"/>
      <c r="AB34" s="891"/>
      <c r="AC34" s="1791"/>
      <c r="AD34" s="1791"/>
      <c r="AE34" s="1918"/>
      <c r="AF34" s="1918"/>
      <c r="AG34" s="788"/>
      <c r="AH34" s="788"/>
      <c r="AI34" s="11"/>
    </row>
    <row r="35" spans="1:35" s="12" customFormat="1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502">
        <f t="shared" si="0"/>
        <v>0</v>
      </c>
      <c r="U35" s="797"/>
      <c r="V35" s="511"/>
      <c r="W35" s="500"/>
      <c r="X35" s="500"/>
      <c r="Y35" s="797"/>
      <c r="Z35" s="797"/>
      <c r="AA35" s="797"/>
      <c r="AB35" s="891"/>
      <c r="AC35" s="1791"/>
      <c r="AD35" s="1791"/>
      <c r="AE35" s="1918"/>
      <c r="AF35" s="1918"/>
      <c r="AG35" s="788"/>
      <c r="AH35" s="788"/>
      <c r="AI35" s="11"/>
    </row>
    <row r="36" spans="1:35" s="12" customFormat="1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502">
        <f t="shared" si="0"/>
        <v>0</v>
      </c>
      <c r="U36" s="797"/>
      <c r="V36" s="511"/>
      <c r="W36" s="500"/>
      <c r="X36" s="500"/>
      <c r="Y36" s="797"/>
      <c r="Z36" s="797"/>
      <c r="AA36" s="797"/>
      <c r="AB36" s="891"/>
      <c r="AC36" s="1791"/>
      <c r="AD36" s="1791"/>
      <c r="AE36" s="1918"/>
      <c r="AF36" s="1918"/>
      <c r="AG36" s="788"/>
      <c r="AH36" s="788"/>
      <c r="AI36" s="11"/>
    </row>
    <row r="37" spans="1:35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797"/>
      <c r="T37" s="502">
        <f t="shared" si="0"/>
        <v>0</v>
      </c>
      <c r="U37" s="797"/>
      <c r="V37" s="511"/>
      <c r="W37" s="500"/>
      <c r="X37" s="500"/>
      <c r="Y37" s="797"/>
      <c r="Z37" s="797"/>
      <c r="AA37" s="797"/>
      <c r="AB37" s="891"/>
      <c r="AC37" s="1791"/>
      <c r="AD37" s="1791"/>
      <c r="AE37" s="1918"/>
      <c r="AF37" s="1918"/>
      <c r="AG37" s="788"/>
      <c r="AH37" s="788"/>
      <c r="AI37" s="11"/>
    </row>
    <row r="38" spans="1:35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502">
        <f t="shared" si="0"/>
        <v>0</v>
      </c>
      <c r="U38" s="797"/>
      <c r="V38" s="511"/>
      <c r="W38" s="500"/>
      <c r="X38" s="500"/>
      <c r="Y38" s="797"/>
      <c r="Z38" s="797"/>
      <c r="AA38" s="797"/>
      <c r="AB38" s="891"/>
      <c r="AC38" s="1791"/>
      <c r="AD38" s="1791"/>
      <c r="AE38" s="1918"/>
      <c r="AF38" s="1918"/>
      <c r="AG38" s="788"/>
      <c r="AH38" s="788"/>
      <c r="AI38" s="11"/>
    </row>
    <row r="39" spans="1:35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502">
        <f t="shared" si="0"/>
        <v>0</v>
      </c>
      <c r="U39" s="797"/>
      <c r="V39" s="511"/>
      <c r="W39" s="500"/>
      <c r="X39" s="500"/>
      <c r="Y39" s="797"/>
      <c r="Z39" s="797"/>
      <c r="AA39" s="797"/>
      <c r="AB39" s="891"/>
      <c r="AC39" s="1791"/>
      <c r="AD39" s="1791"/>
      <c r="AE39" s="1918"/>
      <c r="AF39" s="1918"/>
      <c r="AG39" s="788"/>
      <c r="AH39" s="788"/>
      <c r="AI39" s="11"/>
    </row>
    <row r="40" spans="1:35" s="12" customFormat="1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502">
        <f t="shared" si="0"/>
        <v>0</v>
      </c>
      <c r="U40" s="797"/>
      <c r="V40" s="511"/>
      <c r="W40" s="500"/>
      <c r="X40" s="500"/>
      <c r="Y40" s="797"/>
      <c r="Z40" s="797"/>
      <c r="AA40" s="797"/>
      <c r="AB40" s="891"/>
      <c r="AC40" s="1791"/>
      <c r="AD40" s="1791"/>
      <c r="AE40" s="1918"/>
      <c r="AF40" s="1918"/>
      <c r="AG40" s="788"/>
      <c r="AH40" s="788"/>
      <c r="AI40" s="11"/>
    </row>
    <row r="41" spans="1:35" s="12" customFormat="1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502">
        <f t="shared" si="0"/>
        <v>0</v>
      </c>
      <c r="U41" s="797"/>
      <c r="V41" s="511"/>
      <c r="W41" s="500"/>
      <c r="X41" s="500"/>
      <c r="Y41" s="797"/>
      <c r="Z41" s="797"/>
      <c r="AA41" s="797"/>
      <c r="AB41" s="891"/>
      <c r="AC41" s="1791"/>
      <c r="AD41" s="1791"/>
      <c r="AE41" s="1918"/>
      <c r="AF41" s="1918"/>
      <c r="AG41" s="788"/>
      <c r="AH41" s="788"/>
      <c r="AI41" s="11"/>
    </row>
    <row r="42" spans="1:35" s="12" customFormat="1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502">
        <f t="shared" si="0"/>
        <v>0</v>
      </c>
      <c r="U42" s="797"/>
      <c r="V42" s="511"/>
      <c r="W42" s="500"/>
      <c r="X42" s="500"/>
      <c r="Y42" s="797"/>
      <c r="Z42" s="797"/>
      <c r="AA42" s="797"/>
      <c r="AB42" s="891"/>
      <c r="AC42" s="1791"/>
      <c r="AD42" s="1791"/>
      <c r="AE42" s="1918"/>
      <c r="AF42" s="1918"/>
      <c r="AG42" s="788"/>
      <c r="AH42" s="788"/>
      <c r="AI42" s="11"/>
    </row>
    <row r="43" spans="1:35" s="12" customFormat="1" ht="12.75">
      <c r="A43" s="815"/>
      <c r="B43" s="811"/>
      <c r="C43" s="797"/>
      <c r="D43" s="797"/>
      <c r="E43" s="511"/>
      <c r="F43" s="500"/>
      <c r="G43" s="797"/>
      <c r="H43" s="797"/>
      <c r="I43" s="797"/>
      <c r="J43" s="797"/>
      <c r="K43" s="797"/>
      <c r="L43" s="500"/>
      <c r="M43" s="797"/>
      <c r="N43" s="797"/>
      <c r="O43" s="797"/>
      <c r="P43" s="797"/>
      <c r="Q43" s="797"/>
      <c r="R43" s="797"/>
      <c r="S43" s="797"/>
      <c r="T43" s="502">
        <f t="shared" si="0"/>
        <v>0</v>
      </c>
      <c r="U43" s="797"/>
      <c r="V43" s="511"/>
      <c r="W43" s="500"/>
      <c r="X43" s="500"/>
      <c r="Y43" s="797"/>
      <c r="Z43" s="797"/>
      <c r="AA43" s="797"/>
      <c r="AB43" s="891"/>
      <c r="AC43" s="1791"/>
      <c r="AD43" s="1791"/>
      <c r="AE43" s="1918"/>
      <c r="AF43" s="1918"/>
      <c r="AG43" s="788"/>
      <c r="AH43" s="788"/>
      <c r="AI43" s="11"/>
    </row>
    <row r="44" spans="1:35" s="12" customFormat="1" ht="12.75">
      <c r="A44" s="815"/>
      <c r="B44" s="811"/>
      <c r="C44" s="797"/>
      <c r="D44" s="797"/>
      <c r="E44" s="511"/>
      <c r="F44" s="500"/>
      <c r="G44" s="797"/>
      <c r="H44" s="797"/>
      <c r="I44" s="797"/>
      <c r="J44" s="797"/>
      <c r="K44" s="797"/>
      <c r="L44" s="500"/>
      <c r="M44" s="797"/>
      <c r="N44" s="797"/>
      <c r="O44" s="797"/>
      <c r="P44" s="797"/>
      <c r="Q44" s="797"/>
      <c r="R44" s="797"/>
      <c r="S44" s="797"/>
      <c r="T44" s="502">
        <f t="shared" si="0"/>
        <v>0</v>
      </c>
      <c r="U44" s="797"/>
      <c r="V44" s="511"/>
      <c r="W44" s="500"/>
      <c r="X44" s="500"/>
      <c r="Y44" s="797"/>
      <c r="Z44" s="797"/>
      <c r="AA44" s="797"/>
      <c r="AB44" s="891"/>
      <c r="AC44" s="1791"/>
      <c r="AD44" s="1791"/>
      <c r="AE44" s="1918"/>
      <c r="AF44" s="1918"/>
      <c r="AG44" s="788"/>
      <c r="AH44" s="788"/>
      <c r="AI44" s="11"/>
    </row>
    <row r="45" spans="1:35" s="12" customFormat="1" ht="12.75">
      <c r="A45" s="815"/>
      <c r="B45" s="811"/>
      <c r="C45" s="797"/>
      <c r="D45" s="797"/>
      <c r="E45" s="511"/>
      <c r="F45" s="500"/>
      <c r="G45" s="797"/>
      <c r="H45" s="797"/>
      <c r="I45" s="797"/>
      <c r="J45" s="797"/>
      <c r="K45" s="797"/>
      <c r="L45" s="500"/>
      <c r="M45" s="797"/>
      <c r="N45" s="797"/>
      <c r="O45" s="797"/>
      <c r="P45" s="797"/>
      <c r="Q45" s="797"/>
      <c r="R45" s="797"/>
      <c r="S45" s="797"/>
      <c r="T45" s="502">
        <f t="shared" si="0"/>
        <v>0</v>
      </c>
      <c r="U45" s="797"/>
      <c r="V45" s="511"/>
      <c r="W45" s="500"/>
      <c r="X45" s="500"/>
      <c r="Y45" s="797"/>
      <c r="Z45" s="797"/>
      <c r="AA45" s="797"/>
      <c r="AB45" s="891"/>
      <c r="AC45" s="1791"/>
      <c r="AD45" s="1791"/>
      <c r="AE45" s="1918"/>
      <c r="AF45" s="1918"/>
      <c r="AG45" s="788"/>
      <c r="AH45" s="788"/>
      <c r="AI45" s="11"/>
    </row>
    <row r="46" spans="1:35" s="12" customFormat="1" ht="12.75">
      <c r="A46" s="815"/>
      <c r="B46" s="811"/>
      <c r="C46" s="797"/>
      <c r="D46" s="797"/>
      <c r="E46" s="511"/>
      <c r="F46" s="500"/>
      <c r="G46" s="797"/>
      <c r="H46" s="797"/>
      <c r="I46" s="797"/>
      <c r="J46" s="797"/>
      <c r="K46" s="797"/>
      <c r="L46" s="500"/>
      <c r="M46" s="797"/>
      <c r="N46" s="797"/>
      <c r="O46" s="797"/>
      <c r="P46" s="797"/>
      <c r="Q46" s="797"/>
      <c r="R46" s="797"/>
      <c r="S46" s="797"/>
      <c r="T46" s="502">
        <f t="shared" si="0"/>
        <v>0</v>
      </c>
      <c r="U46" s="797"/>
      <c r="V46" s="511"/>
      <c r="W46" s="500"/>
      <c r="X46" s="500"/>
      <c r="Y46" s="797"/>
      <c r="Z46" s="797"/>
      <c r="AA46" s="797"/>
      <c r="AB46" s="891"/>
      <c r="AC46" s="1791"/>
      <c r="AD46" s="1791"/>
      <c r="AE46" s="1918"/>
      <c r="AF46" s="1918"/>
      <c r="AG46" s="788"/>
      <c r="AH46" s="788"/>
      <c r="AI46" s="11"/>
    </row>
    <row r="47" spans="1:35" s="12" customFormat="1">
      <c r="A47" s="815"/>
      <c r="B47" s="814"/>
      <c r="C47" s="797"/>
      <c r="D47" s="797"/>
      <c r="E47" s="511"/>
      <c r="F47" s="797"/>
      <c r="G47" s="797"/>
      <c r="H47" s="797"/>
      <c r="I47" s="797"/>
      <c r="J47" s="797"/>
      <c r="K47" s="797"/>
      <c r="L47" s="797"/>
      <c r="M47" s="797"/>
      <c r="N47" s="797"/>
      <c r="O47" s="797"/>
      <c r="P47" s="797">
        <v>0</v>
      </c>
      <c r="Q47" s="797"/>
      <c r="R47" s="797">
        <v>0</v>
      </c>
      <c r="S47" s="797">
        <f>R47-P47</f>
        <v>0</v>
      </c>
      <c r="T47" s="502">
        <f t="shared" si="0"/>
        <v>0</v>
      </c>
      <c r="U47" s="797"/>
      <c r="V47" s="511"/>
      <c r="W47" s="797"/>
      <c r="X47" s="797"/>
      <c r="Y47" s="797"/>
      <c r="Z47" s="797">
        <v>0</v>
      </c>
      <c r="AA47" s="797">
        <v>0</v>
      </c>
      <c r="AB47" s="891"/>
      <c r="AC47" s="1791"/>
      <c r="AD47" s="1791"/>
      <c r="AE47" s="1918"/>
      <c r="AF47" s="1918"/>
      <c r="AG47" s="788"/>
      <c r="AH47" s="788"/>
      <c r="AI47" s="11"/>
    </row>
    <row r="48" spans="1:35" s="12" customFormat="1">
      <c r="A48" s="815"/>
      <c r="B48" s="814"/>
      <c r="C48" s="797"/>
      <c r="D48" s="797"/>
      <c r="E48" s="511"/>
      <c r="F48" s="797"/>
      <c r="G48" s="797"/>
      <c r="H48" s="797"/>
      <c r="I48" s="797"/>
      <c r="J48" s="797"/>
      <c r="K48" s="797"/>
      <c r="L48" s="797"/>
      <c r="M48" s="797"/>
      <c r="N48" s="797"/>
      <c r="O48" s="797"/>
      <c r="P48" s="797">
        <v>0</v>
      </c>
      <c r="Q48" s="797"/>
      <c r="R48" s="797">
        <v>0</v>
      </c>
      <c r="S48" s="797">
        <f>R48-P48</f>
        <v>0</v>
      </c>
      <c r="T48" s="502">
        <f t="shared" si="0"/>
        <v>0</v>
      </c>
      <c r="U48" s="797"/>
      <c r="V48" s="511"/>
      <c r="W48" s="797"/>
      <c r="X48" s="797"/>
      <c r="Y48" s="797"/>
      <c r="Z48" s="797">
        <v>0</v>
      </c>
      <c r="AA48" s="797">
        <v>0</v>
      </c>
      <c r="AB48" s="891"/>
      <c r="AC48" s="1791"/>
      <c r="AD48" s="1791"/>
      <c r="AE48" s="1918"/>
      <c r="AF48" s="1918"/>
      <c r="AG48" s="788"/>
      <c r="AH48" s="788"/>
      <c r="AI48" s="11"/>
    </row>
    <row r="49" spans="1:35" s="12" customFormat="1">
      <c r="A49" s="821"/>
      <c r="B49" s="817"/>
      <c r="C49" s="797"/>
      <c r="D49" s="797"/>
      <c r="E49" s="511"/>
      <c r="F49" s="797"/>
      <c r="G49" s="797"/>
      <c r="H49" s="797"/>
      <c r="I49" s="797"/>
      <c r="J49" s="797"/>
      <c r="K49" s="797"/>
      <c r="L49" s="797"/>
      <c r="M49" s="797"/>
      <c r="N49" s="797"/>
      <c r="O49" s="797"/>
      <c r="P49" s="797"/>
      <c r="Q49" s="797"/>
      <c r="R49" s="797"/>
      <c r="S49" s="797"/>
      <c r="T49" s="502">
        <f t="shared" si="0"/>
        <v>0</v>
      </c>
      <c r="U49" s="797"/>
      <c r="V49" s="511"/>
      <c r="W49" s="797"/>
      <c r="X49" s="797"/>
      <c r="Y49" s="797"/>
      <c r="Z49" s="797"/>
      <c r="AA49" s="797"/>
      <c r="AB49" s="891"/>
      <c r="AC49" s="1791"/>
      <c r="AD49" s="1791"/>
      <c r="AE49" s="1918"/>
      <c r="AF49" s="1918"/>
      <c r="AG49" s="788"/>
      <c r="AH49" s="788"/>
      <c r="AI49" s="11"/>
    </row>
    <row r="50" spans="1:35" s="12" customFormat="1">
      <c r="A50" s="815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797"/>
      <c r="M50" s="797"/>
      <c r="N50" s="797"/>
      <c r="O50" s="797"/>
      <c r="P50" s="797"/>
      <c r="Q50" s="797"/>
      <c r="R50" s="797"/>
      <c r="S50" s="797"/>
      <c r="T50" s="502">
        <f t="shared" si="0"/>
        <v>0</v>
      </c>
      <c r="U50" s="797"/>
      <c r="V50" s="511"/>
      <c r="W50" s="797"/>
      <c r="X50" s="797"/>
      <c r="Y50" s="797"/>
      <c r="Z50" s="797"/>
      <c r="AA50" s="797"/>
      <c r="AB50" s="891"/>
      <c r="AC50" s="1791"/>
      <c r="AD50" s="1791"/>
      <c r="AE50" s="1918"/>
      <c r="AF50" s="1918"/>
      <c r="AG50" s="788"/>
      <c r="AH50" s="788"/>
      <c r="AI50" s="11"/>
    </row>
    <row r="51" spans="1:35" s="12" customFormat="1">
      <c r="A51" s="821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/>
      <c r="T51" s="502">
        <f t="shared" si="0"/>
        <v>0</v>
      </c>
      <c r="U51" s="797"/>
      <c r="V51" s="511"/>
      <c r="W51" s="797"/>
      <c r="X51" s="797"/>
      <c r="Y51" s="797"/>
      <c r="Z51" s="797"/>
      <c r="AA51" s="797"/>
      <c r="AB51" s="891"/>
      <c r="AC51" s="1791"/>
      <c r="AD51" s="1791"/>
      <c r="AE51" s="1918"/>
      <c r="AF51" s="1918"/>
      <c r="AG51" s="788"/>
      <c r="AH51" s="788"/>
      <c r="AI51" s="11"/>
    </row>
    <row r="52" spans="1:35" s="12" customFormat="1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/>
      <c r="T52" s="502">
        <f t="shared" si="0"/>
        <v>0</v>
      </c>
      <c r="U52" s="797"/>
      <c r="V52" s="797"/>
      <c r="W52" s="797"/>
      <c r="X52" s="797"/>
      <c r="Y52" s="797"/>
      <c r="Z52" s="797"/>
      <c r="AA52" s="797"/>
      <c r="AB52" s="891"/>
      <c r="AC52" s="1791"/>
      <c r="AD52" s="1791"/>
      <c r="AE52" s="1918"/>
      <c r="AF52" s="1918"/>
      <c r="AG52" s="788"/>
      <c r="AH52" s="788"/>
      <c r="AI52" s="11"/>
    </row>
    <row r="53" spans="1:35" s="12" customFormat="1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797"/>
      <c r="M53" s="797"/>
      <c r="N53" s="797"/>
      <c r="O53" s="797"/>
      <c r="P53" s="797"/>
      <c r="Q53" s="797"/>
      <c r="R53" s="797"/>
      <c r="S53" s="797"/>
      <c r="T53" s="502">
        <f t="shared" si="0"/>
        <v>0</v>
      </c>
      <c r="U53" s="797"/>
      <c r="V53" s="511"/>
      <c r="W53" s="797"/>
      <c r="X53" s="797"/>
      <c r="Y53" s="797"/>
      <c r="Z53" s="797"/>
      <c r="AA53" s="797"/>
      <c r="AB53" s="891"/>
      <c r="AC53" s="1791"/>
      <c r="AD53" s="1791"/>
      <c r="AE53" s="1918"/>
      <c r="AF53" s="1918"/>
      <c r="AG53" s="788"/>
      <c r="AH53" s="788"/>
      <c r="AI53" s="11"/>
    </row>
    <row r="54" spans="1:35" s="12" customFormat="1">
      <c r="A54" s="815"/>
      <c r="B54" s="814"/>
      <c r="C54" s="797"/>
      <c r="D54" s="500"/>
      <c r="E54" s="511"/>
      <c r="F54" s="797"/>
      <c r="G54" s="500"/>
      <c r="H54" s="500"/>
      <c r="I54" s="500"/>
      <c r="J54" s="500"/>
      <c r="K54" s="500"/>
      <c r="L54" s="500"/>
      <c r="M54" s="500"/>
      <c r="N54" s="500"/>
      <c r="O54" s="500"/>
      <c r="P54" s="797"/>
      <c r="Q54" s="500"/>
      <c r="R54" s="797"/>
      <c r="S54" s="797"/>
      <c r="T54" s="502">
        <f t="shared" si="0"/>
        <v>0</v>
      </c>
      <c r="U54" s="500"/>
      <c r="V54" s="511"/>
      <c r="W54" s="797"/>
      <c r="X54" s="500"/>
      <c r="Y54" s="500"/>
      <c r="Z54" s="797"/>
      <c r="AA54" s="797"/>
      <c r="AB54" s="891"/>
      <c r="AC54" s="1791"/>
      <c r="AD54" s="1791"/>
      <c r="AE54" s="1918"/>
      <c r="AF54" s="1918"/>
      <c r="AG54" s="788"/>
      <c r="AH54" s="788"/>
      <c r="AI54" s="11"/>
    </row>
    <row r="55" spans="1:35" s="12" customFormat="1">
      <c r="A55" s="821"/>
      <c r="B55" s="822"/>
      <c r="C55" s="797"/>
      <c r="D55" s="500"/>
      <c r="E55" s="500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797"/>
      <c r="Q55" s="500"/>
      <c r="R55" s="797"/>
      <c r="S55" s="797"/>
      <c r="T55" s="502">
        <f t="shared" si="0"/>
        <v>0</v>
      </c>
      <c r="U55" s="500"/>
      <c r="V55" s="500"/>
      <c r="W55" s="797"/>
      <c r="X55" s="500"/>
      <c r="Y55" s="500"/>
      <c r="Z55" s="797"/>
      <c r="AA55" s="797"/>
      <c r="AB55" s="891"/>
      <c r="AC55" s="1791"/>
      <c r="AD55" s="1791"/>
      <c r="AE55" s="1918"/>
      <c r="AF55" s="1918"/>
      <c r="AG55" s="788"/>
      <c r="AH55" s="788"/>
      <c r="AI55" s="11"/>
    </row>
    <row r="56" spans="1:35" s="12" customFormat="1" ht="12.75">
      <c r="A56" s="39"/>
      <c r="B56" s="40"/>
      <c r="C56" s="797"/>
      <c r="D56" s="500"/>
      <c r="E56" s="500"/>
      <c r="F56" s="797"/>
      <c r="G56" s="500"/>
      <c r="H56" s="500"/>
      <c r="I56" s="500"/>
      <c r="J56" s="500"/>
      <c r="K56" s="500"/>
      <c r="L56" s="500">
        <f>I56-J56+K56</f>
        <v>0</v>
      </c>
      <c r="M56" s="500"/>
      <c r="N56" s="500"/>
      <c r="O56" s="500"/>
      <c r="P56" s="500">
        <v>0</v>
      </c>
      <c r="Q56" s="500"/>
      <c r="R56" s="502">
        <v>0</v>
      </c>
      <c r="S56" s="502"/>
      <c r="T56" s="502">
        <f t="shared" si="0"/>
        <v>0</v>
      </c>
      <c r="U56" s="500"/>
      <c r="V56" s="500"/>
      <c r="W56" s="797"/>
      <c r="X56" s="500">
        <v>0</v>
      </c>
      <c r="Y56" s="500">
        <v>0</v>
      </c>
      <c r="Z56" s="500">
        <v>0</v>
      </c>
      <c r="AA56" s="502">
        <v>0</v>
      </c>
      <c r="AB56" s="891"/>
      <c r="AC56" s="1791"/>
      <c r="AD56" s="1791"/>
      <c r="AE56" s="1918"/>
      <c r="AF56" s="1918"/>
      <c r="AG56" s="788"/>
      <c r="AH56" s="788"/>
      <c r="AI56" s="11"/>
    </row>
    <row r="57" spans="1:35" s="12" customFormat="1" ht="12.75">
      <c r="A57" s="41"/>
      <c r="B57" s="42" t="s">
        <v>17</v>
      </c>
      <c r="C57" s="892">
        <f t="shared" ref="C57:Z57" si="5">SUM(C15:C56)</f>
        <v>8760000</v>
      </c>
      <c r="D57" s="892">
        <f t="shared" si="5"/>
        <v>4200000</v>
      </c>
      <c r="E57" s="892">
        <f t="shared" si="5"/>
        <v>4</v>
      </c>
      <c r="F57" s="892">
        <f t="shared" si="5"/>
        <v>4200000</v>
      </c>
      <c r="G57" s="892">
        <f t="shared" si="5"/>
        <v>76164.479999999996</v>
      </c>
      <c r="H57" s="892">
        <f t="shared" si="5"/>
        <v>0</v>
      </c>
      <c r="I57" s="892">
        <f t="shared" si="5"/>
        <v>600000</v>
      </c>
      <c r="J57" s="892">
        <f t="shared" si="5"/>
        <v>0</v>
      </c>
      <c r="K57" s="892">
        <f t="shared" si="5"/>
        <v>168000</v>
      </c>
      <c r="L57" s="892">
        <f t="shared" si="5"/>
        <v>600000</v>
      </c>
      <c r="M57" s="892">
        <f t="shared" si="5"/>
        <v>0</v>
      </c>
      <c r="N57" s="892">
        <f t="shared" si="5"/>
        <v>38082.239999999998</v>
      </c>
      <c r="O57" s="892">
        <f t="shared" si="5"/>
        <v>0</v>
      </c>
      <c r="P57" s="892">
        <f t="shared" si="5"/>
        <v>540000</v>
      </c>
      <c r="Q57" s="892">
        <f t="shared" si="5"/>
        <v>0</v>
      </c>
      <c r="R57" s="892">
        <f t="shared" si="5"/>
        <v>0</v>
      </c>
      <c r="S57" s="892">
        <f t="shared" si="5"/>
        <v>540000</v>
      </c>
      <c r="T57" s="893">
        <f>W57-L57</f>
        <v>3600000</v>
      </c>
      <c r="U57" s="892">
        <f t="shared" si="5"/>
        <v>4200000</v>
      </c>
      <c r="V57" s="892">
        <f t="shared" si="5"/>
        <v>4</v>
      </c>
      <c r="W57" s="892">
        <f>SUM(W15:W56)</f>
        <v>4200000</v>
      </c>
      <c r="X57" s="892">
        <f t="shared" si="5"/>
        <v>240000</v>
      </c>
      <c r="Y57" s="892">
        <f t="shared" si="5"/>
        <v>0</v>
      </c>
      <c r="Z57" s="892">
        <f t="shared" si="5"/>
        <v>0</v>
      </c>
      <c r="AA57" s="892">
        <f>SUM(AA15:AA56)</f>
        <v>0</v>
      </c>
      <c r="AB57" s="892">
        <f>SUM(AB15:AB56)</f>
        <v>4200000</v>
      </c>
      <c r="AC57" s="1791"/>
      <c r="AD57" s="1791"/>
      <c r="AE57" s="912"/>
      <c r="AF57" s="912">
        <f>SUM(AF14:AF56)</f>
        <v>2640000</v>
      </c>
      <c r="AG57" s="788"/>
      <c r="AH57" s="788"/>
      <c r="AI57" s="11"/>
    </row>
    <row r="58" spans="1:35" s="12" customFormat="1">
      <c r="A58" s="43" t="s">
        <v>354</v>
      </c>
      <c r="B58" s="44"/>
      <c r="C58" s="213"/>
      <c r="D58" s="213"/>
      <c r="E58" s="213"/>
      <c r="F58" s="1769"/>
      <c r="G58" s="1769"/>
      <c r="H58" s="1769"/>
      <c r="I58" s="1769"/>
      <c r="J58" s="1769"/>
      <c r="K58" s="1769"/>
      <c r="L58" s="1769"/>
      <c r="M58" s="1769"/>
      <c r="N58" s="1769"/>
      <c r="O58" s="213"/>
      <c r="P58" s="1769"/>
      <c r="Q58" s="213"/>
      <c r="R58" s="213"/>
      <c r="S58" s="788"/>
      <c r="T58" s="788"/>
      <c r="U58" s="213"/>
      <c r="V58" s="213"/>
      <c r="W58" s="1769"/>
      <c r="X58" s="212"/>
      <c r="Y58" s="212"/>
      <c r="Z58" s="212"/>
      <c r="AA58" s="212"/>
      <c r="AB58" s="212"/>
      <c r="AC58" s="788"/>
      <c r="AD58" s="788"/>
      <c r="AE58" s="212"/>
      <c r="AF58" s="212"/>
      <c r="AG58" s="788"/>
      <c r="AH58" s="788"/>
      <c r="AI58" s="11"/>
    </row>
    <row r="59" spans="1:35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769"/>
      <c r="O59" s="213"/>
      <c r="P59" s="1769"/>
      <c r="Q59" s="213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212"/>
      <c r="AF59" s="212"/>
      <c r="AG59" s="788"/>
      <c r="AH59" s="788"/>
      <c r="AI59" s="11"/>
    </row>
    <row r="60" spans="1:35" s="12" customFormat="1">
      <c r="A60" s="10"/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212"/>
      <c r="AF60" s="212"/>
      <c r="AG60" s="788"/>
      <c r="AH60" s="788"/>
      <c r="AI60" s="11"/>
    </row>
    <row r="61" spans="1:35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212"/>
      <c r="AF61" s="212"/>
      <c r="AG61" s="788"/>
      <c r="AH61" s="788"/>
      <c r="AI61" s="11"/>
    </row>
    <row r="62" spans="1:35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212"/>
      <c r="AF62" s="212"/>
      <c r="AG62" s="788"/>
      <c r="AH62" s="788"/>
      <c r="AI62" s="11"/>
    </row>
    <row r="63" spans="1:35" s="12" customFormat="1">
      <c r="A63" s="10" t="s">
        <v>59</v>
      </c>
      <c r="B63" s="454"/>
      <c r="C63" s="213"/>
      <c r="D63" s="213"/>
      <c r="E63" s="213"/>
      <c r="F63" s="1769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1769"/>
      <c r="X63" s="212"/>
      <c r="Y63" s="212"/>
      <c r="Z63" s="212"/>
      <c r="AA63" s="212"/>
      <c r="AB63" s="212"/>
      <c r="AC63" s="788"/>
      <c r="AD63" s="788"/>
      <c r="AE63" s="212"/>
      <c r="AF63" s="212"/>
      <c r="AG63" s="788"/>
      <c r="AH63" s="788"/>
      <c r="AI63" s="11"/>
    </row>
    <row r="64" spans="1:35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212"/>
      <c r="AF64" s="212"/>
      <c r="AG64" s="788"/>
      <c r="AH64" s="788"/>
      <c r="AI64" s="11"/>
    </row>
    <row r="65" spans="1:35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212"/>
      <c r="AF65" s="212"/>
      <c r="AG65" s="788"/>
      <c r="AH65" s="788"/>
      <c r="AI65" s="11"/>
    </row>
    <row r="66" spans="1:35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212"/>
      <c r="AF66" s="212"/>
      <c r="AG66" s="788"/>
      <c r="AH66" s="788"/>
      <c r="AI66" s="11"/>
    </row>
    <row r="67" spans="1:35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212"/>
      <c r="AF67" s="212"/>
      <c r="AG67" s="788"/>
      <c r="AH67" s="788"/>
      <c r="AI67" s="11"/>
    </row>
    <row r="68" spans="1:35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212"/>
      <c r="AF68" s="212"/>
      <c r="AG68" s="788"/>
      <c r="AH68" s="788"/>
      <c r="AI68" s="11"/>
    </row>
    <row r="69" spans="1:35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212"/>
      <c r="AF69" s="212"/>
      <c r="AG69" s="788"/>
      <c r="AH69" s="788"/>
      <c r="AI69" s="11"/>
    </row>
    <row r="70" spans="1:35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212"/>
      <c r="AF70" s="212"/>
      <c r="AG70" s="788"/>
      <c r="AH70" s="788"/>
      <c r="AI70" s="11"/>
    </row>
    <row r="71" spans="1:35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212"/>
      <c r="AF71" s="212"/>
      <c r="AG71" s="788"/>
      <c r="AH71" s="788"/>
      <c r="AI71" s="11"/>
    </row>
    <row r="72" spans="1:35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212"/>
      <c r="AF72" s="212"/>
      <c r="AG72" s="788"/>
      <c r="AH72" s="788"/>
      <c r="AI72" s="11"/>
    </row>
    <row r="73" spans="1:35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212"/>
      <c r="AF73" s="212"/>
      <c r="AG73" s="788"/>
      <c r="AH73" s="788"/>
      <c r="AI73" s="11"/>
    </row>
    <row r="74" spans="1:35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212"/>
      <c r="AF74" s="212"/>
      <c r="AG74" s="788"/>
      <c r="AH74" s="788"/>
      <c r="AI74" s="11"/>
    </row>
  </sheetData>
  <mergeCells count="9">
    <mergeCell ref="AB8:AB12"/>
    <mergeCell ref="AE8:AE12"/>
    <mergeCell ref="AF8:AF12"/>
    <mergeCell ref="E1:F1"/>
    <mergeCell ref="U8:W9"/>
    <mergeCell ref="X8:X12"/>
    <mergeCell ref="Y8:Y12"/>
    <mergeCell ref="Z8:Z12"/>
    <mergeCell ref="AA8:AA12"/>
  </mergeCells>
  <phoneticPr fontId="0" type="noConversion"/>
  <conditionalFormatting sqref="X8:AA12">
    <cfRule type="cellIs" dxfId="53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scale="43" orientation="landscape" r:id="rId1"/>
  <headerFooter alignWithMargins="0"/>
  <colBreaks count="1" manualBreakCount="1">
    <brk id="20" max="1048575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2">
    <pageSetUpPr fitToPage="1"/>
  </sheetPr>
  <dimension ref="A1:AE75"/>
  <sheetViews>
    <sheetView showGridLines="0" showZeros="0" view="pageBreakPreview" topLeftCell="I1" zoomScaleNormal="100" zoomScaleSheetLayoutView="100" workbookViewId="0">
      <selection activeCell="Z15" sqref="Z15:Z18"/>
    </sheetView>
  </sheetViews>
  <sheetFormatPr baseColWidth="10" defaultRowHeight="12.75"/>
  <cols>
    <col min="1" max="1" width="10.25" style="304" customWidth="1"/>
    <col min="2" max="2" width="37.12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480</v>
      </c>
      <c r="C2" s="826"/>
      <c r="D2" s="826"/>
      <c r="E2" s="827"/>
      <c r="F2" s="826"/>
      <c r="G2" s="826"/>
      <c r="H2" s="826"/>
      <c r="I2" s="826"/>
      <c r="J2" s="826"/>
      <c r="K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448</v>
      </c>
      <c r="H3" s="828"/>
      <c r="I3" s="828"/>
      <c r="J3" s="828"/>
      <c r="K3" s="828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118</v>
      </c>
      <c r="C4" s="1325"/>
      <c r="D4" s="1325"/>
      <c r="E4" s="2150"/>
      <c r="F4" s="1324"/>
      <c r="G4" s="825"/>
      <c r="H4" s="825"/>
      <c r="I4" s="825"/>
      <c r="J4" s="825"/>
      <c r="K4" s="825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201301585</v>
      </c>
      <c r="C5" s="828"/>
      <c r="D5" s="828"/>
      <c r="E5" s="831"/>
      <c r="F5" s="825"/>
      <c r="G5" s="825"/>
      <c r="H5" s="826"/>
      <c r="I5" s="826"/>
      <c r="J5" s="825"/>
      <c r="K5" s="832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479</v>
      </c>
      <c r="C6" s="828"/>
      <c r="D6" s="828"/>
      <c r="E6" s="831"/>
      <c r="F6" s="825"/>
      <c r="G6" s="825"/>
      <c r="H6" s="833"/>
      <c r="I6" s="834"/>
      <c r="J6" s="835"/>
      <c r="K6" s="82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 customHeight="1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 ht="8.25" customHeight="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354"/>
      <c r="D15" s="144"/>
      <c r="E15" s="190"/>
      <c r="F15" s="124">
        <f>D15*E15</f>
        <v>0</v>
      </c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>
        <f>U15*V15</f>
        <v>0</v>
      </c>
      <c r="X15" s="895"/>
      <c r="Y15" s="895"/>
      <c r="Z15" s="895"/>
      <c r="AA15" s="895"/>
      <c r="AB15" s="895">
        <v>0</v>
      </c>
    </row>
    <row r="16" spans="1:31">
      <c r="A16" s="178">
        <v>1</v>
      </c>
      <c r="B16" s="168" t="s">
        <v>478</v>
      </c>
      <c r="C16" s="124">
        <f>F16</f>
        <v>720000</v>
      </c>
      <c r="D16" s="124">
        <f>600000*1.2</f>
        <v>720000</v>
      </c>
      <c r="E16" s="357">
        <v>1</v>
      </c>
      <c r="F16" s="124">
        <f>D16*E16</f>
        <v>720000</v>
      </c>
      <c r="G16" s="143"/>
      <c r="H16" s="143"/>
      <c r="I16" s="143">
        <f>W16</f>
        <v>720000</v>
      </c>
      <c r="J16" s="143"/>
      <c r="K16" s="143"/>
      <c r="L16" s="143">
        <f>+I16-J16+K16</f>
        <v>720000</v>
      </c>
      <c r="M16" s="143"/>
      <c r="N16" s="143">
        <f>G16</f>
        <v>0</v>
      </c>
      <c r="O16" s="143"/>
      <c r="P16" s="124">
        <f>L16</f>
        <v>720000</v>
      </c>
      <c r="Q16" s="358"/>
      <c r="R16" s="124"/>
      <c r="S16" s="143">
        <f>+P16-R16</f>
        <v>720000</v>
      </c>
      <c r="T16" s="143">
        <f>W16-L16</f>
        <v>0</v>
      </c>
      <c r="U16" s="124">
        <v>720000</v>
      </c>
      <c r="V16" s="357">
        <v>1</v>
      </c>
      <c r="W16" s="124">
        <f>V16*U16</f>
        <v>720000</v>
      </c>
      <c r="X16" s="143">
        <v>720000</v>
      </c>
      <c r="Y16" s="143"/>
      <c r="Z16" s="143">
        <v>720000</v>
      </c>
      <c r="AA16" s="143"/>
      <c r="AB16" s="143">
        <v>720000</v>
      </c>
    </row>
    <row r="17" spans="1:31">
      <c r="A17" s="178"/>
      <c r="B17" s="366"/>
      <c r="C17" s="124"/>
      <c r="D17" s="124"/>
      <c r="E17" s="357"/>
      <c r="F17" s="124"/>
      <c r="G17" s="143"/>
      <c r="H17" s="143"/>
      <c r="I17" s="143">
        <f>W17</f>
        <v>0</v>
      </c>
      <c r="J17" s="143"/>
      <c r="K17" s="143"/>
      <c r="L17" s="143"/>
      <c r="M17" s="143">
        <f>+M16/1.2</f>
        <v>0</v>
      </c>
      <c r="N17" s="143">
        <f>+N16/1.2</f>
        <v>0</v>
      </c>
      <c r="O17" s="143"/>
      <c r="P17" s="143"/>
      <c r="Q17" s="141"/>
      <c r="R17" s="124"/>
      <c r="S17" s="143">
        <f t="shared" ref="S17:S18" si="0">+P17-R17</f>
        <v>0</v>
      </c>
      <c r="T17" s="143">
        <f>W17-L17</f>
        <v>0</v>
      </c>
      <c r="U17" s="124">
        <v>0</v>
      </c>
      <c r="V17" s="190"/>
      <c r="W17" s="124">
        <f>V17*U17</f>
        <v>0</v>
      </c>
      <c r="X17" s="143"/>
      <c r="Y17" s="143"/>
      <c r="Z17" s="143"/>
      <c r="AA17" s="143"/>
      <c r="AB17" s="143">
        <v>0</v>
      </c>
      <c r="AC17" s="305"/>
      <c r="AD17" s="305"/>
      <c r="AE17" s="305"/>
    </row>
    <row r="18" spans="1:31">
      <c r="A18" s="178">
        <v>2</v>
      </c>
      <c r="B18" s="168" t="s">
        <v>477</v>
      </c>
      <c r="C18" s="124">
        <f>F18</f>
        <v>588000</v>
      </c>
      <c r="D18" s="124">
        <f>490000*1.2</f>
        <v>588000</v>
      </c>
      <c r="E18" s="357">
        <v>1</v>
      </c>
      <c r="F18" s="124">
        <f>D18*E18</f>
        <v>588000</v>
      </c>
      <c r="G18" s="143"/>
      <c r="H18" s="143"/>
      <c r="I18" s="143">
        <f>W18</f>
        <v>588000</v>
      </c>
      <c r="J18" s="143">
        <f>0.5*U18</f>
        <v>294000</v>
      </c>
      <c r="K18" s="143"/>
      <c r="L18" s="143">
        <f>+I18-J18+K18</f>
        <v>294000</v>
      </c>
      <c r="M18" s="143"/>
      <c r="N18" s="143"/>
      <c r="O18" s="143"/>
      <c r="P18" s="2377">
        <v>235200</v>
      </c>
      <c r="Q18" s="141"/>
      <c r="R18" s="143"/>
      <c r="S18" s="143">
        <f t="shared" si="0"/>
        <v>235200</v>
      </c>
      <c r="T18" s="143">
        <f>W18-L18</f>
        <v>294000</v>
      </c>
      <c r="U18" s="124">
        <v>588000</v>
      </c>
      <c r="V18" s="190">
        <v>1</v>
      </c>
      <c r="W18" s="124">
        <f>V18*U18</f>
        <v>588000</v>
      </c>
      <c r="X18" s="143">
        <v>235200</v>
      </c>
      <c r="Y18" s="143"/>
      <c r="Z18" s="143">
        <v>235200</v>
      </c>
      <c r="AA18" s="143"/>
      <c r="AB18" s="143">
        <v>588000</v>
      </c>
      <c r="AC18" s="305"/>
      <c r="AD18" s="305"/>
      <c r="AE18" s="305"/>
    </row>
    <row r="19" spans="1:31">
      <c r="A19" s="178"/>
      <c r="B19" s="366"/>
      <c r="C19" s="124"/>
      <c r="D19" s="124"/>
      <c r="E19" s="357"/>
      <c r="F19" s="124"/>
      <c r="G19" s="143"/>
      <c r="H19" s="143"/>
      <c r="I19" s="143"/>
      <c r="J19" s="143"/>
      <c r="K19" s="143"/>
      <c r="L19" s="143">
        <f>+I19-J19+K19</f>
        <v>0</v>
      </c>
      <c r="M19" s="143"/>
      <c r="N19" s="143"/>
      <c r="O19" s="143"/>
      <c r="P19" s="143"/>
      <c r="Q19" s="141"/>
      <c r="R19" s="143"/>
      <c r="S19" s="143"/>
      <c r="T19" s="143">
        <f>W19-L19</f>
        <v>0</v>
      </c>
      <c r="U19" s="124">
        <v>0</v>
      </c>
      <c r="V19" s="190"/>
      <c r="W19" s="124">
        <f>V19*U19</f>
        <v>0</v>
      </c>
      <c r="X19" s="143"/>
      <c r="Y19" s="143"/>
      <c r="Z19" s="143"/>
      <c r="AA19" s="143"/>
      <c r="AB19" s="143">
        <v>0</v>
      </c>
      <c r="AC19" s="305"/>
      <c r="AD19" s="305"/>
      <c r="AE19" s="305"/>
    </row>
    <row r="20" spans="1:31">
      <c r="A20" s="178">
        <v>3</v>
      </c>
      <c r="B20" s="168" t="s">
        <v>476</v>
      </c>
      <c r="C20" s="124">
        <f>F20</f>
        <v>288000</v>
      </c>
      <c r="D20" s="124">
        <f>15000*1.2</f>
        <v>18000</v>
      </c>
      <c r="E20" s="357">
        <v>16</v>
      </c>
      <c r="F20" s="124">
        <f>D20*E20</f>
        <v>288000</v>
      </c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1"/>
      <c r="R20" s="124"/>
      <c r="S20" s="143">
        <f>+P20-R20</f>
        <v>0</v>
      </c>
      <c r="T20" s="143">
        <f>W20-L20</f>
        <v>288000</v>
      </c>
      <c r="U20" s="124">
        <v>288000</v>
      </c>
      <c r="V20" s="190">
        <v>1</v>
      </c>
      <c r="W20" s="124">
        <f>V20*U20</f>
        <v>288000</v>
      </c>
      <c r="X20" s="143"/>
      <c r="Y20" s="143"/>
      <c r="Z20" s="143"/>
      <c r="AA20" s="143"/>
      <c r="AB20" s="143">
        <v>288000</v>
      </c>
      <c r="AC20" s="305"/>
      <c r="AD20" s="305"/>
      <c r="AE20" s="305"/>
    </row>
    <row r="21" spans="1:31" ht="12.75" customHeight="1">
      <c r="A21" s="354"/>
      <c r="B21" s="366"/>
      <c r="C21" s="124"/>
      <c r="D21" s="124"/>
      <c r="E21" s="357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143"/>
      <c r="U21" s="124">
        <f>F21</f>
        <v>0</v>
      </c>
      <c r="V21" s="190"/>
      <c r="W21" s="124">
        <f>U21*V21</f>
        <v>0</v>
      </c>
      <c r="X21" s="143"/>
      <c r="Y21" s="143"/>
      <c r="Z21" s="143"/>
      <c r="AA21" s="143"/>
      <c r="AB21" s="143">
        <v>0</v>
      </c>
      <c r="AC21" s="305"/>
      <c r="AD21" s="305"/>
      <c r="AE21" s="305"/>
    </row>
    <row r="22" spans="1:31">
      <c r="A22" s="178"/>
      <c r="B22" s="366"/>
      <c r="C22" s="124"/>
      <c r="D22" s="124"/>
      <c r="E22" s="357"/>
      <c r="F22" s="124"/>
      <c r="G22" s="143"/>
      <c r="H22" s="143"/>
      <c r="I22" s="143"/>
      <c r="J22" s="143"/>
      <c r="K22" s="143"/>
      <c r="L22" s="143">
        <f t="shared" ref="L22:L43" si="1">+I22+J22-K22</f>
        <v>0</v>
      </c>
      <c r="M22" s="143"/>
      <c r="N22" s="143"/>
      <c r="O22" s="143"/>
      <c r="P22" s="143"/>
      <c r="Q22" s="141"/>
      <c r="R22" s="143"/>
      <c r="S22" s="143"/>
      <c r="T22" s="143"/>
      <c r="U22" s="143"/>
      <c r="V22" s="190"/>
      <c r="W22" s="124"/>
      <c r="X22" s="143"/>
      <c r="Y22" s="143"/>
      <c r="Z22" s="143"/>
      <c r="AA22" s="143"/>
      <c r="AB22" s="143"/>
      <c r="AC22" s="305"/>
      <c r="AD22" s="305"/>
      <c r="AE22" s="305"/>
    </row>
    <row r="23" spans="1:31">
      <c r="A23" s="178"/>
      <c r="B23" s="366"/>
      <c r="C23" s="124"/>
      <c r="D23" s="124"/>
      <c r="E23" s="357"/>
      <c r="F23" s="124"/>
      <c r="G23" s="143"/>
      <c r="H23" s="143"/>
      <c r="I23" s="143"/>
      <c r="J23" s="143"/>
      <c r="K23" s="143"/>
      <c r="L23" s="143">
        <f t="shared" si="1"/>
        <v>0</v>
      </c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  <c r="AC23" s="305"/>
      <c r="AD23" s="305"/>
      <c r="AE23" s="305"/>
    </row>
    <row r="24" spans="1:31">
      <c r="A24" s="178"/>
      <c r="B24" s="366"/>
      <c r="C24" s="124"/>
      <c r="D24" s="124"/>
      <c r="E24" s="357"/>
      <c r="F24" s="124"/>
      <c r="G24" s="143"/>
      <c r="H24" s="143"/>
      <c r="I24" s="143"/>
      <c r="J24" s="143"/>
      <c r="K24" s="143"/>
      <c r="L24" s="143">
        <f t="shared" si="1"/>
        <v>0</v>
      </c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  <c r="AC24" s="305"/>
      <c r="AD24" s="305"/>
      <c r="AE24" s="305"/>
    </row>
    <row r="25" spans="1:31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>
        <f t="shared" si="1"/>
        <v>0</v>
      </c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  <c r="AC25" s="305"/>
      <c r="AD25" s="305"/>
      <c r="AE25" s="305"/>
    </row>
    <row r="26" spans="1:31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>
        <f t="shared" si="1"/>
        <v>0</v>
      </c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  <c r="AC26" s="305"/>
      <c r="AD26" s="305"/>
      <c r="AE26" s="305"/>
    </row>
    <row r="27" spans="1:31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>
        <f t="shared" si="1"/>
        <v>0</v>
      </c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  <c r="AC27" s="305"/>
      <c r="AD27" s="305"/>
      <c r="AE27" s="305"/>
    </row>
    <row r="28" spans="1:31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>
        <f t="shared" si="1"/>
        <v>0</v>
      </c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  <c r="AC28" s="305"/>
      <c r="AD28" s="305"/>
      <c r="AE28" s="305"/>
    </row>
    <row r="29" spans="1:31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>
        <f t="shared" si="1"/>
        <v>0</v>
      </c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877"/>
      <c r="Y29" s="877"/>
      <c r="Z29" s="877"/>
      <c r="AA29" s="877"/>
      <c r="AB29" s="877"/>
      <c r="AC29" s="305"/>
      <c r="AD29" s="305"/>
      <c r="AE29" s="305"/>
    </row>
    <row r="30" spans="1:31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>
        <f t="shared" si="1"/>
        <v>0</v>
      </c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877"/>
      <c r="Y30" s="877"/>
      <c r="Z30" s="877"/>
      <c r="AA30" s="877"/>
      <c r="AB30" s="877"/>
      <c r="AC30" s="305"/>
      <c r="AD30" s="305"/>
      <c r="AE30" s="305"/>
    </row>
    <row r="31" spans="1:31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si="1"/>
        <v>0</v>
      </c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877"/>
      <c r="Y31" s="877"/>
      <c r="Z31" s="877"/>
      <c r="AA31" s="877"/>
      <c r="AB31" s="877"/>
      <c r="AC31" s="305"/>
      <c r="AD31" s="305"/>
      <c r="AE31" s="305"/>
    </row>
    <row r="32" spans="1:31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1"/>
        <v>0</v>
      </c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877"/>
      <c r="Y32" s="877"/>
      <c r="Z32" s="877"/>
      <c r="AA32" s="877"/>
      <c r="AB32" s="877"/>
      <c r="AC32" s="305"/>
      <c r="AD32" s="305"/>
      <c r="AE32" s="305"/>
    </row>
    <row r="33" spans="1:31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1"/>
        <v>0</v>
      </c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877"/>
      <c r="AC33" s="305"/>
      <c r="AD33" s="305"/>
      <c r="AE33" s="305"/>
    </row>
    <row r="34" spans="1:31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1"/>
        <v>0</v>
      </c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  <c r="AC34" s="305"/>
      <c r="AD34" s="305"/>
      <c r="AE34" s="305"/>
    </row>
    <row r="35" spans="1:31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1"/>
        <v>0</v>
      </c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  <c r="AC35" s="305"/>
      <c r="AD35" s="305"/>
      <c r="AE35" s="305"/>
    </row>
    <row r="36" spans="1:31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1"/>
        <v>0</v>
      </c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1"/>
        <v>0</v>
      </c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877"/>
      <c r="Y37" s="877"/>
      <c r="Z37" s="877"/>
      <c r="AA37" s="877"/>
      <c r="AB37" s="877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1"/>
        <v>0</v>
      </c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877"/>
      <c r="Y38" s="877"/>
      <c r="Z38" s="877"/>
      <c r="AA38" s="877"/>
      <c r="AB38" s="877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1"/>
        <v>0</v>
      </c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877"/>
      <c r="Y39" s="877"/>
      <c r="Z39" s="877"/>
      <c r="AA39" s="877"/>
      <c r="AB39" s="877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1"/>
        <v>0</v>
      </c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1"/>
        <v>0</v>
      </c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  <c r="AC41" s="305"/>
      <c r="AD41" s="305"/>
      <c r="AE41" s="305"/>
    </row>
    <row r="42" spans="1:31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1"/>
        <v>0</v>
      </c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1"/>
        <v>0</v>
      </c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2">+I46+J46-K46</f>
        <v>0</v>
      </c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2"/>
        <v>0</v>
      </c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  <c r="AC47" s="305"/>
      <c r="AD47" s="305"/>
      <c r="AE47" s="305"/>
    </row>
    <row r="48" spans="1:31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2"/>
        <v>0</v>
      </c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877"/>
      <c r="Y48" s="877"/>
      <c r="Z48" s="877"/>
      <c r="AA48" s="877"/>
      <c r="AB48" s="877"/>
      <c r="AC48" s="305"/>
      <c r="AD48" s="305"/>
      <c r="AE48" s="305"/>
    </row>
    <row r="49" spans="1:31">
      <c r="A49" s="178"/>
      <c r="B49" s="365"/>
      <c r="C49" s="124"/>
      <c r="D49" s="124"/>
      <c r="E49" s="190"/>
      <c r="F49" s="124"/>
      <c r="G49" s="124"/>
      <c r="H49" s="124"/>
      <c r="I49" s="124"/>
      <c r="J49" s="124"/>
      <c r="K49" s="124"/>
      <c r="L49" s="143">
        <f t="shared" si="2"/>
        <v>0</v>
      </c>
      <c r="M49" s="124"/>
      <c r="N49" s="124"/>
      <c r="O49" s="124"/>
      <c r="P49" s="143">
        <f>O49*D49</f>
        <v>0</v>
      </c>
      <c r="Q49" s="124"/>
      <c r="R49" s="143">
        <f>Q49*D49</f>
        <v>0</v>
      </c>
      <c r="S49" s="143">
        <f>+P49-R49</f>
        <v>0</v>
      </c>
      <c r="T49" s="877"/>
      <c r="U49" s="124"/>
      <c r="V49" s="190"/>
      <c r="W49" s="124"/>
      <c r="X49" s="877">
        <f>+N49-W49</f>
        <v>0</v>
      </c>
      <c r="Y49" s="877"/>
      <c r="Z49" s="877"/>
      <c r="AA49" s="877"/>
      <c r="AB49" s="877"/>
      <c r="AC49" s="305"/>
      <c r="AD49" s="305"/>
      <c r="AE49" s="305"/>
    </row>
    <row r="50" spans="1:31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>
        <f t="shared" si="2"/>
        <v>0</v>
      </c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877"/>
      <c r="Y50" s="877"/>
      <c r="Z50" s="877"/>
      <c r="AA50" s="877"/>
      <c r="AB50" s="877"/>
      <c r="AC50" s="305"/>
      <c r="AD50" s="305"/>
      <c r="AE50" s="305"/>
    </row>
    <row r="51" spans="1:31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>
        <f t="shared" si="2"/>
        <v>0</v>
      </c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877"/>
      <c r="Y51" s="877"/>
      <c r="Z51" s="877"/>
      <c r="AA51" s="877"/>
      <c r="AB51" s="877"/>
      <c r="AC51" s="305"/>
      <c r="AD51" s="305"/>
      <c r="AE51" s="305"/>
    </row>
    <row r="52" spans="1:31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>
        <f t="shared" si="2"/>
        <v>0</v>
      </c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877"/>
      <c r="Y52" s="877"/>
      <c r="Z52" s="877"/>
      <c r="AA52" s="877"/>
      <c r="AB52" s="877"/>
      <c r="AC52" s="305"/>
      <c r="AD52" s="305"/>
      <c r="AE52" s="305"/>
    </row>
    <row r="53" spans="1:31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  <c r="AC53" s="305"/>
      <c r="AD53" s="305"/>
      <c r="AE53" s="305"/>
    </row>
    <row r="54" spans="1:31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>
        <f>+I54+J54-K54</f>
        <v>0</v>
      </c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  <c r="AC54" s="305"/>
      <c r="AD54" s="305"/>
      <c r="AE54" s="305"/>
    </row>
    <row r="55" spans="1:31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>
        <f>+I55+J55-K55</f>
        <v>0</v>
      </c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>
        <f>+I56+J56-K56</f>
        <v>0</v>
      </c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>
        <f>U56*V56</f>
        <v>0</v>
      </c>
      <c r="X56" s="877"/>
      <c r="Y56" s="877"/>
      <c r="Z56" s="877"/>
      <c r="AA56" s="877"/>
      <c r="AB56" s="877"/>
      <c r="AC56" s="305"/>
      <c r="AD56" s="305"/>
      <c r="AE56" s="305"/>
    </row>
    <row r="57" spans="1:31">
      <c r="A57" s="339" t="s">
        <v>97</v>
      </c>
      <c r="B57" s="340" t="s">
        <v>17</v>
      </c>
      <c r="C57" s="900">
        <f>SUM(C16:C56)</f>
        <v>1596000</v>
      </c>
      <c r="D57" s="900"/>
      <c r="E57" s="901"/>
      <c r="F57" s="900">
        <f>SUM(F16:F56)</f>
        <v>1596000</v>
      </c>
      <c r="G57" s="900">
        <f t="shared" ref="G57:N57" si="3">SUM(G15:G56)</f>
        <v>0</v>
      </c>
      <c r="H57" s="900">
        <f t="shared" si="3"/>
        <v>0</v>
      </c>
      <c r="I57" s="900">
        <f t="shared" si="3"/>
        <v>1308000</v>
      </c>
      <c r="J57" s="900">
        <f t="shared" si="3"/>
        <v>294000</v>
      </c>
      <c r="K57" s="900">
        <f t="shared" si="3"/>
        <v>0</v>
      </c>
      <c r="L57" s="900">
        <f t="shared" si="3"/>
        <v>1014000</v>
      </c>
      <c r="M57" s="900">
        <f t="shared" si="3"/>
        <v>0</v>
      </c>
      <c r="N57" s="900">
        <f t="shared" si="3"/>
        <v>0</v>
      </c>
      <c r="O57" s="900"/>
      <c r="P57" s="900">
        <f>SUM(P15:P56)</f>
        <v>955200</v>
      </c>
      <c r="Q57" s="900"/>
      <c r="R57" s="900">
        <f>SUM(R15:R56)</f>
        <v>0</v>
      </c>
      <c r="S57" s="900">
        <f>SUM(S15:S56)</f>
        <v>955200</v>
      </c>
      <c r="T57" s="893">
        <f>W57-L57</f>
        <v>582000</v>
      </c>
      <c r="U57" s="900"/>
      <c r="V57" s="900"/>
      <c r="W57" s="900">
        <f>SUM(W16:W56)</f>
        <v>1596000</v>
      </c>
      <c r="X57" s="900">
        <f>SUM(X15:X56)</f>
        <v>955200</v>
      </c>
      <c r="Y57" s="900">
        <f>SUM(Y15:Y56)</f>
        <v>0</v>
      </c>
      <c r="Z57" s="900">
        <f>SUM(Z15:Z56)</f>
        <v>955200</v>
      </c>
      <c r="AA57" s="900">
        <f>SUM(AA15:AA56)</f>
        <v>0</v>
      </c>
      <c r="AB57" s="900">
        <f>SUM(AB15:AB56)</f>
        <v>1596000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AC61" s="305"/>
      <c r="AD61" s="305"/>
      <c r="AE61" s="305"/>
    </row>
    <row r="62" spans="1:31">
      <c r="R62" s="304"/>
      <c r="AC62" s="305"/>
      <c r="AD62" s="305"/>
      <c r="AE62" s="305"/>
    </row>
    <row r="63" spans="1:31">
      <c r="A63" s="304" t="s">
        <v>59</v>
      </c>
      <c r="F63" s="343"/>
      <c r="W63" s="343"/>
      <c r="AC63" s="305"/>
      <c r="AD63" s="305"/>
      <c r="AE63" s="305"/>
    </row>
    <row r="75" spans="2:2" s="305" customFormat="1">
      <c r="B75" s="304" t="s">
        <v>126</v>
      </c>
    </row>
  </sheetData>
  <mergeCells count="6">
    <mergeCell ref="E1:F1"/>
    <mergeCell ref="AB8:AB12"/>
    <mergeCell ref="X8:X12"/>
    <mergeCell ref="Y8:Y12"/>
    <mergeCell ref="Z8:Z12"/>
    <mergeCell ref="AA8:AA12"/>
  </mergeCells>
  <conditionalFormatting sqref="U8:W9 X8:AB12">
    <cfRule type="cellIs" dxfId="52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4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CE75"/>
  <sheetViews>
    <sheetView showGridLines="0" topLeftCell="K4" zoomScaleNormal="100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22" width="11" style="792"/>
    <col min="23" max="23" width="11.375" style="792" bestFit="1" customWidth="1"/>
    <col min="24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678" t="s">
        <v>718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247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201301466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14" t="s">
        <v>375</v>
      </c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7"/>
      <c r="AF8" s="787"/>
      <c r="AG8" s="787"/>
      <c r="AH8" s="787"/>
    </row>
    <row r="9" spans="1:83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7"/>
      <c r="AF9" s="787"/>
      <c r="AG9" s="787"/>
      <c r="AH9" s="787"/>
    </row>
    <row r="10" spans="1:83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7"/>
      <c r="AF10" s="787"/>
      <c r="AG10" s="787"/>
      <c r="AH10" s="787"/>
    </row>
    <row r="11" spans="1:83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7"/>
      <c r="AF11" s="787"/>
      <c r="AG11" s="787"/>
      <c r="AH11" s="787"/>
    </row>
    <row r="12" spans="1:83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7"/>
      <c r="AF12" s="787"/>
      <c r="AG12" s="787"/>
      <c r="AH12" s="787"/>
    </row>
    <row r="13" spans="1:83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880"/>
      <c r="B14" s="907"/>
      <c r="C14" s="1770"/>
      <c r="D14" s="1770"/>
      <c r="E14" s="1770"/>
      <c r="F14" s="1770"/>
      <c r="G14" s="1771"/>
      <c r="H14" s="1771"/>
      <c r="I14" s="1770"/>
      <c r="J14" s="1770"/>
      <c r="K14" s="1770"/>
      <c r="L14" s="1770"/>
      <c r="M14" s="1770"/>
      <c r="N14" s="1770"/>
      <c r="O14" s="1770"/>
      <c r="P14" s="1770"/>
      <c r="Q14" s="1770"/>
      <c r="R14" s="1770"/>
      <c r="S14" s="1770"/>
      <c r="T14" s="1770"/>
      <c r="U14" s="1770"/>
      <c r="V14" s="1770"/>
      <c r="W14" s="1770"/>
      <c r="X14" s="1770"/>
      <c r="Y14" s="1770"/>
      <c r="Z14" s="1770"/>
      <c r="AA14" s="1770"/>
      <c r="AB14" s="908"/>
      <c r="AC14" s="788"/>
      <c r="AD14" s="788"/>
      <c r="AE14" s="787"/>
      <c r="AF14" s="787"/>
      <c r="AG14" s="787"/>
      <c r="AH14" s="787"/>
    </row>
    <row r="15" spans="1:83" s="12" customFormat="1" ht="12.75">
      <c r="A15" s="810">
        <v>1</v>
      </c>
      <c r="B15" s="811" t="s">
        <v>372</v>
      </c>
      <c r="C15" s="502"/>
      <c r="D15" s="502"/>
      <c r="E15" s="511"/>
      <c r="F15" s="500"/>
      <c r="G15" s="500"/>
      <c r="H15" s="500"/>
      <c r="I15" s="500"/>
      <c r="J15" s="500"/>
      <c r="K15" s="500"/>
      <c r="L15" s="500"/>
      <c r="M15" s="500"/>
      <c r="N15" s="500"/>
      <c r="O15" s="511"/>
      <c r="P15" s="500"/>
      <c r="Q15" s="502"/>
      <c r="R15" s="502"/>
      <c r="S15" s="502"/>
      <c r="T15" s="502"/>
      <c r="U15" s="502"/>
      <c r="V15" s="511"/>
      <c r="W15" s="500"/>
      <c r="X15" s="500"/>
      <c r="Y15" s="500"/>
      <c r="Z15" s="500"/>
      <c r="AA15" s="502"/>
      <c r="AB15" s="891"/>
      <c r="AC15" s="788"/>
      <c r="AD15" s="788"/>
      <c r="AE15" s="787"/>
      <c r="AF15" s="787"/>
      <c r="AG15" s="787"/>
      <c r="AH15" s="787"/>
    </row>
    <row r="16" spans="1:83" s="12" customFormat="1" ht="12.75">
      <c r="A16" s="881"/>
      <c r="B16" s="816" t="s">
        <v>123</v>
      </c>
      <c r="C16" s="502">
        <f>280500*1.2</f>
        <v>336600</v>
      </c>
      <c r="D16" s="502">
        <f>C16*0.5</f>
        <v>168300</v>
      </c>
      <c r="E16" s="511">
        <v>1</v>
      </c>
      <c r="F16" s="500">
        <f>D16*E16</f>
        <v>168300</v>
      </c>
      <c r="G16" s="500">
        <v>7620</v>
      </c>
      <c r="H16" s="500" t="s">
        <v>373</v>
      </c>
      <c r="I16" s="500">
        <f>F16</f>
        <v>168300</v>
      </c>
      <c r="J16" s="2261"/>
      <c r="K16" s="500"/>
      <c r="L16" s="500">
        <f>I16-J16+K16</f>
        <v>168300</v>
      </c>
      <c r="M16" s="500"/>
      <c r="N16" s="500">
        <f>G16</f>
        <v>7620</v>
      </c>
      <c r="O16" s="500">
        <v>1</v>
      </c>
      <c r="P16" s="500"/>
      <c r="Q16" s="500"/>
      <c r="R16" s="500">
        <f>+P16</f>
        <v>0</v>
      </c>
      <c r="S16" s="500">
        <f>+P16-R16</f>
        <v>0</v>
      </c>
      <c r="T16" s="500">
        <f>W16-L16</f>
        <v>0</v>
      </c>
      <c r="U16" s="500">
        <f>D16</f>
        <v>168300</v>
      </c>
      <c r="V16" s="500">
        <v>1</v>
      </c>
      <c r="W16" s="500">
        <f>+U16*V16</f>
        <v>168300</v>
      </c>
      <c r="X16" s="500">
        <v>168300</v>
      </c>
      <c r="Y16" s="500">
        <v>7620</v>
      </c>
      <c r="Z16" s="500"/>
      <c r="AA16" s="500"/>
      <c r="AB16" s="500">
        <f>F16</f>
        <v>168300</v>
      </c>
      <c r="AC16" s="788"/>
      <c r="AD16" s="788"/>
      <c r="AE16" s="787"/>
      <c r="AF16" s="787"/>
      <c r="AG16" s="787"/>
      <c r="AH16" s="787"/>
    </row>
    <row r="17" spans="1:34" s="12" customFormat="1">
      <c r="A17" s="815"/>
      <c r="B17" s="814"/>
      <c r="C17" s="502"/>
      <c r="D17" s="500"/>
      <c r="E17" s="511"/>
      <c r="F17" s="500"/>
      <c r="G17" s="500"/>
      <c r="H17" s="500"/>
      <c r="I17" s="500"/>
      <c r="J17" s="2261"/>
      <c r="K17" s="500"/>
      <c r="L17" s="500"/>
      <c r="M17" s="500"/>
      <c r="N17" s="500"/>
      <c r="O17" s="500"/>
      <c r="P17" s="500"/>
      <c r="Q17" s="500"/>
      <c r="R17" s="500"/>
      <c r="S17" s="500"/>
      <c r="T17" s="500"/>
      <c r="U17" s="500"/>
      <c r="V17" s="500"/>
      <c r="W17" s="500"/>
      <c r="X17" s="500"/>
      <c r="Y17" s="500"/>
      <c r="Z17" s="500"/>
      <c r="AA17" s="500"/>
      <c r="AB17" s="500"/>
      <c r="AC17" s="788"/>
      <c r="AD17" s="788"/>
      <c r="AE17" s="787"/>
      <c r="AF17" s="787"/>
      <c r="AG17" s="787"/>
      <c r="AH17" s="787"/>
    </row>
    <row r="18" spans="1:34" s="12" customFormat="1">
      <c r="A18" s="813">
        <v>2</v>
      </c>
      <c r="B18" s="814" t="s">
        <v>376</v>
      </c>
      <c r="C18" s="1429"/>
      <c r="D18" s="500"/>
      <c r="E18" s="511"/>
      <c r="F18" s="500"/>
      <c r="G18" s="500"/>
      <c r="H18" s="500"/>
      <c r="I18" s="500"/>
      <c r="J18" s="2261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788"/>
      <c r="AD18" s="788"/>
      <c r="AE18" s="787"/>
      <c r="AF18" s="787"/>
      <c r="AG18" s="787"/>
      <c r="AH18" s="787"/>
    </row>
    <row r="19" spans="1:34" s="12" customFormat="1" ht="12.75">
      <c r="A19" s="815"/>
      <c r="B19" s="816" t="s">
        <v>123</v>
      </c>
      <c r="C19" s="502"/>
      <c r="D19" s="797"/>
      <c r="E19" s="511"/>
      <c r="F19" s="500"/>
      <c r="G19" s="797"/>
      <c r="H19" s="797"/>
      <c r="I19" s="797"/>
      <c r="J19" s="2261"/>
      <c r="K19" s="797"/>
      <c r="L19" s="500">
        <f>I19-J19+K19</f>
        <v>0</v>
      </c>
      <c r="M19" s="500"/>
      <c r="N19" s="500"/>
      <c r="O19" s="500">
        <v>1</v>
      </c>
      <c r="P19" s="500"/>
      <c r="Q19" s="500"/>
      <c r="R19" s="500">
        <f>+P19</f>
        <v>0</v>
      </c>
      <c r="S19" s="500">
        <f>+P19-R19</f>
        <v>0</v>
      </c>
      <c r="T19" s="500">
        <f>F19-L19</f>
        <v>0</v>
      </c>
      <c r="U19" s="500">
        <f>D19</f>
        <v>0</v>
      </c>
      <c r="V19" s="500">
        <v>1</v>
      </c>
      <c r="W19" s="500">
        <f>+U19*V19</f>
        <v>0</v>
      </c>
      <c r="X19" s="500"/>
      <c r="Y19" s="500"/>
      <c r="Z19" s="500"/>
      <c r="AA19" s="500"/>
      <c r="AB19" s="500">
        <f>F19</f>
        <v>0</v>
      </c>
      <c r="AC19" s="788"/>
      <c r="AD19" s="788"/>
      <c r="AE19" s="787"/>
      <c r="AF19" s="787"/>
      <c r="AG19" s="787"/>
      <c r="AH19" s="787"/>
    </row>
    <row r="20" spans="1:34" s="12" customFormat="1" ht="12.75">
      <c r="A20" s="815"/>
      <c r="B20" s="816"/>
      <c r="C20" s="502"/>
      <c r="D20" s="797"/>
      <c r="E20" s="511"/>
      <c r="F20" s="500"/>
      <c r="G20" s="797"/>
      <c r="H20" s="797"/>
      <c r="I20" s="797"/>
      <c r="J20" s="2261"/>
      <c r="K20" s="797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788"/>
      <c r="AD20" s="788"/>
      <c r="AE20" s="787"/>
      <c r="AF20" s="787"/>
      <c r="AG20" s="787"/>
      <c r="AH20" s="787"/>
    </row>
    <row r="21" spans="1:34" s="12" customFormat="1" ht="12.75">
      <c r="A21" s="813" t="s">
        <v>377</v>
      </c>
      <c r="B21" s="811" t="s">
        <v>378</v>
      </c>
      <c r="C21" s="1795"/>
      <c r="D21" s="2264"/>
      <c r="E21" s="2264"/>
      <c r="F21" s="2265"/>
      <c r="G21" s="797"/>
      <c r="H21" s="797"/>
      <c r="I21" s="797"/>
      <c r="J21" s="797"/>
      <c r="K21" s="797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788"/>
      <c r="AD21" s="788"/>
      <c r="AE21" s="787"/>
      <c r="AF21" s="787"/>
      <c r="AG21" s="787"/>
      <c r="AH21" s="787"/>
    </row>
    <row r="22" spans="1:34" s="12" customFormat="1" ht="12.75">
      <c r="A22" s="815"/>
      <c r="B22" s="811" t="s">
        <v>379</v>
      </c>
      <c r="C22" s="502"/>
      <c r="D22" s="797"/>
      <c r="E22" s="511"/>
      <c r="F22" s="500"/>
      <c r="G22" s="797"/>
      <c r="H22" s="797"/>
      <c r="I22" s="797"/>
      <c r="J22" s="797"/>
      <c r="K22" s="797"/>
      <c r="L22" s="500">
        <f>I22-J22+K22</f>
        <v>0</v>
      </c>
      <c r="M22" s="500"/>
      <c r="N22" s="500"/>
      <c r="O22" s="500"/>
      <c r="P22" s="500"/>
      <c r="Q22" s="500"/>
      <c r="R22" s="500"/>
      <c r="S22" s="500">
        <f>+P22-R22</f>
        <v>0</v>
      </c>
      <c r="T22" s="500">
        <f>F22-L22</f>
        <v>0</v>
      </c>
      <c r="U22" s="500">
        <f>D22</f>
        <v>0</v>
      </c>
      <c r="V22" s="500">
        <v>5</v>
      </c>
      <c r="W22" s="500">
        <f>+U22*V22</f>
        <v>0</v>
      </c>
      <c r="X22" s="500"/>
      <c r="Y22" s="500"/>
      <c r="Z22" s="500"/>
      <c r="AA22" s="500"/>
      <c r="AB22" s="500">
        <f>F22</f>
        <v>0</v>
      </c>
      <c r="AC22" s="788"/>
      <c r="AD22" s="788"/>
      <c r="AE22" s="787"/>
      <c r="AF22" s="787"/>
      <c r="AG22" s="787"/>
      <c r="AH22" s="787"/>
    </row>
    <row r="23" spans="1:34" s="12" customFormat="1" ht="12.75">
      <c r="A23" s="815"/>
      <c r="B23" s="811"/>
      <c r="C23" s="502"/>
      <c r="D23" s="797"/>
      <c r="E23" s="511"/>
      <c r="F23" s="500"/>
      <c r="G23" s="797"/>
      <c r="H23" s="797"/>
      <c r="I23" s="797"/>
      <c r="J23" s="797"/>
      <c r="K23" s="797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788"/>
      <c r="AD23" s="788"/>
      <c r="AE23" s="787"/>
      <c r="AF23" s="787"/>
      <c r="AG23" s="787"/>
      <c r="AH23" s="787"/>
    </row>
    <row r="24" spans="1:34" s="12" customFormat="1" ht="12.75">
      <c r="A24" s="815"/>
      <c r="B24" s="811"/>
      <c r="C24" s="502"/>
      <c r="D24" s="797"/>
      <c r="E24" s="511"/>
      <c r="F24" s="500"/>
      <c r="G24" s="797"/>
      <c r="H24" s="797"/>
      <c r="I24" s="797"/>
      <c r="J24" s="797"/>
      <c r="K24" s="797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788"/>
      <c r="AD24" s="788"/>
      <c r="AE24" s="787"/>
      <c r="AF24" s="787"/>
      <c r="AG24" s="787"/>
      <c r="AH24" s="787"/>
    </row>
    <row r="25" spans="1:34" s="12" customFormat="1" ht="12.75">
      <c r="A25" s="815"/>
      <c r="B25" s="811"/>
      <c r="C25" s="797"/>
      <c r="D25" s="797"/>
      <c r="E25" s="511"/>
      <c r="F25" s="500"/>
      <c r="G25" s="797"/>
      <c r="H25" s="797"/>
      <c r="I25" s="797"/>
      <c r="J25" s="797"/>
      <c r="K25" s="797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788"/>
      <c r="AD25" s="788"/>
      <c r="AE25" s="787"/>
      <c r="AF25" s="787"/>
      <c r="AG25" s="787"/>
      <c r="AH25" s="787"/>
    </row>
    <row r="26" spans="1:34" s="12" customFormat="1" ht="12.75">
      <c r="A26" s="815"/>
      <c r="B26" s="811"/>
      <c r="C26" s="797"/>
      <c r="D26" s="797"/>
      <c r="E26" s="511"/>
      <c r="F26" s="500"/>
      <c r="G26" s="797"/>
      <c r="H26" s="797"/>
      <c r="I26" s="797"/>
      <c r="J26" s="797"/>
      <c r="K26" s="797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788"/>
      <c r="AD26" s="788"/>
      <c r="AE26" s="787"/>
      <c r="AF26" s="787"/>
      <c r="AG26" s="787"/>
      <c r="AH26" s="787"/>
    </row>
    <row r="27" spans="1:34" s="12" customFormat="1" ht="12.75">
      <c r="A27" s="815"/>
      <c r="B27" s="811"/>
      <c r="C27" s="797"/>
      <c r="D27" s="797"/>
      <c r="E27" s="511"/>
      <c r="F27" s="500"/>
      <c r="G27" s="797"/>
      <c r="H27" s="797"/>
      <c r="I27" s="797"/>
      <c r="J27" s="797"/>
      <c r="K27" s="797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788"/>
      <c r="AD27" s="788"/>
      <c r="AE27" s="787"/>
      <c r="AF27" s="787"/>
      <c r="AG27" s="787"/>
      <c r="AH27" s="787"/>
    </row>
    <row r="28" spans="1:34" s="12" customFormat="1" ht="12.75">
      <c r="A28" s="815"/>
      <c r="B28" s="811"/>
      <c r="C28" s="797"/>
      <c r="D28" s="797"/>
      <c r="E28" s="511"/>
      <c r="F28" s="500"/>
      <c r="G28" s="797"/>
      <c r="H28" s="797"/>
      <c r="I28" s="797"/>
      <c r="J28" s="797"/>
      <c r="K28" s="797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788"/>
      <c r="AD28" s="788"/>
      <c r="AE28" s="787"/>
      <c r="AF28" s="787"/>
      <c r="AG28" s="787"/>
      <c r="AH28" s="787"/>
    </row>
    <row r="29" spans="1:34" s="12" customFormat="1" ht="12.75">
      <c r="A29" s="815"/>
      <c r="B29" s="811"/>
      <c r="C29" s="797"/>
      <c r="D29" s="797"/>
      <c r="E29" s="511"/>
      <c r="F29" s="500"/>
      <c r="G29" s="797"/>
      <c r="H29" s="797"/>
      <c r="I29" s="797"/>
      <c r="J29" s="797"/>
      <c r="K29" s="797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788"/>
      <c r="AD29" s="788"/>
      <c r="AE29" s="787"/>
      <c r="AF29" s="787"/>
      <c r="AG29" s="787"/>
      <c r="AH29" s="787"/>
    </row>
    <row r="30" spans="1:34" s="12" customFormat="1" ht="12.75">
      <c r="A30" s="815"/>
      <c r="B30" s="811"/>
      <c r="C30" s="797"/>
      <c r="D30" s="797"/>
      <c r="E30" s="511"/>
      <c r="F30" s="500"/>
      <c r="G30" s="797"/>
      <c r="H30" s="797"/>
      <c r="I30" s="797"/>
      <c r="J30" s="797"/>
      <c r="K30" s="797"/>
      <c r="L30" s="500"/>
      <c r="M30" s="500"/>
      <c r="N30" s="500"/>
      <c r="O30" s="500"/>
      <c r="P30" s="500"/>
      <c r="Q30" s="500"/>
      <c r="R30" s="500"/>
      <c r="S30" s="500"/>
      <c r="T30" s="500"/>
      <c r="U30" s="500"/>
      <c r="V30" s="500"/>
      <c r="W30" s="500"/>
      <c r="X30" s="500"/>
      <c r="Y30" s="500"/>
      <c r="Z30" s="500"/>
      <c r="AA30" s="500"/>
      <c r="AB30" s="500"/>
      <c r="AC30" s="788"/>
      <c r="AD30" s="788"/>
      <c r="AE30" s="787"/>
      <c r="AF30" s="787"/>
      <c r="AG30" s="787"/>
      <c r="AH30" s="787"/>
    </row>
    <row r="31" spans="1:34" s="12" customFormat="1" ht="12.75">
      <c r="A31" s="815"/>
      <c r="B31" s="811"/>
      <c r="C31" s="797"/>
      <c r="D31" s="797"/>
      <c r="E31" s="511"/>
      <c r="F31" s="500"/>
      <c r="G31" s="797"/>
      <c r="H31" s="797"/>
      <c r="I31" s="797"/>
      <c r="J31" s="797"/>
      <c r="K31" s="797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0"/>
      <c r="X31" s="500"/>
      <c r="Y31" s="500"/>
      <c r="Z31" s="500"/>
      <c r="AA31" s="500"/>
      <c r="AB31" s="500"/>
      <c r="AC31" s="788"/>
      <c r="AD31" s="788"/>
      <c r="AE31" s="787"/>
      <c r="AF31" s="787"/>
      <c r="AG31" s="787"/>
      <c r="AH31" s="787"/>
    </row>
    <row r="32" spans="1:34" s="12" customFormat="1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500"/>
      <c r="N32" s="500"/>
      <c r="O32" s="500"/>
      <c r="P32" s="500"/>
      <c r="Q32" s="500"/>
      <c r="R32" s="500"/>
      <c r="S32" s="500"/>
      <c r="T32" s="500"/>
      <c r="U32" s="500"/>
      <c r="V32" s="500"/>
      <c r="W32" s="500"/>
      <c r="X32" s="500"/>
      <c r="Y32" s="500"/>
      <c r="Z32" s="500"/>
      <c r="AA32" s="500"/>
      <c r="AB32" s="500"/>
      <c r="AC32" s="788"/>
      <c r="AD32" s="788"/>
      <c r="AE32" s="787"/>
      <c r="AF32" s="787"/>
      <c r="AG32" s="787"/>
      <c r="AH32" s="787"/>
    </row>
    <row r="33" spans="1:34" s="12" customFormat="1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500"/>
      <c r="N33" s="500"/>
      <c r="O33" s="500"/>
      <c r="P33" s="500"/>
      <c r="Q33" s="500"/>
      <c r="R33" s="500"/>
      <c r="S33" s="500"/>
      <c r="T33" s="500"/>
      <c r="U33" s="500"/>
      <c r="V33" s="500"/>
      <c r="W33" s="500"/>
      <c r="X33" s="500"/>
      <c r="Y33" s="500"/>
      <c r="Z33" s="500"/>
      <c r="AA33" s="500"/>
      <c r="AB33" s="500"/>
      <c r="AC33" s="788"/>
      <c r="AD33" s="788"/>
      <c r="AE33" s="787"/>
      <c r="AF33" s="787"/>
      <c r="AG33" s="787"/>
      <c r="AH33" s="787"/>
    </row>
    <row r="34" spans="1:34" s="12" customFormat="1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500"/>
      <c r="N34" s="500"/>
      <c r="O34" s="500"/>
      <c r="P34" s="500"/>
      <c r="Q34" s="500"/>
      <c r="R34" s="500"/>
      <c r="S34" s="500"/>
      <c r="T34" s="500"/>
      <c r="U34" s="500"/>
      <c r="V34" s="500"/>
      <c r="W34" s="500"/>
      <c r="X34" s="500"/>
      <c r="Y34" s="500"/>
      <c r="Z34" s="500"/>
      <c r="AA34" s="500"/>
      <c r="AB34" s="500"/>
      <c r="AC34" s="788"/>
      <c r="AD34" s="788"/>
      <c r="AE34" s="787"/>
      <c r="AF34" s="787"/>
      <c r="AG34" s="787"/>
      <c r="AH34" s="787"/>
    </row>
    <row r="35" spans="1:34" s="12" customFormat="1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500"/>
      <c r="N35" s="500"/>
      <c r="O35" s="500"/>
      <c r="P35" s="500"/>
      <c r="Q35" s="500"/>
      <c r="R35" s="500"/>
      <c r="S35" s="500"/>
      <c r="T35" s="500"/>
      <c r="U35" s="500"/>
      <c r="V35" s="500"/>
      <c r="W35" s="500"/>
      <c r="X35" s="500"/>
      <c r="Y35" s="500"/>
      <c r="Z35" s="500"/>
      <c r="AA35" s="500"/>
      <c r="AB35" s="500"/>
      <c r="AC35" s="788"/>
      <c r="AD35" s="788"/>
      <c r="AE35" s="787"/>
      <c r="AF35" s="787"/>
      <c r="AG35" s="787"/>
      <c r="AH35" s="787"/>
    </row>
    <row r="36" spans="1:34" s="12" customFormat="1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500"/>
      <c r="N36" s="500"/>
      <c r="O36" s="500"/>
      <c r="P36" s="500"/>
      <c r="Q36" s="500"/>
      <c r="R36" s="500"/>
      <c r="S36" s="500"/>
      <c r="T36" s="500"/>
      <c r="U36" s="500"/>
      <c r="V36" s="500"/>
      <c r="W36" s="500"/>
      <c r="X36" s="500"/>
      <c r="Y36" s="500"/>
      <c r="Z36" s="500"/>
      <c r="AA36" s="500"/>
      <c r="AB36" s="500"/>
      <c r="AC36" s="788"/>
      <c r="AD36" s="788"/>
      <c r="AE36" s="787"/>
      <c r="AF36" s="787"/>
      <c r="AG36" s="787"/>
      <c r="AH36" s="787"/>
    </row>
    <row r="37" spans="1:34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500"/>
      <c r="N37" s="500"/>
      <c r="O37" s="500"/>
      <c r="P37" s="500"/>
      <c r="Q37" s="500"/>
      <c r="R37" s="500"/>
      <c r="S37" s="500"/>
      <c r="T37" s="500"/>
      <c r="U37" s="500"/>
      <c r="V37" s="500"/>
      <c r="W37" s="500"/>
      <c r="X37" s="500"/>
      <c r="Y37" s="500"/>
      <c r="Z37" s="500"/>
      <c r="AA37" s="500"/>
      <c r="AB37" s="500"/>
      <c r="AC37" s="788"/>
      <c r="AD37" s="788"/>
      <c r="AE37" s="787"/>
      <c r="AF37" s="787"/>
      <c r="AG37" s="787"/>
      <c r="AH37" s="787"/>
    </row>
    <row r="38" spans="1:34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500"/>
      <c r="N38" s="500"/>
      <c r="O38" s="500"/>
      <c r="P38" s="500"/>
      <c r="Q38" s="500"/>
      <c r="R38" s="500"/>
      <c r="S38" s="500"/>
      <c r="T38" s="500"/>
      <c r="U38" s="500"/>
      <c r="V38" s="500"/>
      <c r="W38" s="500"/>
      <c r="X38" s="500"/>
      <c r="Y38" s="500"/>
      <c r="Z38" s="500"/>
      <c r="AA38" s="500"/>
      <c r="AB38" s="500"/>
      <c r="AC38" s="788"/>
      <c r="AD38" s="788"/>
      <c r="AE38" s="787"/>
      <c r="AF38" s="787"/>
      <c r="AG38" s="787"/>
      <c r="AH38" s="787"/>
    </row>
    <row r="39" spans="1:34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500"/>
      <c r="N39" s="500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0"/>
      <c r="AB39" s="500"/>
      <c r="AC39" s="788"/>
      <c r="AD39" s="788"/>
      <c r="AE39" s="787"/>
      <c r="AF39" s="787"/>
      <c r="AG39" s="787"/>
      <c r="AH39" s="787"/>
    </row>
    <row r="40" spans="1:34" s="12" customFormat="1">
      <c r="A40" s="815"/>
      <c r="B40" s="814"/>
      <c r="C40" s="797"/>
      <c r="D40" s="797"/>
      <c r="E40" s="511"/>
      <c r="F40" s="797"/>
      <c r="G40" s="797"/>
      <c r="H40" s="797"/>
      <c r="I40" s="797"/>
      <c r="J40" s="797"/>
      <c r="K40" s="797"/>
      <c r="L40" s="500"/>
      <c r="M40" s="500"/>
      <c r="N40" s="500"/>
      <c r="O40" s="500"/>
      <c r="P40" s="500"/>
      <c r="Q40" s="500"/>
      <c r="R40" s="500"/>
      <c r="S40" s="500"/>
      <c r="T40" s="500"/>
      <c r="U40" s="500"/>
      <c r="V40" s="500"/>
      <c r="W40" s="500"/>
      <c r="X40" s="500"/>
      <c r="Y40" s="500"/>
      <c r="Z40" s="500"/>
      <c r="AA40" s="500"/>
      <c r="AB40" s="500"/>
      <c r="AC40" s="788"/>
      <c r="AD40" s="788"/>
      <c r="AE40" s="787"/>
      <c r="AF40" s="787"/>
      <c r="AG40" s="787"/>
      <c r="AH40" s="787"/>
    </row>
    <row r="41" spans="1:34" s="12" customFormat="1">
      <c r="A41" s="815"/>
      <c r="B41" s="814"/>
      <c r="C41" s="797"/>
      <c r="D41" s="797"/>
      <c r="E41" s="511"/>
      <c r="F41" s="797"/>
      <c r="G41" s="797"/>
      <c r="H41" s="797"/>
      <c r="I41" s="797"/>
      <c r="J41" s="797"/>
      <c r="K41" s="797"/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0"/>
      <c r="X41" s="500"/>
      <c r="Y41" s="500"/>
      <c r="Z41" s="500"/>
      <c r="AA41" s="500"/>
      <c r="AB41" s="500"/>
      <c r="AC41" s="788"/>
      <c r="AD41" s="788"/>
      <c r="AE41" s="787"/>
      <c r="AF41" s="787"/>
      <c r="AG41" s="787"/>
      <c r="AH41" s="787"/>
    </row>
    <row r="42" spans="1:34" s="12" customFormat="1">
      <c r="A42" s="815"/>
      <c r="B42" s="814"/>
      <c r="C42" s="797"/>
      <c r="D42" s="797"/>
      <c r="E42" s="511"/>
      <c r="F42" s="797"/>
      <c r="G42" s="797"/>
      <c r="H42" s="797"/>
      <c r="I42" s="797"/>
      <c r="J42" s="797"/>
      <c r="K42" s="797"/>
      <c r="L42" s="500"/>
      <c r="M42" s="500"/>
      <c r="N42" s="500"/>
      <c r="O42" s="500"/>
      <c r="P42" s="500"/>
      <c r="Q42" s="500"/>
      <c r="R42" s="500"/>
      <c r="S42" s="500"/>
      <c r="T42" s="500"/>
      <c r="U42" s="500"/>
      <c r="V42" s="500"/>
      <c r="W42" s="500"/>
      <c r="X42" s="500"/>
      <c r="Y42" s="500"/>
      <c r="Z42" s="500"/>
      <c r="AA42" s="500"/>
      <c r="AB42" s="500"/>
      <c r="AC42" s="788"/>
      <c r="AD42" s="788"/>
      <c r="AE42" s="787"/>
      <c r="AF42" s="787"/>
      <c r="AG42" s="787"/>
      <c r="AH42" s="787"/>
    </row>
    <row r="43" spans="1:34" s="12" customFormat="1">
      <c r="A43" s="815"/>
      <c r="B43" s="814"/>
      <c r="C43" s="797"/>
      <c r="D43" s="797"/>
      <c r="E43" s="511"/>
      <c r="F43" s="797"/>
      <c r="G43" s="797"/>
      <c r="H43" s="797"/>
      <c r="I43" s="797"/>
      <c r="J43" s="797"/>
      <c r="K43" s="797"/>
      <c r="L43" s="500"/>
      <c r="M43" s="500"/>
      <c r="N43" s="500"/>
      <c r="O43" s="500"/>
      <c r="P43" s="500"/>
      <c r="Q43" s="500"/>
      <c r="R43" s="500"/>
      <c r="S43" s="500"/>
      <c r="T43" s="500"/>
      <c r="U43" s="500"/>
      <c r="V43" s="500"/>
      <c r="W43" s="500"/>
      <c r="X43" s="500"/>
      <c r="Y43" s="500"/>
      <c r="Z43" s="500"/>
      <c r="AA43" s="500"/>
      <c r="AB43" s="500"/>
      <c r="AC43" s="788"/>
      <c r="AD43" s="788"/>
      <c r="AE43" s="787"/>
      <c r="AF43" s="787"/>
      <c r="AG43" s="787"/>
      <c r="AH43" s="787"/>
    </row>
    <row r="44" spans="1:34" s="12" customFormat="1">
      <c r="A44" s="815"/>
      <c r="B44" s="814"/>
      <c r="C44" s="797"/>
      <c r="D44" s="797"/>
      <c r="E44" s="511"/>
      <c r="F44" s="797"/>
      <c r="G44" s="797"/>
      <c r="H44" s="797"/>
      <c r="I44" s="797"/>
      <c r="J44" s="797"/>
      <c r="K44" s="797"/>
      <c r="L44" s="500"/>
      <c r="M44" s="500"/>
      <c r="N44" s="500"/>
      <c r="O44" s="500"/>
      <c r="P44" s="500"/>
      <c r="Q44" s="500"/>
      <c r="R44" s="500"/>
      <c r="S44" s="500"/>
      <c r="T44" s="500"/>
      <c r="U44" s="500"/>
      <c r="V44" s="500"/>
      <c r="W44" s="500"/>
      <c r="X44" s="500"/>
      <c r="Y44" s="500"/>
      <c r="Z44" s="500"/>
      <c r="AA44" s="500"/>
      <c r="AB44" s="500"/>
      <c r="AC44" s="788"/>
      <c r="AD44" s="788"/>
      <c r="AE44" s="787"/>
      <c r="AF44" s="787"/>
      <c r="AG44" s="787"/>
      <c r="AH44" s="787"/>
    </row>
    <row r="45" spans="1:34" s="12" customFormat="1">
      <c r="A45" s="815"/>
      <c r="B45" s="814"/>
      <c r="C45" s="797"/>
      <c r="D45" s="797"/>
      <c r="E45" s="511"/>
      <c r="F45" s="797"/>
      <c r="G45" s="797"/>
      <c r="H45" s="797"/>
      <c r="I45" s="797"/>
      <c r="J45" s="797"/>
      <c r="K45" s="797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0"/>
      <c r="X45" s="500"/>
      <c r="Y45" s="500"/>
      <c r="Z45" s="500"/>
      <c r="AA45" s="500"/>
      <c r="AB45" s="500"/>
      <c r="AC45" s="788"/>
      <c r="AD45" s="788"/>
      <c r="AE45" s="787"/>
      <c r="AF45" s="787"/>
      <c r="AG45" s="787"/>
      <c r="AH45" s="787"/>
    </row>
    <row r="46" spans="1:34" s="12" customFormat="1">
      <c r="A46" s="815"/>
      <c r="B46" s="814"/>
      <c r="C46" s="797"/>
      <c r="D46" s="797"/>
      <c r="E46" s="511"/>
      <c r="F46" s="797"/>
      <c r="G46" s="797"/>
      <c r="H46" s="797"/>
      <c r="I46" s="797"/>
      <c r="J46" s="797"/>
      <c r="K46" s="797"/>
      <c r="L46" s="500"/>
      <c r="M46" s="500"/>
      <c r="N46" s="500"/>
      <c r="O46" s="500"/>
      <c r="P46" s="500"/>
      <c r="Q46" s="500"/>
      <c r="R46" s="500"/>
      <c r="S46" s="500"/>
      <c r="T46" s="500"/>
      <c r="U46" s="500"/>
      <c r="V46" s="500"/>
      <c r="W46" s="500"/>
      <c r="X46" s="500"/>
      <c r="Y46" s="500"/>
      <c r="Z46" s="500"/>
      <c r="AA46" s="500"/>
      <c r="AB46" s="500"/>
      <c r="AC46" s="788"/>
      <c r="AD46" s="788"/>
      <c r="AE46" s="787"/>
      <c r="AF46" s="787"/>
      <c r="AG46" s="787"/>
      <c r="AH46" s="787"/>
    </row>
    <row r="47" spans="1:34" s="12" customFormat="1">
      <c r="A47" s="815"/>
      <c r="B47" s="814"/>
      <c r="C47" s="797"/>
      <c r="D47" s="797"/>
      <c r="E47" s="511"/>
      <c r="F47" s="797"/>
      <c r="G47" s="797"/>
      <c r="H47" s="797"/>
      <c r="I47" s="797"/>
      <c r="J47" s="797"/>
      <c r="K47" s="797"/>
      <c r="L47" s="500"/>
      <c r="M47" s="500"/>
      <c r="N47" s="500"/>
      <c r="O47" s="500"/>
      <c r="P47" s="500"/>
      <c r="Q47" s="500"/>
      <c r="R47" s="500"/>
      <c r="S47" s="500"/>
      <c r="T47" s="500"/>
      <c r="U47" s="500"/>
      <c r="V47" s="500"/>
      <c r="W47" s="500"/>
      <c r="X47" s="500"/>
      <c r="Y47" s="500"/>
      <c r="Z47" s="500"/>
      <c r="AA47" s="500"/>
      <c r="AB47" s="500"/>
      <c r="AC47" s="788"/>
      <c r="AD47" s="788"/>
      <c r="AE47" s="787"/>
      <c r="AF47" s="787"/>
      <c r="AG47" s="787"/>
      <c r="AH47" s="787"/>
    </row>
    <row r="48" spans="1:34" s="12" customFormat="1">
      <c r="A48" s="815"/>
      <c r="B48" s="814"/>
      <c r="C48" s="797"/>
      <c r="D48" s="797"/>
      <c r="E48" s="511"/>
      <c r="F48" s="797"/>
      <c r="G48" s="797"/>
      <c r="H48" s="797"/>
      <c r="I48" s="797"/>
      <c r="J48" s="797"/>
      <c r="K48" s="797"/>
      <c r="L48" s="500"/>
      <c r="M48" s="500"/>
      <c r="N48" s="500"/>
      <c r="O48" s="500"/>
      <c r="P48" s="500"/>
      <c r="Q48" s="500"/>
      <c r="R48" s="500"/>
      <c r="S48" s="500"/>
      <c r="T48" s="500"/>
      <c r="U48" s="500"/>
      <c r="V48" s="500"/>
      <c r="W48" s="500"/>
      <c r="X48" s="500"/>
      <c r="Y48" s="500"/>
      <c r="Z48" s="500"/>
      <c r="AA48" s="500"/>
      <c r="AB48" s="500"/>
      <c r="AC48" s="788"/>
      <c r="AD48" s="788"/>
      <c r="AE48" s="787"/>
      <c r="AF48" s="787"/>
      <c r="AG48" s="787"/>
      <c r="AH48" s="787"/>
    </row>
    <row r="49" spans="1:34" s="12" customFormat="1">
      <c r="A49" s="821"/>
      <c r="B49" s="817"/>
      <c r="C49" s="797"/>
      <c r="D49" s="797"/>
      <c r="E49" s="511"/>
      <c r="F49" s="797"/>
      <c r="G49" s="797"/>
      <c r="H49" s="797"/>
      <c r="I49" s="797"/>
      <c r="J49" s="797"/>
      <c r="K49" s="797"/>
      <c r="L49" s="500"/>
      <c r="M49" s="500"/>
      <c r="N49" s="500"/>
      <c r="O49" s="500"/>
      <c r="P49" s="500"/>
      <c r="Q49" s="500"/>
      <c r="R49" s="500"/>
      <c r="S49" s="500"/>
      <c r="T49" s="500"/>
      <c r="U49" s="500"/>
      <c r="V49" s="500"/>
      <c r="W49" s="500"/>
      <c r="X49" s="500"/>
      <c r="Y49" s="500"/>
      <c r="Z49" s="500"/>
      <c r="AA49" s="500"/>
      <c r="AB49" s="500"/>
      <c r="AC49" s="788"/>
      <c r="AD49" s="788"/>
      <c r="AE49" s="787"/>
      <c r="AF49" s="787"/>
      <c r="AG49" s="787"/>
      <c r="AH49" s="787"/>
    </row>
    <row r="50" spans="1:34" s="12" customFormat="1">
      <c r="A50" s="815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500"/>
      <c r="M50" s="500"/>
      <c r="N50" s="500"/>
      <c r="O50" s="500"/>
      <c r="P50" s="500"/>
      <c r="Q50" s="500"/>
      <c r="R50" s="500"/>
      <c r="S50" s="500"/>
      <c r="T50" s="500"/>
      <c r="U50" s="500"/>
      <c r="V50" s="500"/>
      <c r="W50" s="500"/>
      <c r="X50" s="500"/>
      <c r="Y50" s="500"/>
      <c r="Z50" s="500"/>
      <c r="AA50" s="500"/>
      <c r="AB50" s="500"/>
      <c r="AC50" s="788"/>
      <c r="AD50" s="788"/>
      <c r="AE50" s="787"/>
      <c r="AF50" s="787"/>
      <c r="AG50" s="787"/>
      <c r="AH50" s="787"/>
    </row>
    <row r="51" spans="1:34" s="12" customFormat="1">
      <c r="A51" s="821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500"/>
      <c r="M51" s="500"/>
      <c r="N51" s="500"/>
      <c r="O51" s="500"/>
      <c r="P51" s="500"/>
      <c r="Q51" s="500"/>
      <c r="R51" s="500"/>
      <c r="S51" s="500"/>
      <c r="T51" s="500"/>
      <c r="U51" s="500"/>
      <c r="V51" s="500"/>
      <c r="W51" s="500"/>
      <c r="X51" s="500"/>
      <c r="Y51" s="500"/>
      <c r="Z51" s="500"/>
      <c r="AA51" s="500"/>
      <c r="AB51" s="500"/>
      <c r="AC51" s="788"/>
      <c r="AD51" s="788"/>
      <c r="AE51" s="787"/>
      <c r="AF51" s="787"/>
      <c r="AG51" s="787"/>
      <c r="AH51" s="787"/>
    </row>
    <row r="52" spans="1:34" s="12" customFormat="1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500"/>
      <c r="M52" s="500"/>
      <c r="N52" s="500"/>
      <c r="O52" s="500"/>
      <c r="P52" s="500"/>
      <c r="Q52" s="500"/>
      <c r="R52" s="500"/>
      <c r="S52" s="500"/>
      <c r="T52" s="500"/>
      <c r="U52" s="500"/>
      <c r="V52" s="500"/>
      <c r="W52" s="500"/>
      <c r="X52" s="500"/>
      <c r="Y52" s="500"/>
      <c r="Z52" s="500"/>
      <c r="AA52" s="500"/>
      <c r="AB52" s="500"/>
      <c r="AC52" s="788"/>
      <c r="AD52" s="788"/>
      <c r="AE52" s="787"/>
      <c r="AF52" s="787"/>
      <c r="AG52" s="787"/>
      <c r="AH52" s="787"/>
    </row>
    <row r="53" spans="1:34" s="12" customFormat="1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500"/>
      <c r="M53" s="500"/>
      <c r="N53" s="500"/>
      <c r="O53" s="500"/>
      <c r="P53" s="500"/>
      <c r="Q53" s="500"/>
      <c r="R53" s="500"/>
      <c r="S53" s="500"/>
      <c r="T53" s="500"/>
      <c r="U53" s="500"/>
      <c r="V53" s="500"/>
      <c r="W53" s="500"/>
      <c r="X53" s="500"/>
      <c r="Y53" s="500"/>
      <c r="Z53" s="500"/>
      <c r="AA53" s="500"/>
      <c r="AB53" s="500"/>
      <c r="AC53" s="788"/>
      <c r="AD53" s="788"/>
      <c r="AE53" s="787"/>
      <c r="AF53" s="787"/>
      <c r="AG53" s="787"/>
      <c r="AH53" s="787"/>
    </row>
    <row r="54" spans="1:34" s="12" customFormat="1">
      <c r="A54" s="815"/>
      <c r="B54" s="817"/>
      <c r="C54" s="797"/>
      <c r="D54" s="797"/>
      <c r="E54" s="511"/>
      <c r="F54" s="797"/>
      <c r="G54" s="797"/>
      <c r="H54" s="797"/>
      <c r="I54" s="797"/>
      <c r="J54" s="797"/>
      <c r="K54" s="797"/>
      <c r="L54" s="500"/>
      <c r="M54" s="500"/>
      <c r="N54" s="500"/>
      <c r="O54" s="500"/>
      <c r="P54" s="500"/>
      <c r="Q54" s="500"/>
      <c r="R54" s="500"/>
      <c r="S54" s="500"/>
      <c r="T54" s="500"/>
      <c r="U54" s="500"/>
      <c r="V54" s="500"/>
      <c r="W54" s="500"/>
      <c r="X54" s="500"/>
      <c r="Y54" s="500"/>
      <c r="Z54" s="500"/>
      <c r="AA54" s="500"/>
      <c r="AB54" s="500"/>
      <c r="AC54" s="788"/>
      <c r="AD54" s="788"/>
      <c r="AE54" s="787"/>
      <c r="AF54" s="787"/>
      <c r="AG54" s="787"/>
      <c r="AH54" s="787"/>
    </row>
    <row r="55" spans="1:34" s="12" customFormat="1">
      <c r="A55" s="815"/>
      <c r="B55" s="814"/>
      <c r="C55" s="797"/>
      <c r="D55" s="500"/>
      <c r="E55" s="511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500"/>
      <c r="Q55" s="500"/>
      <c r="R55" s="500"/>
      <c r="S55" s="500"/>
      <c r="T55" s="500"/>
      <c r="U55" s="500"/>
      <c r="V55" s="500"/>
      <c r="W55" s="500"/>
      <c r="X55" s="500"/>
      <c r="Y55" s="500"/>
      <c r="Z55" s="500"/>
      <c r="AA55" s="500"/>
      <c r="AB55" s="500"/>
      <c r="AC55" s="788"/>
      <c r="AD55" s="788"/>
      <c r="AE55" s="787"/>
      <c r="AF55" s="787"/>
      <c r="AG55" s="787"/>
      <c r="AH55" s="787"/>
    </row>
    <row r="56" spans="1:34" s="12" customFormat="1">
      <c r="A56" s="821"/>
      <c r="B56" s="822"/>
      <c r="C56" s="797"/>
      <c r="D56" s="500"/>
      <c r="E56" s="500"/>
      <c r="F56" s="797"/>
      <c r="G56" s="500"/>
      <c r="H56" s="500"/>
      <c r="I56" s="500"/>
      <c r="J56" s="500"/>
      <c r="K56" s="500"/>
      <c r="L56" s="500"/>
      <c r="M56" s="500"/>
      <c r="N56" s="500"/>
      <c r="O56" s="500"/>
      <c r="P56" s="500"/>
      <c r="Q56" s="500"/>
      <c r="R56" s="500"/>
      <c r="S56" s="500"/>
      <c r="T56" s="500"/>
      <c r="U56" s="500"/>
      <c r="V56" s="500"/>
      <c r="W56" s="500"/>
      <c r="X56" s="500"/>
      <c r="Y56" s="500"/>
      <c r="Z56" s="500"/>
      <c r="AA56" s="500"/>
      <c r="AB56" s="500"/>
      <c r="AC56" s="788"/>
      <c r="AD56" s="788"/>
      <c r="AE56" s="787"/>
      <c r="AF56" s="787"/>
      <c r="AG56" s="787"/>
      <c r="AH56" s="787"/>
    </row>
    <row r="57" spans="1:34" s="12" customFormat="1" ht="12.75">
      <c r="A57" s="574"/>
      <c r="B57" s="575"/>
      <c r="C57" s="2262"/>
      <c r="D57" s="2263"/>
      <c r="E57" s="2263"/>
      <c r="F57" s="2262"/>
      <c r="G57" s="2263"/>
      <c r="H57" s="2263"/>
      <c r="I57" s="2263"/>
      <c r="J57" s="2263"/>
      <c r="K57" s="2263"/>
      <c r="L57" s="2263"/>
      <c r="M57" s="2263"/>
      <c r="N57" s="2263"/>
      <c r="O57" s="2263"/>
      <c r="P57" s="2263"/>
      <c r="Q57" s="2263"/>
      <c r="R57" s="2263"/>
      <c r="S57" s="2263"/>
      <c r="T57" s="2263"/>
      <c r="U57" s="2263"/>
      <c r="V57" s="2263"/>
      <c r="W57" s="2263"/>
      <c r="X57" s="2263"/>
      <c r="Y57" s="2263"/>
      <c r="Z57" s="2263"/>
      <c r="AA57" s="2263"/>
      <c r="AB57" s="2263"/>
      <c r="AC57" s="788"/>
      <c r="AD57" s="788"/>
      <c r="AE57" s="787"/>
      <c r="AF57" s="787"/>
      <c r="AG57" s="787"/>
      <c r="AH57" s="787"/>
    </row>
    <row r="58" spans="1:34" s="12" customFormat="1" ht="12.75">
      <c r="A58" s="576"/>
      <c r="B58" s="576" t="s">
        <v>371</v>
      </c>
      <c r="C58" s="2263">
        <f>SUM(C15:C57)</f>
        <v>336600</v>
      </c>
      <c r="D58" s="2263">
        <f>SUM(D15:D57)</f>
        <v>168300</v>
      </c>
      <c r="E58" s="2263"/>
      <c r="F58" s="2263">
        <f t="shared" ref="F58:W58" si="0">SUM(F15:F57)</f>
        <v>168300</v>
      </c>
      <c r="G58" s="2263">
        <f t="shared" si="0"/>
        <v>7620</v>
      </c>
      <c r="H58" s="2263">
        <f t="shared" si="0"/>
        <v>0</v>
      </c>
      <c r="I58" s="2263">
        <f t="shared" si="0"/>
        <v>168300</v>
      </c>
      <c r="J58" s="2263">
        <f t="shared" si="0"/>
        <v>0</v>
      </c>
      <c r="K58" s="2263">
        <f t="shared" si="0"/>
        <v>0</v>
      </c>
      <c r="L58" s="2263">
        <f t="shared" si="0"/>
        <v>168300</v>
      </c>
      <c r="M58" s="2263">
        <f t="shared" si="0"/>
        <v>0</v>
      </c>
      <c r="N58" s="2263">
        <f t="shared" si="0"/>
        <v>7620</v>
      </c>
      <c r="O58" s="2263">
        <f t="shared" si="0"/>
        <v>2</v>
      </c>
      <c r="P58" s="2263">
        <f t="shared" si="0"/>
        <v>0</v>
      </c>
      <c r="Q58" s="2263">
        <f t="shared" si="0"/>
        <v>0</v>
      </c>
      <c r="R58" s="2263">
        <f t="shared" si="0"/>
        <v>0</v>
      </c>
      <c r="S58" s="2263">
        <f t="shared" si="0"/>
        <v>0</v>
      </c>
      <c r="T58" s="893">
        <f>W58-L58</f>
        <v>0</v>
      </c>
      <c r="U58" s="2263">
        <f t="shared" si="0"/>
        <v>168300</v>
      </c>
      <c r="V58" s="2263">
        <f t="shared" si="0"/>
        <v>7</v>
      </c>
      <c r="W58" s="2263">
        <f t="shared" si="0"/>
        <v>168300</v>
      </c>
      <c r="X58" s="2263">
        <f>SUM(X14:X57)</f>
        <v>168300</v>
      </c>
      <c r="Y58" s="2263">
        <f>SUM(Y14:Y57)</f>
        <v>7620</v>
      </c>
      <c r="Z58" s="2263">
        <f>SUM(Z14:Z57)</f>
        <v>0</v>
      </c>
      <c r="AA58" s="2263">
        <f>SUM(AA14:AA57)</f>
        <v>0</v>
      </c>
      <c r="AB58" s="2263">
        <f>SUM(AB15:AB57)</f>
        <v>168300</v>
      </c>
      <c r="AC58" s="788"/>
      <c r="AD58" s="788"/>
      <c r="AE58" s="787"/>
      <c r="AF58" s="787"/>
      <c r="AG58" s="787"/>
      <c r="AH58" s="787"/>
    </row>
    <row r="59" spans="1:34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769"/>
      <c r="O59" s="213"/>
      <c r="P59" s="1769"/>
      <c r="Q59" s="213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7"/>
      <c r="AF59" s="787"/>
      <c r="AG59" s="787"/>
      <c r="AH59" s="787"/>
    </row>
    <row r="60" spans="1:34" s="12" customFormat="1">
      <c r="A60" s="43"/>
      <c r="B60" s="44"/>
      <c r="C60" s="213"/>
      <c r="D60" s="213"/>
      <c r="E60" s="213"/>
      <c r="F60" s="1769"/>
      <c r="G60" s="1769"/>
      <c r="H60" s="1769"/>
      <c r="I60" s="1769"/>
      <c r="J60" s="1769"/>
      <c r="K60" s="1769"/>
      <c r="L60" s="1769"/>
      <c r="M60" s="1769"/>
      <c r="N60" s="1769"/>
      <c r="O60" s="213"/>
      <c r="P60" s="1769"/>
      <c r="Q60" s="213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1769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1769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213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 t="s">
        <v>59</v>
      </c>
      <c r="B64" s="454"/>
      <c r="C64" s="213"/>
      <c r="D64" s="213"/>
      <c r="E64" s="213"/>
      <c r="F64" s="1769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1769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7"/>
      <c r="AF72" s="787"/>
      <c r="AG72" s="787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7"/>
      <c r="AF73" s="787"/>
      <c r="AG73" s="787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7"/>
      <c r="AF74" s="787"/>
      <c r="AG74" s="787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7"/>
      <c r="AF75" s="787"/>
      <c r="AG75" s="787"/>
      <c r="AH75" s="787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conditionalFormatting sqref="T58">
    <cfRule type="cellIs" dxfId="51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0">
    <pageSetUpPr fitToPage="1"/>
  </sheetPr>
  <dimension ref="A1:AE75"/>
  <sheetViews>
    <sheetView showGridLines="0" showZeros="0" view="pageBreakPreview" topLeftCell="J2" zoomScaleNormal="100" zoomScaleSheetLayoutView="100" workbookViewId="0">
      <selection activeCell="P23" sqref="P23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492</v>
      </c>
      <c r="C2" s="826"/>
      <c r="D2" s="826"/>
      <c r="E2" s="827"/>
      <c r="F2" s="826"/>
      <c r="G2" s="826"/>
      <c r="H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149"/>
      <c r="F3" s="243" t="s">
        <v>84</v>
      </c>
      <c r="G3" s="2136" t="s">
        <v>448</v>
      </c>
      <c r="H3" s="828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491</v>
      </c>
      <c r="C4" s="1325"/>
      <c r="D4" s="1325"/>
      <c r="E4" s="2150"/>
      <c r="F4" s="1324"/>
      <c r="G4" s="825"/>
      <c r="H4" s="825"/>
      <c r="I4" s="302"/>
      <c r="J4" s="302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1492">
        <v>201301121</v>
      </c>
      <c r="C5" s="828"/>
      <c r="D5" s="828"/>
      <c r="E5" s="831"/>
      <c r="F5" s="825"/>
      <c r="G5" s="825"/>
      <c r="H5" s="826"/>
      <c r="J5" s="302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490</v>
      </c>
      <c r="C6" s="828"/>
      <c r="D6" s="828"/>
      <c r="E6" s="831"/>
      <c r="F6" s="825"/>
      <c r="G6" s="825"/>
      <c r="H6" s="833"/>
      <c r="I6" s="313"/>
      <c r="J6" s="314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 ht="22.5">
      <c r="A14" s="330">
        <v>1</v>
      </c>
      <c r="B14" s="909" t="s">
        <v>489</v>
      </c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354"/>
      <c r="D15" s="144"/>
      <c r="E15" s="190"/>
      <c r="F15" s="124">
        <f>D15*E15</f>
        <v>0</v>
      </c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>
        <f>U15*V15</f>
        <v>0</v>
      </c>
      <c r="X15" s="895"/>
      <c r="Y15" s="895"/>
      <c r="Z15" s="895"/>
      <c r="AA15" s="895"/>
      <c r="AB15" s="895">
        <v>0</v>
      </c>
    </row>
    <row r="16" spans="1:31">
      <c r="A16" s="178" t="s">
        <v>488</v>
      </c>
      <c r="B16" s="366" t="s">
        <v>487</v>
      </c>
      <c r="C16" s="124">
        <f>F16</f>
        <v>88200</v>
      </c>
      <c r="D16" s="124">
        <f>490000*1.2*0.15</f>
        <v>88200</v>
      </c>
      <c r="E16" s="357">
        <v>1</v>
      </c>
      <c r="F16" s="124">
        <f>D16*E16</f>
        <v>88200</v>
      </c>
      <c r="G16" s="143"/>
      <c r="H16" s="143"/>
      <c r="I16" s="143">
        <f>U16</f>
        <v>88200</v>
      </c>
      <c r="J16" s="143"/>
      <c r="K16" s="143"/>
      <c r="L16" s="143">
        <f t="shared" ref="L16:L21" si="0">+I16-J16+K16</f>
        <v>88200</v>
      </c>
      <c r="M16" s="143"/>
      <c r="N16" s="143">
        <f>G16</f>
        <v>0</v>
      </c>
      <c r="O16" s="143">
        <v>1</v>
      </c>
      <c r="P16" s="124">
        <f>O16*U16</f>
        <v>88200</v>
      </c>
      <c r="Q16" s="358"/>
      <c r="R16" s="124"/>
      <c r="S16" s="143">
        <f>P16-R16</f>
        <v>88200</v>
      </c>
      <c r="T16" s="143"/>
      <c r="U16" s="124">
        <v>88200</v>
      </c>
      <c r="V16" s="357">
        <v>1</v>
      </c>
      <c r="W16" s="124">
        <f t="shared" ref="W16:W22" si="1">V16*U16</f>
        <v>88200</v>
      </c>
      <c r="X16" s="143">
        <v>88200</v>
      </c>
      <c r="Y16" s="143"/>
      <c r="Z16" s="143"/>
      <c r="AA16" s="143"/>
      <c r="AB16" s="124">
        <v>88200</v>
      </c>
    </row>
    <row r="17" spans="1:31">
      <c r="A17" s="178"/>
      <c r="B17" s="366"/>
      <c r="C17" s="124"/>
      <c r="D17" s="124"/>
      <c r="E17" s="357"/>
      <c r="F17" s="124"/>
      <c r="G17" s="143"/>
      <c r="H17" s="143"/>
      <c r="I17" s="143">
        <f>U17</f>
        <v>0</v>
      </c>
      <c r="J17" s="143"/>
      <c r="K17" s="143">
        <f>+K16/1.2</f>
        <v>0</v>
      </c>
      <c r="L17" s="143">
        <f t="shared" si="0"/>
        <v>0</v>
      </c>
      <c r="M17" s="143">
        <f>+M16/1.2</f>
        <v>0</v>
      </c>
      <c r="N17" s="143">
        <f>+N16/1.2</f>
        <v>0</v>
      </c>
      <c r="O17" s="143"/>
      <c r="P17" s="143"/>
      <c r="Q17" s="141"/>
      <c r="R17" s="124"/>
      <c r="S17" s="143">
        <f t="shared" ref="S17:S21" si="2">P17-R17</f>
        <v>0</v>
      </c>
      <c r="T17" s="143"/>
      <c r="U17" s="143"/>
      <c r="V17" s="190"/>
      <c r="W17" s="124">
        <f t="shared" si="1"/>
        <v>0</v>
      </c>
      <c r="X17" s="143">
        <v>0</v>
      </c>
      <c r="Y17" s="143"/>
      <c r="Z17" s="143"/>
      <c r="AA17" s="143"/>
      <c r="AB17" s="143"/>
      <c r="AC17" s="305"/>
      <c r="AD17" s="305"/>
      <c r="AE17" s="305"/>
    </row>
    <row r="18" spans="1:31">
      <c r="A18" s="178" t="s">
        <v>486</v>
      </c>
      <c r="B18" s="366" t="s">
        <v>485</v>
      </c>
      <c r="C18" s="124">
        <f>F18</f>
        <v>176400</v>
      </c>
      <c r="D18" s="124">
        <f>490000*1.2*0.3</f>
        <v>176400</v>
      </c>
      <c r="E18" s="357">
        <v>1</v>
      </c>
      <c r="F18" s="124">
        <f>D18*E18</f>
        <v>176400</v>
      </c>
      <c r="G18" s="2327">
        <v>74400</v>
      </c>
      <c r="H18" s="2327" t="s">
        <v>373</v>
      </c>
      <c r="I18" s="143">
        <f>U18</f>
        <v>176400</v>
      </c>
      <c r="J18" s="143"/>
      <c r="K18" s="143"/>
      <c r="L18" s="143">
        <f t="shared" si="0"/>
        <v>176400</v>
      </c>
      <c r="M18" s="143"/>
      <c r="N18" s="143">
        <v>77760</v>
      </c>
      <c r="O18" s="143"/>
      <c r="P18" s="124">
        <v>176400</v>
      </c>
      <c r="Q18" s="141"/>
      <c r="R18" s="143"/>
      <c r="S18" s="143">
        <f t="shared" si="2"/>
        <v>176400</v>
      </c>
      <c r="T18" s="143"/>
      <c r="U18" s="124">
        <v>176400</v>
      </c>
      <c r="V18" s="190">
        <v>1</v>
      </c>
      <c r="W18" s="124">
        <f t="shared" si="1"/>
        <v>176400</v>
      </c>
      <c r="X18" s="143">
        <v>176400</v>
      </c>
      <c r="Y18" s="143">
        <v>77760</v>
      </c>
      <c r="Z18" s="143"/>
      <c r="AA18" s="143"/>
      <c r="AB18" s="124">
        <v>176400</v>
      </c>
      <c r="AC18" s="305"/>
      <c r="AD18" s="305"/>
      <c r="AE18" s="305"/>
    </row>
    <row r="19" spans="1:31">
      <c r="A19" s="178"/>
      <c r="B19" s="366"/>
      <c r="C19" s="124"/>
      <c r="D19" s="124"/>
      <c r="E19" s="357"/>
      <c r="F19" s="124"/>
      <c r="G19" s="143"/>
      <c r="H19" s="143"/>
      <c r="I19" s="143"/>
      <c r="J19" s="143"/>
      <c r="K19" s="143"/>
      <c r="L19" s="143">
        <f t="shared" si="0"/>
        <v>0</v>
      </c>
      <c r="M19" s="143"/>
      <c r="N19" s="143"/>
      <c r="O19" s="143"/>
      <c r="P19" s="143"/>
      <c r="Q19" s="141"/>
      <c r="R19" s="143"/>
      <c r="S19" s="143">
        <f t="shared" si="2"/>
        <v>0</v>
      </c>
      <c r="T19" s="143"/>
      <c r="U19" s="143"/>
      <c r="V19" s="190"/>
      <c r="W19" s="124">
        <f t="shared" si="1"/>
        <v>0</v>
      </c>
      <c r="X19" s="143"/>
      <c r="Y19" s="143"/>
      <c r="Z19" s="143"/>
      <c r="AA19" s="143"/>
      <c r="AB19" s="143"/>
      <c r="AC19" s="305"/>
      <c r="AD19" s="305"/>
      <c r="AE19" s="305"/>
    </row>
    <row r="20" spans="1:31">
      <c r="A20" s="178" t="s">
        <v>484</v>
      </c>
      <c r="B20" s="366" t="s">
        <v>483</v>
      </c>
      <c r="C20" s="124">
        <f>F20</f>
        <v>235200</v>
      </c>
      <c r="D20" s="124">
        <f>490000*1.2*0.4</f>
        <v>235200</v>
      </c>
      <c r="E20" s="357">
        <v>1</v>
      </c>
      <c r="F20" s="124">
        <f>D20*E20</f>
        <v>235200</v>
      </c>
      <c r="G20" s="143"/>
      <c r="H20" s="143"/>
      <c r="I20" s="143">
        <f>+W20</f>
        <v>235200</v>
      </c>
      <c r="J20" s="143">
        <f>0.2*I20</f>
        <v>47040</v>
      </c>
      <c r="K20" s="143"/>
      <c r="L20" s="143">
        <f t="shared" si="0"/>
        <v>188160</v>
      </c>
      <c r="M20" s="143"/>
      <c r="N20" s="143"/>
      <c r="O20" s="143"/>
      <c r="P20" s="143"/>
      <c r="Q20" s="141"/>
      <c r="R20" s="124"/>
      <c r="S20" s="143">
        <f>P20-R20</f>
        <v>0</v>
      </c>
      <c r="T20" s="143"/>
      <c r="U20" s="143">
        <v>235200</v>
      </c>
      <c r="V20" s="190">
        <v>1</v>
      </c>
      <c r="W20" s="124">
        <f t="shared" si="1"/>
        <v>235200</v>
      </c>
      <c r="X20" s="143"/>
      <c r="Y20" s="143"/>
      <c r="Z20" s="143"/>
      <c r="AA20" s="143"/>
      <c r="AB20" s="143">
        <v>235200</v>
      </c>
      <c r="AC20" s="305"/>
      <c r="AD20" s="305"/>
      <c r="AE20" s="305"/>
    </row>
    <row r="21" spans="1:31" ht="12.75" customHeight="1">
      <c r="A21" s="354"/>
      <c r="B21" s="366"/>
      <c r="C21" s="124"/>
      <c r="D21" s="124"/>
      <c r="E21" s="357"/>
      <c r="F21" s="124"/>
      <c r="G21" s="143"/>
      <c r="H21" s="143"/>
      <c r="I21" s="143"/>
      <c r="J21" s="143"/>
      <c r="K21" s="143"/>
      <c r="L21" s="143">
        <f t="shared" si="0"/>
        <v>0</v>
      </c>
      <c r="M21" s="143"/>
      <c r="N21" s="143"/>
      <c r="O21" s="143"/>
      <c r="P21" s="143"/>
      <c r="Q21" s="141"/>
      <c r="R21" s="124"/>
      <c r="S21" s="143">
        <f t="shared" si="2"/>
        <v>0</v>
      </c>
      <c r="T21" s="143"/>
      <c r="U21" s="143"/>
      <c r="V21" s="190"/>
      <c r="W21" s="124">
        <f t="shared" si="1"/>
        <v>0</v>
      </c>
      <c r="X21" s="143"/>
      <c r="Y21" s="143"/>
      <c r="Z21" s="143"/>
      <c r="AA21" s="143"/>
      <c r="AB21" s="143"/>
      <c r="AC21" s="305"/>
      <c r="AD21" s="305"/>
      <c r="AE21" s="305"/>
    </row>
    <row r="22" spans="1:31">
      <c r="A22" s="178" t="s">
        <v>482</v>
      </c>
      <c r="B22" s="366" t="s">
        <v>481</v>
      </c>
      <c r="C22" s="124">
        <f>F22</f>
        <v>88200</v>
      </c>
      <c r="D22" s="124">
        <f>490000*1.2*0.15</f>
        <v>88200</v>
      </c>
      <c r="E22" s="357">
        <v>1</v>
      </c>
      <c r="F22" s="124">
        <f>D22*E22</f>
        <v>88200</v>
      </c>
      <c r="G22" s="143"/>
      <c r="H22" s="143"/>
      <c r="I22" s="143"/>
      <c r="J22" s="143"/>
      <c r="K22" s="143"/>
      <c r="L22" s="143">
        <f t="shared" ref="L22:L43" si="3">+I22+J22-K22</f>
        <v>0</v>
      </c>
      <c r="M22" s="143"/>
      <c r="N22" s="143"/>
      <c r="O22" s="143"/>
      <c r="P22" s="143"/>
      <c r="Q22" s="141"/>
      <c r="R22" s="143"/>
      <c r="S22" s="143"/>
      <c r="T22" s="143"/>
      <c r="U22" s="143">
        <v>88200</v>
      </c>
      <c r="V22" s="190">
        <v>1</v>
      </c>
      <c r="W22" s="124">
        <f t="shared" si="1"/>
        <v>88200</v>
      </c>
      <c r="X22" s="143"/>
      <c r="Y22" s="143"/>
      <c r="Z22" s="143"/>
      <c r="AA22" s="143"/>
      <c r="AB22" s="143">
        <v>88200</v>
      </c>
      <c r="AC22" s="305"/>
      <c r="AD22" s="305"/>
      <c r="AE22" s="305"/>
    </row>
    <row r="23" spans="1:31">
      <c r="A23" s="178"/>
      <c r="B23" s="366"/>
      <c r="C23" s="124"/>
      <c r="D23" s="124"/>
      <c r="E23" s="357"/>
      <c r="F23" s="124"/>
      <c r="G23" s="143"/>
      <c r="H23" s="143"/>
      <c r="I23" s="143"/>
      <c r="J23" s="143"/>
      <c r="K23" s="143"/>
      <c r="L23" s="143">
        <f t="shared" si="3"/>
        <v>0</v>
      </c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  <c r="AC23" s="305"/>
      <c r="AD23" s="305"/>
      <c r="AE23" s="305"/>
    </row>
    <row r="24" spans="1:31">
      <c r="A24" s="178"/>
      <c r="B24" s="366"/>
      <c r="C24" s="124"/>
      <c r="D24" s="124"/>
      <c r="E24" s="357"/>
      <c r="F24" s="124"/>
      <c r="G24" s="143"/>
      <c r="H24" s="143"/>
      <c r="I24" s="143"/>
      <c r="J24" s="143"/>
      <c r="K24" s="143"/>
      <c r="L24" s="143">
        <f t="shared" si="3"/>
        <v>0</v>
      </c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  <c r="AC24" s="305"/>
      <c r="AD24" s="305"/>
      <c r="AE24" s="305"/>
    </row>
    <row r="25" spans="1:31">
      <c r="A25" s="178"/>
      <c r="B25" s="366"/>
      <c r="C25" s="124"/>
      <c r="D25" s="124"/>
      <c r="E25" s="357"/>
      <c r="F25" s="124"/>
      <c r="G25" s="143"/>
      <c r="H25" s="143"/>
      <c r="I25" s="143"/>
      <c r="J25" s="143"/>
      <c r="K25" s="143"/>
      <c r="L25" s="143">
        <f t="shared" si="3"/>
        <v>0</v>
      </c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  <c r="AC25" s="305"/>
      <c r="AD25" s="305"/>
      <c r="AE25" s="305"/>
    </row>
    <row r="26" spans="1:31">
      <c r="A26" s="178"/>
      <c r="B26" s="366"/>
      <c r="C26" s="124"/>
      <c r="D26" s="124"/>
      <c r="E26" s="357"/>
      <c r="F26" s="124"/>
      <c r="G26" s="143"/>
      <c r="H26" s="143"/>
      <c r="I26" s="143"/>
      <c r="J26" s="143"/>
      <c r="K26" s="143"/>
      <c r="L26" s="143">
        <f t="shared" si="3"/>
        <v>0</v>
      </c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  <c r="AC26" s="305"/>
      <c r="AD26" s="305"/>
      <c r="AE26" s="305"/>
    </row>
    <row r="27" spans="1:31">
      <c r="A27" s="178"/>
      <c r="B27" s="366"/>
      <c r="C27" s="124"/>
      <c r="D27" s="124"/>
      <c r="E27" s="357"/>
      <c r="F27" s="124"/>
      <c r="G27" s="143"/>
      <c r="H27" s="143"/>
      <c r="I27" s="143"/>
      <c r="J27" s="143"/>
      <c r="K27" s="143"/>
      <c r="L27" s="143">
        <f t="shared" si="3"/>
        <v>0</v>
      </c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  <c r="AC27" s="305"/>
      <c r="AD27" s="305"/>
      <c r="AE27" s="305"/>
    </row>
    <row r="28" spans="1:31">
      <c r="A28" s="178"/>
      <c r="B28" s="366"/>
      <c r="C28" s="124"/>
      <c r="D28" s="124"/>
      <c r="E28" s="357"/>
      <c r="F28" s="124"/>
      <c r="G28" s="143"/>
      <c r="H28" s="143"/>
      <c r="I28" s="143"/>
      <c r="J28" s="143"/>
      <c r="K28" s="143"/>
      <c r="L28" s="143">
        <f t="shared" si="3"/>
        <v>0</v>
      </c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  <c r="AC28" s="305"/>
      <c r="AD28" s="305"/>
      <c r="AE28" s="305"/>
    </row>
    <row r="29" spans="1:31">
      <c r="A29" s="178"/>
      <c r="B29" s="366"/>
      <c r="C29" s="124"/>
      <c r="D29" s="124"/>
      <c r="E29" s="357"/>
      <c r="F29" s="124"/>
      <c r="G29" s="124"/>
      <c r="H29" s="124"/>
      <c r="I29" s="191"/>
      <c r="J29" s="124"/>
      <c r="K29" s="124"/>
      <c r="L29" s="143">
        <f t="shared" si="3"/>
        <v>0</v>
      </c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877"/>
      <c r="Y29" s="877"/>
      <c r="Z29" s="877"/>
      <c r="AA29" s="877"/>
      <c r="AB29" s="877"/>
      <c r="AC29" s="305"/>
      <c r="AD29" s="305"/>
      <c r="AE29" s="305"/>
    </row>
    <row r="30" spans="1:31">
      <c r="A30" s="178"/>
      <c r="B30" s="366"/>
      <c r="C30" s="124"/>
      <c r="D30" s="124"/>
      <c r="E30" s="357"/>
      <c r="F30" s="124"/>
      <c r="G30" s="124"/>
      <c r="H30" s="124"/>
      <c r="I30" s="191"/>
      <c r="J30" s="124"/>
      <c r="K30" s="124"/>
      <c r="L30" s="143">
        <f t="shared" si="3"/>
        <v>0</v>
      </c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877"/>
      <c r="Y30" s="877"/>
      <c r="Z30" s="877"/>
      <c r="AA30" s="877"/>
      <c r="AB30" s="877"/>
      <c r="AC30" s="305"/>
      <c r="AD30" s="305"/>
      <c r="AE30" s="305"/>
    </row>
    <row r="31" spans="1:31">
      <c r="A31" s="178"/>
      <c r="B31" s="366"/>
      <c r="C31" s="124"/>
      <c r="D31" s="124"/>
      <c r="E31" s="357"/>
      <c r="F31" s="124"/>
      <c r="G31" s="124"/>
      <c r="H31" s="124"/>
      <c r="I31" s="191"/>
      <c r="J31" s="124"/>
      <c r="K31" s="124"/>
      <c r="L31" s="143">
        <f t="shared" si="3"/>
        <v>0</v>
      </c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877"/>
      <c r="Y31" s="877"/>
      <c r="Z31" s="877"/>
      <c r="AA31" s="877"/>
      <c r="AB31" s="877"/>
      <c r="AC31" s="305"/>
      <c r="AD31" s="305"/>
      <c r="AE31" s="305"/>
    </row>
    <row r="32" spans="1:31">
      <c r="A32" s="178"/>
      <c r="B32" s="360"/>
      <c r="C32" s="124"/>
      <c r="D32" s="124"/>
      <c r="E32" s="357"/>
      <c r="F32" s="124"/>
      <c r="G32" s="124"/>
      <c r="H32" s="124"/>
      <c r="I32" s="191"/>
      <c r="J32" s="124"/>
      <c r="K32" s="124"/>
      <c r="L32" s="143">
        <f t="shared" si="3"/>
        <v>0</v>
      </c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877"/>
      <c r="Y32" s="877"/>
      <c r="Z32" s="877"/>
      <c r="AA32" s="877"/>
      <c r="AB32" s="877"/>
      <c r="AC32" s="305"/>
      <c r="AD32" s="305"/>
      <c r="AE32" s="305"/>
    </row>
    <row r="33" spans="1:31">
      <c r="A33" s="178"/>
      <c r="B33" s="179"/>
      <c r="C33" s="124"/>
      <c r="D33" s="124"/>
      <c r="E33" s="357"/>
      <c r="F33" s="124"/>
      <c r="G33" s="124"/>
      <c r="H33" s="124"/>
      <c r="I33" s="191"/>
      <c r="J33" s="124"/>
      <c r="K33" s="124"/>
      <c r="L33" s="143">
        <f t="shared" si="3"/>
        <v>0</v>
      </c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877"/>
      <c r="AC33" s="305"/>
      <c r="AD33" s="305"/>
      <c r="AE33" s="305"/>
    </row>
    <row r="34" spans="1:31">
      <c r="A34" s="178"/>
      <c r="B34" s="179"/>
      <c r="C34" s="124"/>
      <c r="D34" s="124"/>
      <c r="E34" s="357"/>
      <c r="F34" s="124"/>
      <c r="G34" s="124"/>
      <c r="H34" s="124"/>
      <c r="I34" s="191"/>
      <c r="J34" s="124"/>
      <c r="K34" s="124"/>
      <c r="L34" s="143">
        <f t="shared" si="3"/>
        <v>0</v>
      </c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  <c r="AC34" s="305"/>
      <c r="AD34" s="305"/>
      <c r="AE34" s="305"/>
    </row>
    <row r="35" spans="1:31">
      <c r="A35" s="178"/>
      <c r="B35" s="179"/>
      <c r="C35" s="124"/>
      <c r="D35" s="124"/>
      <c r="E35" s="357"/>
      <c r="F35" s="124"/>
      <c r="G35" s="124"/>
      <c r="H35" s="124"/>
      <c r="I35" s="191"/>
      <c r="J35" s="124"/>
      <c r="K35" s="124"/>
      <c r="L35" s="143">
        <f t="shared" si="3"/>
        <v>0</v>
      </c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  <c r="AC35" s="305"/>
      <c r="AD35" s="305"/>
      <c r="AE35" s="305"/>
    </row>
    <row r="36" spans="1:31">
      <c r="A36" s="178"/>
      <c r="B36" s="179"/>
      <c r="C36" s="124"/>
      <c r="D36" s="124"/>
      <c r="E36" s="357"/>
      <c r="F36" s="124"/>
      <c r="G36" s="124"/>
      <c r="H36" s="124"/>
      <c r="I36" s="191"/>
      <c r="J36" s="124"/>
      <c r="K36" s="124"/>
      <c r="L36" s="143">
        <f t="shared" si="3"/>
        <v>0</v>
      </c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  <c r="AC36" s="305"/>
      <c r="AD36" s="305"/>
      <c r="AE36" s="305"/>
    </row>
    <row r="37" spans="1:31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>
        <f t="shared" si="3"/>
        <v>0</v>
      </c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877"/>
      <c r="Y37" s="877"/>
      <c r="Z37" s="877"/>
      <c r="AA37" s="877"/>
      <c r="AB37" s="877"/>
      <c r="AC37" s="305"/>
      <c r="AD37" s="305"/>
      <c r="AE37" s="305"/>
    </row>
    <row r="38" spans="1:31">
      <c r="A38" s="178"/>
      <c r="B38" s="179"/>
      <c r="C38" s="124"/>
      <c r="D38" s="124"/>
      <c r="E38" s="357"/>
      <c r="F38" s="124"/>
      <c r="G38" s="124"/>
      <c r="H38" s="124"/>
      <c r="I38" s="191"/>
      <c r="J38" s="124"/>
      <c r="K38" s="124"/>
      <c r="L38" s="143">
        <f t="shared" si="3"/>
        <v>0</v>
      </c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877"/>
      <c r="Y38" s="877"/>
      <c r="Z38" s="877"/>
      <c r="AA38" s="877"/>
      <c r="AB38" s="877"/>
      <c r="AC38" s="305"/>
      <c r="AD38" s="305"/>
      <c r="AE38" s="305"/>
    </row>
    <row r="39" spans="1:31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>
        <f t="shared" si="3"/>
        <v>0</v>
      </c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877"/>
      <c r="Y39" s="877"/>
      <c r="Z39" s="877"/>
      <c r="AA39" s="877"/>
      <c r="AB39" s="877"/>
      <c r="AC39" s="305"/>
      <c r="AD39" s="305"/>
      <c r="AE39" s="305"/>
    </row>
    <row r="40" spans="1:31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>
        <f t="shared" si="3"/>
        <v>0</v>
      </c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  <c r="AC40" s="305"/>
      <c r="AD40" s="305"/>
      <c r="AE40" s="305"/>
    </row>
    <row r="41" spans="1:31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>
        <f t="shared" si="3"/>
        <v>0</v>
      </c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  <c r="AC41" s="305"/>
      <c r="AD41" s="305"/>
      <c r="AE41" s="305"/>
    </row>
    <row r="42" spans="1:31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>
        <f t="shared" si="3"/>
        <v>0</v>
      </c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  <c r="AC42" s="305"/>
      <c r="AD42" s="305"/>
      <c r="AE42" s="305"/>
    </row>
    <row r="43" spans="1:31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>
        <f t="shared" si="3"/>
        <v>0</v>
      </c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  <c r="AC43" s="305"/>
      <c r="AD43" s="305"/>
      <c r="AE43" s="305"/>
    </row>
    <row r="44" spans="1:31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  <c r="AC44" s="305"/>
      <c r="AD44" s="305"/>
      <c r="AE44" s="305"/>
    </row>
    <row r="45" spans="1:31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  <c r="AC45" s="305"/>
      <c r="AD45" s="305"/>
      <c r="AE45" s="305"/>
    </row>
    <row r="46" spans="1:31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>
        <f t="shared" ref="L46:L52" si="4">+I46+J46-K46</f>
        <v>0</v>
      </c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  <c r="AC46" s="305"/>
      <c r="AD46" s="305"/>
      <c r="AE46" s="305"/>
    </row>
    <row r="47" spans="1:31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>
        <f t="shared" si="4"/>
        <v>0</v>
      </c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  <c r="AC47" s="305"/>
      <c r="AD47" s="305"/>
      <c r="AE47" s="305"/>
    </row>
    <row r="48" spans="1:31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>
        <f t="shared" si="4"/>
        <v>0</v>
      </c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877"/>
      <c r="Y48" s="877"/>
      <c r="Z48" s="877"/>
      <c r="AA48" s="877"/>
      <c r="AB48" s="877"/>
      <c r="AC48" s="305"/>
      <c r="AD48" s="305"/>
      <c r="AE48" s="305"/>
    </row>
    <row r="49" spans="1:31">
      <c r="A49" s="178"/>
      <c r="B49" s="365" t="s">
        <v>768</v>
      </c>
      <c r="C49" s="124"/>
      <c r="D49" s="124"/>
      <c r="E49" s="190"/>
      <c r="F49" s="124"/>
      <c r="G49" s="124"/>
      <c r="H49" s="124"/>
      <c r="I49" s="124"/>
      <c r="J49" s="124"/>
      <c r="K49" s="124"/>
      <c r="L49" s="143">
        <f t="shared" si="4"/>
        <v>0</v>
      </c>
      <c r="M49" s="124"/>
      <c r="N49" s="124"/>
      <c r="O49" s="124"/>
      <c r="P49" s="143">
        <f>O49*D49</f>
        <v>0</v>
      </c>
      <c r="Q49" s="124"/>
      <c r="R49" s="143">
        <v>277190</v>
      </c>
      <c r="S49" s="143">
        <f>+P49-R49</f>
        <v>-277190</v>
      </c>
      <c r="T49" s="877"/>
      <c r="U49" s="124"/>
      <c r="V49" s="190"/>
      <c r="W49" s="124"/>
      <c r="X49" s="877">
        <f>+N49-W49</f>
        <v>0</v>
      </c>
      <c r="Y49" s="877"/>
      <c r="Z49" s="877"/>
      <c r="AA49" s="877"/>
      <c r="AB49" s="877"/>
      <c r="AC49" s="305"/>
      <c r="AD49" s="305"/>
      <c r="AE49" s="305"/>
    </row>
    <row r="50" spans="1:31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>
        <f t="shared" si="4"/>
        <v>0</v>
      </c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877"/>
      <c r="Y50" s="877"/>
      <c r="Z50" s="877"/>
      <c r="AA50" s="877"/>
      <c r="AB50" s="877"/>
      <c r="AC50" s="305"/>
      <c r="AD50" s="305"/>
      <c r="AE50" s="305"/>
    </row>
    <row r="51" spans="1:31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>
        <f t="shared" si="4"/>
        <v>0</v>
      </c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877"/>
      <c r="Y51" s="877"/>
      <c r="Z51" s="877"/>
      <c r="AA51" s="877"/>
      <c r="AB51" s="877"/>
      <c r="AC51" s="305"/>
      <c r="AD51" s="305"/>
      <c r="AE51" s="305"/>
    </row>
    <row r="52" spans="1:31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>
        <f t="shared" si="4"/>
        <v>0</v>
      </c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877"/>
      <c r="Y52" s="877"/>
      <c r="Z52" s="877"/>
      <c r="AA52" s="877"/>
      <c r="AB52" s="877"/>
      <c r="AC52" s="305"/>
      <c r="AD52" s="305"/>
      <c r="AE52" s="305"/>
    </row>
    <row r="53" spans="1:31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  <c r="AC53" s="305"/>
      <c r="AD53" s="305"/>
      <c r="AE53" s="305"/>
    </row>
    <row r="54" spans="1:31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>
        <f>+I54+J54-K54</f>
        <v>0</v>
      </c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  <c r="AC54" s="305"/>
      <c r="AD54" s="305"/>
      <c r="AE54" s="305"/>
    </row>
    <row r="55" spans="1:31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>
        <f>+I55+J55-K55</f>
        <v>0</v>
      </c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  <c r="AC55" s="305"/>
      <c r="AD55" s="305"/>
      <c r="AE55" s="305"/>
    </row>
    <row r="56" spans="1:31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>
        <f>+I56+J56-K56</f>
        <v>0</v>
      </c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>
        <f>U56*V56</f>
        <v>0</v>
      </c>
      <c r="X56" s="877"/>
      <c r="Y56" s="877"/>
      <c r="Z56" s="877"/>
      <c r="AA56" s="877"/>
      <c r="AB56" s="877"/>
      <c r="AC56" s="305"/>
      <c r="AD56" s="305"/>
      <c r="AE56" s="305"/>
    </row>
    <row r="57" spans="1:31">
      <c r="A57" s="339" t="s">
        <v>97</v>
      </c>
      <c r="B57" s="340" t="s">
        <v>17</v>
      </c>
      <c r="C57" s="900">
        <f>SUM(C16:C56)</f>
        <v>588000</v>
      </c>
      <c r="D57" s="900"/>
      <c r="E57" s="901"/>
      <c r="F57" s="900">
        <f>SUM(F16:F56)</f>
        <v>588000</v>
      </c>
      <c r="G57" s="900">
        <f t="shared" ref="G57:N57" si="5">SUM(G15:G56)</f>
        <v>74400</v>
      </c>
      <c r="H57" s="900">
        <f t="shared" si="5"/>
        <v>0</v>
      </c>
      <c r="I57" s="900">
        <f t="shared" si="5"/>
        <v>499800</v>
      </c>
      <c r="J57" s="900">
        <f t="shared" si="5"/>
        <v>47040</v>
      </c>
      <c r="K57" s="900">
        <f t="shared" si="5"/>
        <v>0</v>
      </c>
      <c r="L57" s="900">
        <f t="shared" si="5"/>
        <v>452760</v>
      </c>
      <c r="M57" s="900">
        <f t="shared" si="5"/>
        <v>0</v>
      </c>
      <c r="N57" s="900">
        <f t="shared" si="5"/>
        <v>77760</v>
      </c>
      <c r="O57" s="900"/>
      <c r="P57" s="900">
        <f>SUM(P15:P56)</f>
        <v>264600</v>
      </c>
      <c r="Q57" s="900"/>
      <c r="R57" s="900">
        <f>SUM(R15:R56)</f>
        <v>277190</v>
      </c>
      <c r="S57" s="900">
        <f>SUM(S15:S56)</f>
        <v>-12590</v>
      </c>
      <c r="T57" s="893">
        <f>W57-L57</f>
        <v>135240</v>
      </c>
      <c r="U57" s="900"/>
      <c r="V57" s="900"/>
      <c r="W57" s="900">
        <f>SUM(W16:W56)</f>
        <v>588000</v>
      </c>
      <c r="X57" s="900">
        <f>SUM(X15:X56)</f>
        <v>264600</v>
      </c>
      <c r="Y57" s="900">
        <f>SUM(Y15:Y56)</f>
        <v>77760</v>
      </c>
      <c r="Z57" s="900">
        <f>SUM(Z15:Z56)</f>
        <v>0</v>
      </c>
      <c r="AA57" s="900">
        <f>SUM(AA15:AA56)</f>
        <v>0</v>
      </c>
      <c r="AB57" s="900">
        <f>SUM(AB15:AB56)</f>
        <v>588000</v>
      </c>
      <c r="AC57" s="305"/>
      <c r="AD57" s="305"/>
      <c r="AE57" s="305"/>
    </row>
    <row r="58" spans="1:31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  <c r="AC58" s="305"/>
      <c r="AD58" s="305"/>
      <c r="AE58" s="305"/>
    </row>
    <row r="59" spans="1:31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  <c r="AC59" s="305"/>
      <c r="AD59" s="305"/>
      <c r="AE59" s="305"/>
    </row>
    <row r="60" spans="1:31">
      <c r="F60" s="343"/>
      <c r="R60" s="304"/>
      <c r="W60" s="343"/>
      <c r="AC60" s="305"/>
      <c r="AD60" s="305"/>
      <c r="AE60" s="305"/>
    </row>
    <row r="61" spans="1:31">
      <c r="F61" s="343"/>
      <c r="R61" s="304"/>
      <c r="W61" s="343"/>
      <c r="AC61" s="305"/>
      <c r="AD61" s="305"/>
      <c r="AE61" s="305"/>
    </row>
    <row r="62" spans="1:31">
      <c r="R62" s="304"/>
      <c r="AC62" s="305"/>
      <c r="AD62" s="305"/>
      <c r="AE62" s="305"/>
    </row>
    <row r="63" spans="1:31">
      <c r="A63" s="304" t="s">
        <v>59</v>
      </c>
      <c r="F63" s="343"/>
      <c r="W63" s="343"/>
      <c r="AC63" s="305"/>
      <c r="AD63" s="305"/>
      <c r="AE63" s="305"/>
    </row>
    <row r="75" spans="2:2" s="305" customFormat="1">
      <c r="B75" s="304" t="s">
        <v>126</v>
      </c>
    </row>
  </sheetData>
  <mergeCells count="6">
    <mergeCell ref="E1:F1"/>
    <mergeCell ref="AB8:AB12"/>
    <mergeCell ref="X8:X12"/>
    <mergeCell ref="Y8:Y12"/>
    <mergeCell ref="Z8:Z12"/>
    <mergeCell ref="AA8:AA12"/>
  </mergeCells>
  <conditionalFormatting sqref="U8:W9 X8:AB12">
    <cfRule type="cellIs" dxfId="50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65" orientation="landscape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CE75"/>
  <sheetViews>
    <sheetView showGridLines="0" topLeftCell="K1" zoomScaleNormal="100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22" width="11" style="792"/>
    <col min="23" max="23" width="11.375" style="792" bestFit="1" customWidth="1"/>
    <col min="24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678" t="s">
        <v>719</v>
      </c>
      <c r="C2" s="216"/>
      <c r="D2" s="216"/>
      <c r="E2" s="216"/>
      <c r="F2" s="216"/>
      <c r="G2" s="216"/>
      <c r="H2" s="216"/>
      <c r="I2" s="787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 customHeight="1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2260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380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201301087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7"/>
      <c r="AF8" s="787"/>
      <c r="AG8" s="787"/>
      <c r="AH8" s="787"/>
    </row>
    <row r="9" spans="1:83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7"/>
      <c r="AF9" s="787"/>
      <c r="AG9" s="787"/>
      <c r="AH9" s="787"/>
    </row>
    <row r="10" spans="1:83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7"/>
      <c r="AF10" s="787"/>
      <c r="AG10" s="787"/>
      <c r="AH10" s="787"/>
    </row>
    <row r="11" spans="1:83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7"/>
      <c r="AF11" s="787"/>
      <c r="AG11" s="787"/>
      <c r="AH11" s="787"/>
    </row>
    <row r="12" spans="1:83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7"/>
      <c r="AF12" s="787"/>
      <c r="AG12" s="787"/>
      <c r="AH12" s="787"/>
    </row>
    <row r="13" spans="1:83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880"/>
      <c r="B14" s="907"/>
      <c r="C14" s="1770"/>
      <c r="D14" s="1770"/>
      <c r="E14" s="1770"/>
      <c r="F14" s="1770"/>
      <c r="G14" s="1771"/>
      <c r="H14" s="1771"/>
      <c r="I14" s="1770"/>
      <c r="J14" s="1770"/>
      <c r="K14" s="1770"/>
      <c r="L14" s="1770"/>
      <c r="M14" s="1770"/>
      <c r="N14" s="1770"/>
      <c r="O14" s="1770"/>
      <c r="P14" s="1770"/>
      <c r="Q14" s="1770"/>
      <c r="R14" s="1770"/>
      <c r="S14" s="1770"/>
      <c r="T14" s="1770"/>
      <c r="U14" s="1770"/>
      <c r="V14" s="1770"/>
      <c r="W14" s="1770"/>
      <c r="X14" s="1770"/>
      <c r="Y14" s="1770"/>
      <c r="Z14" s="1770"/>
      <c r="AA14" s="1770"/>
      <c r="AB14" s="908"/>
      <c r="AC14" s="788"/>
      <c r="AD14" s="788"/>
      <c r="AE14" s="787"/>
      <c r="AF14" s="787"/>
      <c r="AG14" s="787"/>
      <c r="AH14" s="787"/>
    </row>
    <row r="15" spans="1:83" s="12" customFormat="1" ht="12.75">
      <c r="A15" s="810">
        <v>1</v>
      </c>
      <c r="B15" s="811" t="s">
        <v>372</v>
      </c>
      <c r="C15" s="1751"/>
      <c r="D15" s="1751"/>
      <c r="E15" s="1752"/>
      <c r="F15" s="886"/>
      <c r="G15" s="886"/>
      <c r="H15" s="886"/>
      <c r="I15" s="886"/>
      <c r="J15" s="886"/>
      <c r="K15" s="886"/>
      <c r="L15" s="886"/>
      <c r="M15" s="886"/>
      <c r="N15" s="886"/>
      <c r="O15" s="1752"/>
      <c r="P15" s="886"/>
      <c r="Q15" s="1751"/>
      <c r="R15" s="1751"/>
      <c r="S15" s="1751"/>
      <c r="T15" s="1751"/>
      <c r="U15" s="1751"/>
      <c r="V15" s="1752"/>
      <c r="W15" s="886"/>
      <c r="X15" s="886"/>
      <c r="Y15" s="886"/>
      <c r="Z15" s="886"/>
      <c r="AA15" s="1751"/>
      <c r="AB15" s="824"/>
      <c r="AC15" s="788"/>
      <c r="AD15" s="788"/>
      <c r="AE15" s="787"/>
      <c r="AF15" s="787"/>
      <c r="AG15" s="787"/>
      <c r="AH15" s="787"/>
    </row>
    <row r="16" spans="1:83" s="12" customFormat="1" ht="12.75">
      <c r="A16" s="881"/>
      <c r="B16" s="887" t="s">
        <v>123</v>
      </c>
      <c r="C16" s="502">
        <f>1.2*425000</f>
        <v>510000</v>
      </c>
      <c r="D16" s="502">
        <f>C16*0.5</f>
        <v>255000</v>
      </c>
      <c r="E16" s="511">
        <v>1</v>
      </c>
      <c r="F16" s="500">
        <f>D16*E16</f>
        <v>255000</v>
      </c>
      <c r="G16" s="500"/>
      <c r="H16" s="500"/>
      <c r="I16" s="500"/>
      <c r="J16" s="2261"/>
      <c r="K16" s="500"/>
      <c r="L16" s="500">
        <f>I16-J16+K16</f>
        <v>0</v>
      </c>
      <c r="M16" s="500"/>
      <c r="N16" s="500"/>
      <c r="O16" s="500"/>
      <c r="P16" s="500"/>
      <c r="Q16" s="500"/>
      <c r="R16" s="500">
        <f>+P16</f>
        <v>0</v>
      </c>
      <c r="S16" s="500">
        <f>+P16-R16</f>
        <v>0</v>
      </c>
      <c r="T16" s="500">
        <f>F16-L16</f>
        <v>255000</v>
      </c>
      <c r="U16" s="500">
        <f>D16</f>
        <v>255000</v>
      </c>
      <c r="V16" s="500">
        <v>1</v>
      </c>
      <c r="W16" s="500">
        <f>+U16*V16</f>
        <v>255000</v>
      </c>
      <c r="X16" s="500"/>
      <c r="Y16" s="500"/>
      <c r="Z16" s="500"/>
      <c r="AA16" s="500"/>
      <c r="AB16" s="500">
        <f>F16</f>
        <v>255000</v>
      </c>
      <c r="AC16" s="788"/>
      <c r="AD16" s="788"/>
      <c r="AE16" s="787"/>
      <c r="AF16" s="787"/>
      <c r="AG16" s="787"/>
      <c r="AH16" s="787"/>
    </row>
    <row r="17" spans="1:34" s="12" customFormat="1">
      <c r="A17" s="813"/>
      <c r="B17" s="814"/>
      <c r="C17" s="502"/>
      <c r="D17" s="500"/>
      <c r="E17" s="511"/>
      <c r="F17" s="500"/>
      <c r="G17" s="500"/>
      <c r="H17" s="500"/>
      <c r="I17" s="500"/>
      <c r="J17" s="2261"/>
      <c r="K17" s="500"/>
      <c r="L17" s="500"/>
      <c r="M17" s="500"/>
      <c r="N17" s="500"/>
      <c r="O17" s="500"/>
      <c r="P17" s="500"/>
      <c r="Q17" s="500"/>
      <c r="R17" s="500"/>
      <c r="S17" s="500"/>
      <c r="T17" s="500"/>
      <c r="U17" s="500"/>
      <c r="V17" s="500"/>
      <c r="W17" s="500"/>
      <c r="X17" s="500"/>
      <c r="Y17" s="500"/>
      <c r="Z17" s="500"/>
      <c r="AA17" s="500"/>
      <c r="AB17" s="500"/>
      <c r="AC17" s="788"/>
      <c r="AD17" s="788"/>
      <c r="AE17" s="787"/>
      <c r="AF17" s="787"/>
      <c r="AG17" s="787"/>
      <c r="AH17" s="787"/>
    </row>
    <row r="18" spans="1:34" s="12" customFormat="1">
      <c r="A18" s="813">
        <v>2</v>
      </c>
      <c r="B18" s="814" t="s">
        <v>390</v>
      </c>
      <c r="C18" s="1429"/>
      <c r="D18" s="500"/>
      <c r="E18" s="511"/>
      <c r="F18" s="500"/>
      <c r="G18" s="500"/>
      <c r="H18" s="500"/>
      <c r="I18" s="500"/>
      <c r="J18" s="2261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788"/>
      <c r="AD18" s="788"/>
      <c r="AE18" s="787"/>
      <c r="AF18" s="787"/>
      <c r="AG18" s="787"/>
      <c r="AH18" s="787"/>
    </row>
    <row r="19" spans="1:34" s="12" customFormat="1" ht="12.75">
      <c r="A19" s="815"/>
      <c r="B19" s="887" t="s">
        <v>123</v>
      </c>
      <c r="C19" s="502">
        <f>1.2*154500</f>
        <v>185400</v>
      </c>
      <c r="D19" s="502">
        <f>C19*0.5</f>
        <v>92700</v>
      </c>
      <c r="E19" s="511">
        <v>1</v>
      </c>
      <c r="F19" s="500">
        <f>D19*E19</f>
        <v>92700</v>
      </c>
      <c r="G19" s="500"/>
      <c r="H19" s="797"/>
      <c r="I19" s="797"/>
      <c r="J19" s="2261"/>
      <c r="K19" s="797"/>
      <c r="L19" s="500">
        <f>I19-J19+K19</f>
        <v>0</v>
      </c>
      <c r="M19" s="500"/>
      <c r="N19" s="500"/>
      <c r="O19" s="500"/>
      <c r="P19" s="500"/>
      <c r="Q19" s="500"/>
      <c r="R19" s="500">
        <f>+P19</f>
        <v>0</v>
      </c>
      <c r="S19" s="500">
        <f>+P19-R19</f>
        <v>0</v>
      </c>
      <c r="T19" s="500">
        <f>F19-L19</f>
        <v>92700</v>
      </c>
      <c r="U19" s="500">
        <f>D19</f>
        <v>92700</v>
      </c>
      <c r="V19" s="500">
        <v>1</v>
      </c>
      <c r="W19" s="500">
        <f>+U19*V19</f>
        <v>92700</v>
      </c>
      <c r="X19" s="500"/>
      <c r="Y19" s="500"/>
      <c r="Z19" s="500"/>
      <c r="AA19" s="500"/>
      <c r="AB19" s="500">
        <f>F19</f>
        <v>92700</v>
      </c>
      <c r="AC19" s="788"/>
      <c r="AD19" s="788"/>
      <c r="AE19" s="787"/>
      <c r="AF19" s="787"/>
      <c r="AG19" s="787"/>
      <c r="AH19" s="787"/>
    </row>
    <row r="20" spans="1:34" s="12" customFormat="1" ht="12.75">
      <c r="A20" s="813"/>
      <c r="B20" s="887"/>
      <c r="C20" s="502"/>
      <c r="D20" s="797"/>
      <c r="E20" s="511"/>
      <c r="F20" s="500"/>
      <c r="G20" s="500"/>
      <c r="H20" s="797"/>
      <c r="I20" s="797"/>
      <c r="J20" s="2261"/>
      <c r="K20" s="797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788"/>
      <c r="AD20" s="788"/>
      <c r="AE20" s="787"/>
      <c r="AF20" s="787"/>
      <c r="AG20" s="787"/>
      <c r="AH20" s="787"/>
    </row>
    <row r="21" spans="1:34" s="12" customFormat="1" ht="12.75">
      <c r="A21" s="813">
        <v>3</v>
      </c>
      <c r="B21" s="811" t="s">
        <v>391</v>
      </c>
      <c r="C21" s="1791"/>
      <c r="D21" s="795"/>
      <c r="E21" s="795"/>
      <c r="F21" s="795"/>
      <c r="G21" s="500"/>
      <c r="H21" s="797"/>
      <c r="I21" s="797"/>
      <c r="J21" s="797"/>
      <c r="K21" s="797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788"/>
      <c r="AD21" s="788"/>
      <c r="AE21" s="787"/>
      <c r="AF21" s="787"/>
      <c r="AG21" s="787"/>
      <c r="AH21" s="787"/>
    </row>
    <row r="22" spans="1:34" s="12" customFormat="1" ht="12.75">
      <c r="A22" s="815"/>
      <c r="B22" s="887" t="s">
        <v>123</v>
      </c>
      <c r="C22" s="502">
        <f>1.2*107500</f>
        <v>129000</v>
      </c>
      <c r="D22" s="502">
        <f>C22*0.5</f>
        <v>64500</v>
      </c>
      <c r="E22" s="511">
        <v>1</v>
      </c>
      <c r="F22" s="500">
        <f>D22*E22</f>
        <v>64500</v>
      </c>
      <c r="G22" s="500"/>
      <c r="H22" s="797"/>
      <c r="I22" s="797"/>
      <c r="J22" s="797"/>
      <c r="K22" s="797"/>
      <c r="L22" s="500">
        <f>I22-J22+K22</f>
        <v>0</v>
      </c>
      <c r="M22" s="500"/>
      <c r="N22" s="500"/>
      <c r="O22" s="500"/>
      <c r="P22" s="500"/>
      <c r="Q22" s="500"/>
      <c r="R22" s="500"/>
      <c r="S22" s="500">
        <f>+P22-R22</f>
        <v>0</v>
      </c>
      <c r="T22" s="500">
        <f>F22-L22</f>
        <v>64500</v>
      </c>
      <c r="U22" s="500">
        <f>D22</f>
        <v>64500</v>
      </c>
      <c r="V22" s="500">
        <v>1</v>
      </c>
      <c r="W22" s="500">
        <f>+U22*V22</f>
        <v>64500</v>
      </c>
      <c r="X22" s="500"/>
      <c r="Y22" s="500"/>
      <c r="Z22" s="500"/>
      <c r="AA22" s="500"/>
      <c r="AB22" s="500">
        <f>F22</f>
        <v>64500</v>
      </c>
      <c r="AC22" s="788"/>
      <c r="AD22" s="788"/>
      <c r="AE22" s="787"/>
      <c r="AF22" s="787"/>
      <c r="AG22" s="787"/>
      <c r="AH22" s="787"/>
    </row>
    <row r="23" spans="1:34" s="12" customFormat="1" ht="12.75">
      <c r="A23" s="813"/>
      <c r="B23" s="811"/>
      <c r="C23" s="502"/>
      <c r="D23" s="797"/>
      <c r="E23" s="511"/>
      <c r="F23" s="500"/>
      <c r="G23" s="500"/>
      <c r="H23" s="797"/>
      <c r="I23" s="797"/>
      <c r="J23" s="797"/>
      <c r="K23" s="797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788"/>
      <c r="AD23" s="788"/>
      <c r="AE23" s="787"/>
      <c r="AF23" s="787"/>
      <c r="AG23" s="787"/>
      <c r="AH23" s="787"/>
    </row>
    <row r="24" spans="1:34" s="12" customFormat="1" ht="12.75">
      <c r="A24" s="815">
        <v>4</v>
      </c>
      <c r="B24" s="811" t="s">
        <v>392</v>
      </c>
      <c r="C24" s="502"/>
      <c r="D24" s="797"/>
      <c r="E24" s="511"/>
      <c r="F24" s="500"/>
      <c r="G24" s="500"/>
      <c r="H24" s="797"/>
      <c r="I24" s="797"/>
      <c r="J24" s="797"/>
      <c r="K24" s="797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788"/>
      <c r="AD24" s="788"/>
      <c r="AE24" s="787"/>
      <c r="AF24" s="787"/>
      <c r="AG24" s="787"/>
      <c r="AH24" s="787"/>
    </row>
    <row r="25" spans="1:34" s="12" customFormat="1" ht="12.75">
      <c r="A25" s="815"/>
      <c r="B25" s="887" t="s">
        <v>123</v>
      </c>
      <c r="C25" s="502">
        <f>1.2*135000</f>
        <v>162000</v>
      </c>
      <c r="D25" s="502">
        <f>C25*0.5</f>
        <v>81000</v>
      </c>
      <c r="E25" s="511">
        <v>1</v>
      </c>
      <c r="F25" s="500">
        <f>D25*E25</f>
        <v>81000</v>
      </c>
      <c r="G25" s="500"/>
      <c r="H25" s="797"/>
      <c r="I25" s="797"/>
      <c r="J25" s="797"/>
      <c r="K25" s="797"/>
      <c r="L25" s="500">
        <f>I25-J25+K25</f>
        <v>0</v>
      </c>
      <c r="M25" s="500"/>
      <c r="N25" s="500"/>
      <c r="O25" s="500"/>
      <c r="P25" s="500"/>
      <c r="Q25" s="500"/>
      <c r="R25" s="500"/>
      <c r="S25" s="500">
        <f>+P25-R25</f>
        <v>0</v>
      </c>
      <c r="T25" s="500">
        <f>F25-L25</f>
        <v>81000</v>
      </c>
      <c r="U25" s="500">
        <f>D25</f>
        <v>81000</v>
      </c>
      <c r="V25" s="500">
        <v>1</v>
      </c>
      <c r="W25" s="500">
        <f>+U25*V25</f>
        <v>81000</v>
      </c>
      <c r="X25" s="500"/>
      <c r="Y25" s="500"/>
      <c r="Z25" s="500"/>
      <c r="AA25" s="500"/>
      <c r="AB25" s="500">
        <f>F25</f>
        <v>81000</v>
      </c>
      <c r="AC25" s="788"/>
      <c r="AD25" s="788"/>
      <c r="AE25" s="787"/>
      <c r="AF25" s="787"/>
      <c r="AG25" s="787"/>
      <c r="AH25" s="787"/>
    </row>
    <row r="26" spans="1:34" s="12" customFormat="1" ht="12.75">
      <c r="A26" s="815"/>
      <c r="B26" s="811"/>
      <c r="C26" s="797"/>
      <c r="D26" s="797"/>
      <c r="E26" s="511"/>
      <c r="F26" s="500"/>
      <c r="G26" s="797"/>
      <c r="H26" s="797"/>
      <c r="I26" s="797"/>
      <c r="J26" s="797"/>
      <c r="K26" s="797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788"/>
      <c r="AD26" s="788"/>
      <c r="AE26" s="787"/>
      <c r="AF26" s="787"/>
      <c r="AG26" s="787"/>
      <c r="AH26" s="787"/>
    </row>
    <row r="27" spans="1:34" s="12" customFormat="1" ht="12.75">
      <c r="A27" s="815"/>
      <c r="B27" s="811"/>
      <c r="C27" s="797"/>
      <c r="D27" s="797"/>
      <c r="E27" s="511"/>
      <c r="F27" s="500"/>
      <c r="G27" s="797"/>
      <c r="H27" s="797"/>
      <c r="I27" s="797"/>
      <c r="J27" s="797"/>
      <c r="K27" s="797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788"/>
      <c r="AD27" s="788"/>
      <c r="AE27" s="787"/>
      <c r="AF27" s="787"/>
      <c r="AG27" s="787"/>
      <c r="AH27" s="787"/>
    </row>
    <row r="28" spans="1:34" s="12" customFormat="1" ht="12.75">
      <c r="A28" s="815"/>
      <c r="B28" s="811"/>
      <c r="C28" s="797"/>
      <c r="D28" s="797"/>
      <c r="E28" s="511"/>
      <c r="F28" s="500"/>
      <c r="G28" s="797"/>
      <c r="H28" s="797"/>
      <c r="I28" s="797"/>
      <c r="J28" s="797"/>
      <c r="K28" s="797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788"/>
      <c r="AD28" s="788"/>
      <c r="AE28" s="787"/>
      <c r="AF28" s="787"/>
      <c r="AG28" s="787"/>
      <c r="AH28" s="787"/>
    </row>
    <row r="29" spans="1:34" s="12" customFormat="1" ht="12.75">
      <c r="A29" s="815"/>
      <c r="B29" s="811"/>
      <c r="C29" s="797"/>
      <c r="D29" s="797"/>
      <c r="E29" s="511"/>
      <c r="F29" s="500"/>
      <c r="G29" s="797"/>
      <c r="H29" s="797"/>
      <c r="I29" s="797"/>
      <c r="J29" s="797"/>
      <c r="K29" s="797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788"/>
      <c r="AD29" s="788"/>
      <c r="AE29" s="787"/>
      <c r="AF29" s="787"/>
      <c r="AG29" s="787"/>
      <c r="AH29" s="787"/>
    </row>
    <row r="30" spans="1:34" s="12" customFormat="1" ht="12.75">
      <c r="A30" s="815"/>
      <c r="B30" s="811"/>
      <c r="C30" s="797"/>
      <c r="D30" s="797"/>
      <c r="E30" s="511"/>
      <c r="F30" s="500"/>
      <c r="G30" s="797"/>
      <c r="H30" s="797"/>
      <c r="I30" s="797"/>
      <c r="J30" s="797"/>
      <c r="K30" s="797"/>
      <c r="L30" s="500"/>
      <c r="M30" s="500"/>
      <c r="N30" s="500"/>
      <c r="O30" s="500"/>
      <c r="P30" s="500"/>
      <c r="Q30" s="500"/>
      <c r="R30" s="500"/>
      <c r="S30" s="500"/>
      <c r="T30" s="500"/>
      <c r="U30" s="500"/>
      <c r="V30" s="500"/>
      <c r="W30" s="500"/>
      <c r="X30" s="500"/>
      <c r="Y30" s="500"/>
      <c r="Z30" s="500"/>
      <c r="AA30" s="500"/>
      <c r="AB30" s="500"/>
      <c r="AC30" s="788"/>
      <c r="AD30" s="788"/>
      <c r="AE30" s="787"/>
      <c r="AF30" s="787"/>
      <c r="AG30" s="787"/>
      <c r="AH30" s="787"/>
    </row>
    <row r="31" spans="1:34" s="12" customFormat="1" ht="12.75">
      <c r="A31" s="815"/>
      <c r="B31" s="811"/>
      <c r="C31" s="797"/>
      <c r="D31" s="797"/>
      <c r="E31" s="511"/>
      <c r="F31" s="500"/>
      <c r="G31" s="797"/>
      <c r="H31" s="797"/>
      <c r="I31" s="797"/>
      <c r="J31" s="797"/>
      <c r="K31" s="797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0"/>
      <c r="X31" s="500"/>
      <c r="Y31" s="500"/>
      <c r="Z31" s="500"/>
      <c r="AA31" s="500"/>
      <c r="AB31" s="500"/>
      <c r="AC31" s="788"/>
      <c r="AD31" s="788"/>
      <c r="AE31" s="787"/>
      <c r="AF31" s="787"/>
      <c r="AG31" s="787"/>
      <c r="AH31" s="787"/>
    </row>
    <row r="32" spans="1:34" s="12" customFormat="1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500"/>
      <c r="N32" s="500"/>
      <c r="O32" s="500"/>
      <c r="P32" s="500"/>
      <c r="Q32" s="500"/>
      <c r="R32" s="500"/>
      <c r="S32" s="500"/>
      <c r="T32" s="500"/>
      <c r="U32" s="500"/>
      <c r="V32" s="500"/>
      <c r="W32" s="500"/>
      <c r="X32" s="500"/>
      <c r="Y32" s="500"/>
      <c r="Z32" s="500"/>
      <c r="AA32" s="500"/>
      <c r="AB32" s="500"/>
      <c r="AC32" s="788"/>
      <c r="AD32" s="788"/>
      <c r="AE32" s="787"/>
      <c r="AF32" s="787"/>
      <c r="AG32" s="787"/>
      <c r="AH32" s="787"/>
    </row>
    <row r="33" spans="1:34" s="12" customFormat="1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500"/>
      <c r="N33" s="500"/>
      <c r="O33" s="500"/>
      <c r="P33" s="500"/>
      <c r="Q33" s="500"/>
      <c r="R33" s="500"/>
      <c r="S33" s="500"/>
      <c r="T33" s="500"/>
      <c r="U33" s="500"/>
      <c r="V33" s="500"/>
      <c r="W33" s="500"/>
      <c r="X33" s="500"/>
      <c r="Y33" s="500"/>
      <c r="Z33" s="500"/>
      <c r="AA33" s="500"/>
      <c r="AB33" s="500"/>
      <c r="AC33" s="788"/>
      <c r="AD33" s="788"/>
      <c r="AE33" s="787"/>
      <c r="AF33" s="787"/>
      <c r="AG33" s="787"/>
      <c r="AH33" s="787"/>
    </row>
    <row r="34" spans="1:34" s="12" customFormat="1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500"/>
      <c r="N34" s="500"/>
      <c r="O34" s="500"/>
      <c r="P34" s="500"/>
      <c r="Q34" s="500"/>
      <c r="R34" s="500"/>
      <c r="S34" s="500"/>
      <c r="T34" s="500"/>
      <c r="U34" s="500"/>
      <c r="V34" s="500"/>
      <c r="W34" s="500"/>
      <c r="X34" s="500"/>
      <c r="Y34" s="500"/>
      <c r="Z34" s="500"/>
      <c r="AA34" s="500"/>
      <c r="AB34" s="500"/>
      <c r="AC34" s="788"/>
      <c r="AD34" s="788"/>
      <c r="AE34" s="787"/>
      <c r="AF34" s="787"/>
      <c r="AG34" s="787"/>
      <c r="AH34" s="787"/>
    </row>
    <row r="35" spans="1:34" s="12" customFormat="1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500"/>
      <c r="N35" s="500"/>
      <c r="O35" s="500"/>
      <c r="P35" s="500"/>
      <c r="Q35" s="500"/>
      <c r="R35" s="500"/>
      <c r="S35" s="500"/>
      <c r="T35" s="500"/>
      <c r="U35" s="500"/>
      <c r="V35" s="500"/>
      <c r="W35" s="500"/>
      <c r="X35" s="500"/>
      <c r="Y35" s="500"/>
      <c r="Z35" s="500"/>
      <c r="AA35" s="500"/>
      <c r="AB35" s="500"/>
      <c r="AC35" s="788"/>
      <c r="AD35" s="788"/>
      <c r="AE35" s="787"/>
      <c r="AF35" s="787"/>
      <c r="AG35" s="787"/>
      <c r="AH35" s="787"/>
    </row>
    <row r="36" spans="1:34" s="12" customFormat="1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500"/>
      <c r="N36" s="500"/>
      <c r="O36" s="500"/>
      <c r="P36" s="500"/>
      <c r="Q36" s="500"/>
      <c r="R36" s="500"/>
      <c r="S36" s="500"/>
      <c r="T36" s="500"/>
      <c r="U36" s="500"/>
      <c r="V36" s="500"/>
      <c r="W36" s="500"/>
      <c r="X36" s="500"/>
      <c r="Y36" s="500"/>
      <c r="Z36" s="500"/>
      <c r="AA36" s="500"/>
      <c r="AB36" s="500"/>
      <c r="AC36" s="788"/>
      <c r="AD36" s="788"/>
      <c r="AE36" s="787"/>
      <c r="AF36" s="787"/>
      <c r="AG36" s="787"/>
      <c r="AH36" s="787"/>
    </row>
    <row r="37" spans="1:34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500"/>
      <c r="N37" s="500"/>
      <c r="O37" s="500"/>
      <c r="P37" s="500"/>
      <c r="Q37" s="500"/>
      <c r="R37" s="500"/>
      <c r="S37" s="500"/>
      <c r="T37" s="500"/>
      <c r="U37" s="500"/>
      <c r="V37" s="500"/>
      <c r="W37" s="500"/>
      <c r="X37" s="500"/>
      <c r="Y37" s="500"/>
      <c r="Z37" s="500"/>
      <c r="AA37" s="500"/>
      <c r="AB37" s="500"/>
      <c r="AC37" s="788"/>
      <c r="AD37" s="788"/>
      <c r="AE37" s="787"/>
      <c r="AF37" s="787"/>
      <c r="AG37" s="787"/>
      <c r="AH37" s="787"/>
    </row>
    <row r="38" spans="1:34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500"/>
      <c r="N38" s="500"/>
      <c r="O38" s="500"/>
      <c r="P38" s="500"/>
      <c r="Q38" s="500"/>
      <c r="R38" s="500"/>
      <c r="S38" s="500"/>
      <c r="T38" s="500"/>
      <c r="U38" s="500"/>
      <c r="V38" s="500"/>
      <c r="W38" s="500"/>
      <c r="X38" s="500"/>
      <c r="Y38" s="500"/>
      <c r="Z38" s="500"/>
      <c r="AA38" s="500"/>
      <c r="AB38" s="500"/>
      <c r="AC38" s="788"/>
      <c r="AD38" s="788"/>
      <c r="AE38" s="787"/>
      <c r="AF38" s="787"/>
      <c r="AG38" s="787"/>
      <c r="AH38" s="787"/>
    </row>
    <row r="39" spans="1:34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500"/>
      <c r="N39" s="500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500"/>
      <c r="Z39" s="500"/>
      <c r="AA39" s="500"/>
      <c r="AB39" s="500"/>
      <c r="AC39" s="788"/>
      <c r="AD39" s="788"/>
      <c r="AE39" s="787"/>
      <c r="AF39" s="787"/>
      <c r="AG39" s="787"/>
      <c r="AH39" s="787"/>
    </row>
    <row r="40" spans="1:34" s="12" customFormat="1">
      <c r="A40" s="815"/>
      <c r="B40" s="814"/>
      <c r="C40" s="797"/>
      <c r="D40" s="797"/>
      <c r="E40" s="511"/>
      <c r="F40" s="797"/>
      <c r="G40" s="797"/>
      <c r="H40" s="797"/>
      <c r="I40" s="797"/>
      <c r="J40" s="797"/>
      <c r="K40" s="797"/>
      <c r="L40" s="500"/>
      <c r="M40" s="500"/>
      <c r="N40" s="500"/>
      <c r="O40" s="500"/>
      <c r="P40" s="500"/>
      <c r="Q40" s="500"/>
      <c r="R40" s="500"/>
      <c r="S40" s="500"/>
      <c r="T40" s="500"/>
      <c r="U40" s="500"/>
      <c r="V40" s="500"/>
      <c r="W40" s="500"/>
      <c r="X40" s="500"/>
      <c r="Y40" s="500"/>
      <c r="Z40" s="500"/>
      <c r="AA40" s="500"/>
      <c r="AB40" s="500"/>
      <c r="AC40" s="788"/>
      <c r="AD40" s="788"/>
      <c r="AE40" s="787"/>
      <c r="AF40" s="787"/>
      <c r="AG40" s="787"/>
      <c r="AH40" s="787"/>
    </row>
    <row r="41" spans="1:34" s="12" customFormat="1">
      <c r="A41" s="815"/>
      <c r="B41" s="814"/>
      <c r="C41" s="797"/>
      <c r="D41" s="797"/>
      <c r="E41" s="511"/>
      <c r="F41" s="797"/>
      <c r="G41" s="797"/>
      <c r="H41" s="797"/>
      <c r="I41" s="797"/>
      <c r="J41" s="797"/>
      <c r="K41" s="797"/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0"/>
      <c r="X41" s="500"/>
      <c r="Y41" s="500"/>
      <c r="Z41" s="500"/>
      <c r="AA41" s="500"/>
      <c r="AB41" s="500"/>
      <c r="AC41" s="788"/>
      <c r="AD41" s="788"/>
      <c r="AE41" s="787"/>
      <c r="AF41" s="787"/>
      <c r="AG41" s="787"/>
      <c r="AH41" s="787"/>
    </row>
    <row r="42" spans="1:34" s="12" customFormat="1">
      <c r="A42" s="815"/>
      <c r="B42" s="814"/>
      <c r="C42" s="797"/>
      <c r="D42" s="797"/>
      <c r="E42" s="511"/>
      <c r="F42" s="797"/>
      <c r="G42" s="797"/>
      <c r="H42" s="797"/>
      <c r="I42" s="797"/>
      <c r="J42" s="797"/>
      <c r="K42" s="797"/>
      <c r="L42" s="500"/>
      <c r="M42" s="500"/>
      <c r="N42" s="500"/>
      <c r="O42" s="500"/>
      <c r="P42" s="500"/>
      <c r="Q42" s="500"/>
      <c r="R42" s="500"/>
      <c r="S42" s="500"/>
      <c r="T42" s="500"/>
      <c r="U42" s="500"/>
      <c r="V42" s="500"/>
      <c r="W42" s="500"/>
      <c r="X42" s="500"/>
      <c r="Y42" s="500"/>
      <c r="Z42" s="500"/>
      <c r="AA42" s="500"/>
      <c r="AB42" s="500"/>
      <c r="AC42" s="788"/>
      <c r="AD42" s="788"/>
      <c r="AE42" s="787"/>
      <c r="AF42" s="787"/>
      <c r="AG42" s="787"/>
      <c r="AH42" s="787"/>
    </row>
    <row r="43" spans="1:34" s="12" customFormat="1">
      <c r="A43" s="815"/>
      <c r="B43" s="814"/>
      <c r="C43" s="797"/>
      <c r="D43" s="797"/>
      <c r="E43" s="511"/>
      <c r="F43" s="797"/>
      <c r="G43" s="797"/>
      <c r="H43" s="797"/>
      <c r="I43" s="797"/>
      <c r="J43" s="797"/>
      <c r="K43" s="797"/>
      <c r="L43" s="500"/>
      <c r="M43" s="500"/>
      <c r="N43" s="500"/>
      <c r="O43" s="500"/>
      <c r="P43" s="500"/>
      <c r="Q43" s="500"/>
      <c r="R43" s="500"/>
      <c r="S43" s="500"/>
      <c r="T43" s="500"/>
      <c r="U43" s="500"/>
      <c r="V43" s="500"/>
      <c r="W43" s="500"/>
      <c r="X43" s="500"/>
      <c r="Y43" s="500"/>
      <c r="Z43" s="500"/>
      <c r="AA43" s="500"/>
      <c r="AB43" s="500"/>
      <c r="AC43" s="788"/>
      <c r="AD43" s="788"/>
      <c r="AE43" s="787"/>
      <c r="AF43" s="787"/>
      <c r="AG43" s="787"/>
      <c r="AH43" s="787"/>
    </row>
    <row r="44" spans="1:34" s="12" customFormat="1">
      <c r="A44" s="815"/>
      <c r="B44" s="814"/>
      <c r="C44" s="797"/>
      <c r="D44" s="797"/>
      <c r="E44" s="511"/>
      <c r="F44" s="797"/>
      <c r="G44" s="797"/>
      <c r="H44" s="797"/>
      <c r="I44" s="797"/>
      <c r="J44" s="797"/>
      <c r="K44" s="797"/>
      <c r="L44" s="500"/>
      <c r="M44" s="500"/>
      <c r="N44" s="500"/>
      <c r="O44" s="500"/>
      <c r="P44" s="500"/>
      <c r="Q44" s="500"/>
      <c r="R44" s="500"/>
      <c r="S44" s="500"/>
      <c r="T44" s="500"/>
      <c r="U44" s="500"/>
      <c r="V44" s="500"/>
      <c r="W44" s="500"/>
      <c r="X44" s="500"/>
      <c r="Y44" s="500"/>
      <c r="Z44" s="500"/>
      <c r="AA44" s="500"/>
      <c r="AB44" s="500"/>
      <c r="AC44" s="788"/>
      <c r="AD44" s="788"/>
      <c r="AE44" s="787"/>
      <c r="AF44" s="787"/>
      <c r="AG44" s="787"/>
      <c r="AH44" s="787"/>
    </row>
    <row r="45" spans="1:34" s="12" customFormat="1">
      <c r="A45" s="815"/>
      <c r="B45" s="814"/>
      <c r="C45" s="797"/>
      <c r="D45" s="797"/>
      <c r="E45" s="511"/>
      <c r="F45" s="797"/>
      <c r="G45" s="797"/>
      <c r="H45" s="797"/>
      <c r="I45" s="797"/>
      <c r="J45" s="797"/>
      <c r="K45" s="797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0"/>
      <c r="X45" s="500"/>
      <c r="Y45" s="500"/>
      <c r="Z45" s="500"/>
      <c r="AA45" s="500"/>
      <c r="AB45" s="500"/>
      <c r="AC45" s="788"/>
      <c r="AD45" s="788"/>
      <c r="AE45" s="787"/>
      <c r="AF45" s="787"/>
      <c r="AG45" s="787"/>
      <c r="AH45" s="787"/>
    </row>
    <row r="46" spans="1:34" s="12" customFormat="1">
      <c r="A46" s="815"/>
      <c r="B46" s="814"/>
      <c r="C46" s="797"/>
      <c r="D46" s="797"/>
      <c r="E46" s="511"/>
      <c r="F46" s="797"/>
      <c r="G46" s="797"/>
      <c r="H46" s="797"/>
      <c r="I46" s="797"/>
      <c r="J46" s="797"/>
      <c r="K46" s="797"/>
      <c r="L46" s="500"/>
      <c r="M46" s="500"/>
      <c r="N46" s="500"/>
      <c r="O46" s="500"/>
      <c r="P46" s="500"/>
      <c r="Q46" s="500"/>
      <c r="R46" s="500"/>
      <c r="S46" s="500"/>
      <c r="T46" s="500"/>
      <c r="U46" s="500"/>
      <c r="V46" s="500"/>
      <c r="W46" s="500"/>
      <c r="X46" s="500"/>
      <c r="Y46" s="500"/>
      <c r="Z46" s="500"/>
      <c r="AA46" s="500"/>
      <c r="AB46" s="500"/>
      <c r="AC46" s="788"/>
      <c r="AD46" s="788"/>
      <c r="AE46" s="787"/>
      <c r="AF46" s="787"/>
      <c r="AG46" s="787"/>
      <c r="AH46" s="787"/>
    </row>
    <row r="47" spans="1:34" s="12" customFormat="1">
      <c r="A47" s="815"/>
      <c r="B47" s="814"/>
      <c r="C47" s="797"/>
      <c r="D47" s="797"/>
      <c r="E47" s="511"/>
      <c r="F47" s="797"/>
      <c r="G47" s="797"/>
      <c r="H47" s="797"/>
      <c r="I47" s="797"/>
      <c r="J47" s="797"/>
      <c r="K47" s="797"/>
      <c r="L47" s="500"/>
      <c r="M47" s="500"/>
      <c r="N47" s="500"/>
      <c r="O47" s="500"/>
      <c r="P47" s="500"/>
      <c r="Q47" s="500"/>
      <c r="R47" s="500"/>
      <c r="S47" s="500"/>
      <c r="T47" s="500"/>
      <c r="U47" s="500"/>
      <c r="V47" s="500"/>
      <c r="W47" s="500"/>
      <c r="X47" s="500"/>
      <c r="Y47" s="500"/>
      <c r="Z47" s="500"/>
      <c r="AA47" s="500"/>
      <c r="AB47" s="500"/>
      <c r="AC47" s="788"/>
      <c r="AD47" s="788"/>
      <c r="AE47" s="787"/>
      <c r="AF47" s="787"/>
      <c r="AG47" s="787"/>
      <c r="AH47" s="787"/>
    </row>
    <row r="48" spans="1:34" s="12" customFormat="1">
      <c r="A48" s="815"/>
      <c r="B48" s="814"/>
      <c r="C48" s="797"/>
      <c r="D48" s="797"/>
      <c r="E48" s="511"/>
      <c r="F48" s="797"/>
      <c r="G48" s="797"/>
      <c r="H48" s="797"/>
      <c r="I48" s="797"/>
      <c r="J48" s="797"/>
      <c r="K48" s="797"/>
      <c r="L48" s="500"/>
      <c r="M48" s="500"/>
      <c r="N48" s="500"/>
      <c r="O48" s="500"/>
      <c r="P48" s="500"/>
      <c r="Q48" s="500"/>
      <c r="R48" s="500"/>
      <c r="S48" s="500"/>
      <c r="T48" s="500"/>
      <c r="U48" s="500"/>
      <c r="V48" s="500"/>
      <c r="W48" s="500"/>
      <c r="X48" s="500"/>
      <c r="Y48" s="500"/>
      <c r="Z48" s="500"/>
      <c r="AA48" s="500"/>
      <c r="AB48" s="500"/>
      <c r="AC48" s="788"/>
      <c r="AD48" s="788"/>
      <c r="AE48" s="787"/>
      <c r="AF48" s="787"/>
      <c r="AG48" s="787"/>
      <c r="AH48" s="787"/>
    </row>
    <row r="49" spans="1:34" s="12" customFormat="1">
      <c r="A49" s="815"/>
      <c r="B49" s="817"/>
      <c r="C49" s="797"/>
      <c r="D49" s="797"/>
      <c r="E49" s="511"/>
      <c r="F49" s="797"/>
      <c r="G49" s="797"/>
      <c r="H49" s="797"/>
      <c r="I49" s="797"/>
      <c r="J49" s="797"/>
      <c r="K49" s="797"/>
      <c r="L49" s="500"/>
      <c r="M49" s="500"/>
      <c r="N49" s="500"/>
      <c r="O49" s="500"/>
      <c r="P49" s="500"/>
      <c r="Q49" s="500"/>
      <c r="R49" s="500"/>
      <c r="S49" s="500"/>
      <c r="T49" s="500"/>
      <c r="U49" s="500"/>
      <c r="V49" s="500"/>
      <c r="W49" s="500"/>
      <c r="X49" s="500"/>
      <c r="Y49" s="500"/>
      <c r="Z49" s="500"/>
      <c r="AA49" s="500"/>
      <c r="AB49" s="500"/>
      <c r="AC49" s="788"/>
      <c r="AD49" s="788"/>
      <c r="AE49" s="787"/>
      <c r="AF49" s="787"/>
      <c r="AG49" s="787"/>
      <c r="AH49" s="787"/>
    </row>
    <row r="50" spans="1:34" s="12" customFormat="1">
      <c r="A50" s="815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500"/>
      <c r="M50" s="500"/>
      <c r="N50" s="500"/>
      <c r="O50" s="500"/>
      <c r="P50" s="500"/>
      <c r="Q50" s="500"/>
      <c r="R50" s="500"/>
      <c r="S50" s="500"/>
      <c r="T50" s="500"/>
      <c r="U50" s="500"/>
      <c r="V50" s="500"/>
      <c r="W50" s="500"/>
      <c r="X50" s="500"/>
      <c r="Y50" s="500"/>
      <c r="Z50" s="500"/>
      <c r="AA50" s="500"/>
      <c r="AB50" s="500"/>
      <c r="AC50" s="788"/>
      <c r="AD50" s="788"/>
      <c r="AE50" s="787"/>
      <c r="AF50" s="787"/>
      <c r="AG50" s="787"/>
      <c r="AH50" s="787"/>
    </row>
    <row r="51" spans="1:34" s="12" customFormat="1">
      <c r="A51" s="815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500"/>
      <c r="M51" s="500"/>
      <c r="N51" s="500"/>
      <c r="O51" s="500"/>
      <c r="P51" s="500"/>
      <c r="Q51" s="500"/>
      <c r="R51" s="500"/>
      <c r="S51" s="500"/>
      <c r="T51" s="500"/>
      <c r="U51" s="500"/>
      <c r="V51" s="500"/>
      <c r="W51" s="500"/>
      <c r="X51" s="500"/>
      <c r="Y51" s="500"/>
      <c r="Z51" s="500"/>
      <c r="AA51" s="500"/>
      <c r="AB51" s="500"/>
      <c r="AC51" s="788"/>
      <c r="AD51" s="788"/>
      <c r="AE51" s="787"/>
      <c r="AF51" s="787"/>
      <c r="AG51" s="787"/>
      <c r="AH51" s="787"/>
    </row>
    <row r="52" spans="1:34" s="12" customFormat="1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500"/>
      <c r="M52" s="500"/>
      <c r="N52" s="500"/>
      <c r="O52" s="500"/>
      <c r="P52" s="500"/>
      <c r="Q52" s="500"/>
      <c r="R52" s="500"/>
      <c r="S52" s="500"/>
      <c r="T52" s="500"/>
      <c r="U52" s="500"/>
      <c r="V52" s="500"/>
      <c r="W52" s="500"/>
      <c r="X52" s="500"/>
      <c r="Y52" s="500"/>
      <c r="Z52" s="500"/>
      <c r="AA52" s="500"/>
      <c r="AB52" s="500"/>
      <c r="AC52" s="788"/>
      <c r="AD52" s="788"/>
      <c r="AE52" s="787"/>
      <c r="AF52" s="787"/>
      <c r="AG52" s="787"/>
      <c r="AH52" s="787"/>
    </row>
    <row r="53" spans="1:34" s="12" customFormat="1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500"/>
      <c r="M53" s="500"/>
      <c r="N53" s="500"/>
      <c r="O53" s="500"/>
      <c r="P53" s="500"/>
      <c r="Q53" s="500"/>
      <c r="R53" s="500"/>
      <c r="S53" s="500"/>
      <c r="T53" s="500"/>
      <c r="U53" s="500"/>
      <c r="V53" s="500"/>
      <c r="W53" s="500"/>
      <c r="X53" s="500"/>
      <c r="Y53" s="500"/>
      <c r="Z53" s="500"/>
      <c r="AA53" s="500"/>
      <c r="AB53" s="500"/>
      <c r="AC53" s="788"/>
      <c r="AD53" s="788"/>
      <c r="AE53" s="787"/>
      <c r="AF53" s="787"/>
      <c r="AG53" s="787"/>
      <c r="AH53" s="787"/>
    </row>
    <row r="54" spans="1:34" s="12" customFormat="1">
      <c r="A54" s="815"/>
      <c r="B54" s="817"/>
      <c r="C54" s="797"/>
      <c r="D54" s="797"/>
      <c r="E54" s="511"/>
      <c r="F54" s="797"/>
      <c r="G54" s="797"/>
      <c r="H54" s="797"/>
      <c r="I54" s="797"/>
      <c r="J54" s="797"/>
      <c r="K54" s="797"/>
      <c r="L54" s="500"/>
      <c r="M54" s="500"/>
      <c r="N54" s="500"/>
      <c r="O54" s="500"/>
      <c r="P54" s="500"/>
      <c r="Q54" s="500"/>
      <c r="R54" s="500"/>
      <c r="S54" s="500"/>
      <c r="T54" s="500"/>
      <c r="U54" s="500"/>
      <c r="V54" s="500"/>
      <c r="W54" s="500"/>
      <c r="X54" s="500"/>
      <c r="Y54" s="500"/>
      <c r="Z54" s="500"/>
      <c r="AA54" s="500"/>
      <c r="AB54" s="500"/>
      <c r="AC54" s="788"/>
      <c r="AD54" s="788"/>
      <c r="AE54" s="787"/>
      <c r="AF54" s="787"/>
      <c r="AG54" s="787"/>
      <c r="AH54" s="787"/>
    </row>
    <row r="55" spans="1:34" s="12" customFormat="1">
      <c r="A55" s="815"/>
      <c r="B55" s="814"/>
      <c r="C55" s="797"/>
      <c r="D55" s="500"/>
      <c r="E55" s="511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500"/>
      <c r="Q55" s="500"/>
      <c r="R55" s="500"/>
      <c r="S55" s="500"/>
      <c r="T55" s="500"/>
      <c r="U55" s="500"/>
      <c r="V55" s="500"/>
      <c r="W55" s="500"/>
      <c r="X55" s="500"/>
      <c r="Y55" s="500"/>
      <c r="Z55" s="500"/>
      <c r="AA55" s="500"/>
      <c r="AB55" s="500"/>
      <c r="AC55" s="788"/>
      <c r="AD55" s="788"/>
      <c r="AE55" s="787"/>
      <c r="AF55" s="787"/>
      <c r="AG55" s="787"/>
      <c r="AH55" s="787"/>
    </row>
    <row r="56" spans="1:34" s="12" customFormat="1">
      <c r="A56" s="815"/>
      <c r="B56" s="814"/>
      <c r="C56" s="797"/>
      <c r="D56" s="500"/>
      <c r="E56" s="500"/>
      <c r="F56" s="797"/>
      <c r="G56" s="500"/>
      <c r="H56" s="500"/>
      <c r="I56" s="500"/>
      <c r="J56" s="500"/>
      <c r="K56" s="500"/>
      <c r="L56" s="500"/>
      <c r="M56" s="500"/>
      <c r="N56" s="500"/>
      <c r="O56" s="500"/>
      <c r="P56" s="500"/>
      <c r="Q56" s="500"/>
      <c r="R56" s="500"/>
      <c r="S56" s="500"/>
      <c r="T56" s="500"/>
      <c r="U56" s="500"/>
      <c r="V56" s="500"/>
      <c r="W56" s="500"/>
      <c r="X56" s="500"/>
      <c r="Y56" s="500"/>
      <c r="Z56" s="500"/>
      <c r="AA56" s="500"/>
      <c r="AB56" s="500"/>
      <c r="AC56" s="788"/>
      <c r="AD56" s="788"/>
      <c r="AE56" s="787"/>
      <c r="AF56" s="787"/>
      <c r="AG56" s="787"/>
      <c r="AH56" s="787"/>
    </row>
    <row r="57" spans="1:34" s="12" customFormat="1" ht="12.75">
      <c r="A57" s="574"/>
      <c r="B57" s="575"/>
      <c r="C57" s="2262"/>
      <c r="D57" s="2263"/>
      <c r="E57" s="2263"/>
      <c r="F57" s="2262"/>
      <c r="G57" s="2263"/>
      <c r="H57" s="2263"/>
      <c r="I57" s="2263"/>
      <c r="J57" s="2263"/>
      <c r="K57" s="2263"/>
      <c r="L57" s="2263"/>
      <c r="M57" s="2263"/>
      <c r="N57" s="2263"/>
      <c r="O57" s="2263"/>
      <c r="P57" s="2263"/>
      <c r="Q57" s="2263"/>
      <c r="R57" s="2263"/>
      <c r="S57" s="2263"/>
      <c r="T57" s="2263"/>
      <c r="U57" s="2263"/>
      <c r="V57" s="2263"/>
      <c r="W57" s="2263"/>
      <c r="X57" s="2263"/>
      <c r="Y57" s="2263"/>
      <c r="Z57" s="2263"/>
      <c r="AA57" s="2263"/>
      <c r="AB57" s="2263"/>
      <c r="AC57" s="788"/>
      <c r="AD57" s="788"/>
      <c r="AE57" s="787"/>
      <c r="AF57" s="787"/>
      <c r="AG57" s="787"/>
      <c r="AH57" s="787"/>
    </row>
    <row r="58" spans="1:34" s="12" customFormat="1" ht="12.75">
      <c r="A58" s="576"/>
      <c r="B58" s="576" t="s">
        <v>371</v>
      </c>
      <c r="C58" s="2263">
        <f>SUM(C15:C57)</f>
        <v>986400</v>
      </c>
      <c r="D58" s="2263">
        <f>SUM(D15:D57)</f>
        <v>493200</v>
      </c>
      <c r="E58" s="2263"/>
      <c r="F58" s="2263">
        <f t="shared" ref="F58:W58" si="0">SUM(F15:F57)</f>
        <v>493200</v>
      </c>
      <c r="G58" s="2263">
        <f t="shared" si="0"/>
        <v>0</v>
      </c>
      <c r="H58" s="2263">
        <f t="shared" si="0"/>
        <v>0</v>
      </c>
      <c r="I58" s="2263">
        <f t="shared" si="0"/>
        <v>0</v>
      </c>
      <c r="J58" s="2263">
        <f t="shared" si="0"/>
        <v>0</v>
      </c>
      <c r="K58" s="2263">
        <f t="shared" si="0"/>
        <v>0</v>
      </c>
      <c r="L58" s="2263">
        <f t="shared" si="0"/>
        <v>0</v>
      </c>
      <c r="M58" s="2263">
        <f t="shared" si="0"/>
        <v>0</v>
      </c>
      <c r="N58" s="2263">
        <f t="shared" si="0"/>
        <v>0</v>
      </c>
      <c r="O58" s="2263">
        <f t="shared" si="0"/>
        <v>0</v>
      </c>
      <c r="P58" s="2263">
        <f t="shared" si="0"/>
        <v>0</v>
      </c>
      <c r="Q58" s="2263">
        <f t="shared" si="0"/>
        <v>0</v>
      </c>
      <c r="R58" s="2263">
        <f t="shared" si="0"/>
        <v>0</v>
      </c>
      <c r="S58" s="2263">
        <f t="shared" si="0"/>
        <v>0</v>
      </c>
      <c r="T58" s="893">
        <f>W58-L58</f>
        <v>493200</v>
      </c>
      <c r="U58" s="2263">
        <f t="shared" si="0"/>
        <v>493200</v>
      </c>
      <c r="V58" s="2263">
        <f t="shared" si="0"/>
        <v>4</v>
      </c>
      <c r="W58" s="2263">
        <f t="shared" si="0"/>
        <v>493200</v>
      </c>
      <c r="X58" s="2263">
        <f>SUM(X14:X57)</f>
        <v>0</v>
      </c>
      <c r="Y58" s="2263">
        <f>SUM(Y14:Y57)</f>
        <v>0</v>
      </c>
      <c r="Z58" s="2263">
        <f>SUM(Z14:Z57)</f>
        <v>0</v>
      </c>
      <c r="AA58" s="2263">
        <f>SUM(AA14:AA57)</f>
        <v>0</v>
      </c>
      <c r="AB58" s="2263">
        <f>SUM(AB15:AB57)</f>
        <v>493200</v>
      </c>
      <c r="AC58" s="788"/>
      <c r="AD58" s="788"/>
      <c r="AE58" s="787"/>
      <c r="AF58" s="787"/>
      <c r="AG58" s="787"/>
      <c r="AH58" s="787"/>
    </row>
    <row r="59" spans="1:34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769"/>
      <c r="O59" s="213"/>
      <c r="P59" s="1769"/>
      <c r="Q59" s="213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7"/>
      <c r="AF59" s="787"/>
      <c r="AG59" s="787"/>
      <c r="AH59" s="787"/>
    </row>
    <row r="60" spans="1:34" s="12" customFormat="1">
      <c r="A60" s="43"/>
      <c r="B60" s="44"/>
      <c r="C60" s="213"/>
      <c r="D60" s="213"/>
      <c r="E60" s="213"/>
      <c r="F60" s="1769"/>
      <c r="G60" s="1769"/>
      <c r="H60" s="1769"/>
      <c r="I60" s="1769"/>
      <c r="J60" s="1769"/>
      <c r="K60" s="1769"/>
      <c r="L60" s="1769"/>
      <c r="M60" s="1769"/>
      <c r="N60" s="1769"/>
      <c r="O60" s="213"/>
      <c r="P60" s="1769"/>
      <c r="Q60" s="213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1769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1769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213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 t="s">
        <v>59</v>
      </c>
      <c r="B64" s="454"/>
      <c r="C64" s="213"/>
      <c r="D64" s="213"/>
      <c r="E64" s="213"/>
      <c r="F64" s="1769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1769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7"/>
      <c r="AF72" s="787"/>
      <c r="AG72" s="787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7"/>
      <c r="AF73" s="787"/>
      <c r="AG73" s="787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7"/>
      <c r="AF74" s="787"/>
      <c r="AG74" s="787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7"/>
      <c r="AF75" s="787"/>
      <c r="AG75" s="787"/>
      <c r="AH75" s="787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conditionalFormatting sqref="T58">
    <cfRule type="cellIs" dxfId="49" priority="1" stopIfTrue="1" operator="equal">
      <formula>0</formula>
    </cfRule>
  </conditionalFormatting>
  <pageMargins left="0.78740157480314965" right="0.78740157480314965" top="0.98425196850393704" bottom="0.98425196850393704" header="0.51181102362204722" footer="0.51181102362204722"/>
  <pageSetup paperSize="8" scale="58" orientation="landscape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BT97"/>
  <sheetViews>
    <sheetView showGridLines="0" topLeftCell="M1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72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72" ht="12.75">
      <c r="A2" s="283" t="s">
        <v>49</v>
      </c>
      <c r="B2" s="283" t="s">
        <v>105</v>
      </c>
      <c r="C2" s="652"/>
      <c r="D2" s="652"/>
      <c r="E2" s="652"/>
      <c r="F2" s="652"/>
      <c r="G2" s="652"/>
      <c r="H2" s="652"/>
      <c r="I2" s="652"/>
      <c r="J2" s="652"/>
      <c r="K2" s="652"/>
      <c r="L2" s="652"/>
      <c r="M2" s="652"/>
      <c r="N2" s="652"/>
      <c r="O2" s="652"/>
      <c r="P2" s="652"/>
      <c r="Q2" s="652"/>
      <c r="R2" s="652"/>
      <c r="S2" s="212"/>
      <c r="T2" s="212"/>
      <c r="U2" s="652"/>
      <c r="V2" s="652"/>
      <c r="W2" s="65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1"/>
      <c r="AJ2" s="1"/>
      <c r="AK2" s="1"/>
      <c r="AL2" s="1"/>
      <c r="AM2" s="1"/>
    </row>
    <row r="3" spans="1:72" ht="12.75">
      <c r="A3" s="6" t="s">
        <v>77</v>
      </c>
      <c r="B3" s="6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1"/>
      <c r="AJ3" s="1"/>
      <c r="AK3" s="1"/>
      <c r="AL3" s="1"/>
      <c r="AM3" s="1"/>
    </row>
    <row r="4" spans="1:72" ht="12.75">
      <c r="A4" s="3" t="s">
        <v>107</v>
      </c>
      <c r="B4" s="3" t="s">
        <v>108</v>
      </c>
      <c r="C4" s="1947"/>
      <c r="D4" s="65"/>
      <c r="E4" s="65"/>
      <c r="F4" s="1664"/>
      <c r="G4" s="1664"/>
      <c r="H4" s="1664"/>
      <c r="I4" s="1664"/>
      <c r="J4" s="1664"/>
      <c r="K4" s="1664"/>
      <c r="L4" s="1664"/>
      <c r="M4" s="1664"/>
      <c r="N4" s="1664"/>
      <c r="O4" s="65"/>
      <c r="P4" s="1664"/>
      <c r="Q4" s="65"/>
      <c r="R4" s="65"/>
      <c r="S4" s="215"/>
      <c r="T4" s="215"/>
      <c r="U4" s="65"/>
      <c r="V4" s="65"/>
      <c r="W4" s="1664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1"/>
      <c r="AJ4" s="1"/>
      <c r="AK4" s="1"/>
      <c r="AL4" s="1"/>
      <c r="AM4" s="1"/>
    </row>
    <row r="5" spans="1:72" ht="12.75">
      <c r="A5" s="3" t="s">
        <v>109</v>
      </c>
      <c r="B5" s="6">
        <v>201300767</v>
      </c>
      <c r="C5" s="65"/>
      <c r="D5" s="65"/>
      <c r="E5" s="65"/>
      <c r="F5" s="1664"/>
      <c r="G5" s="1664"/>
      <c r="H5" s="2230"/>
      <c r="J5" s="1664"/>
      <c r="L5" s="1664"/>
      <c r="M5" s="1664"/>
      <c r="N5" s="1664"/>
      <c r="O5" s="65"/>
      <c r="P5" s="1664"/>
      <c r="Q5" s="65"/>
      <c r="R5" s="65"/>
      <c r="S5" s="1664"/>
      <c r="T5" s="215"/>
      <c r="U5" s="65"/>
      <c r="V5" s="65"/>
      <c r="W5" s="1664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1"/>
      <c r="AJ5" s="1"/>
      <c r="AK5" s="1"/>
      <c r="AL5" s="1"/>
      <c r="AM5" s="1"/>
    </row>
    <row r="6" spans="1:72" ht="12.75">
      <c r="A6" s="3" t="s">
        <v>110</v>
      </c>
      <c r="B6" s="284"/>
      <c r="C6" s="65"/>
      <c r="D6" s="65"/>
      <c r="E6" s="65"/>
      <c r="F6" s="1664"/>
      <c r="G6" s="1664"/>
      <c r="H6" s="2231"/>
      <c r="I6" s="2232"/>
      <c r="J6" s="2233"/>
      <c r="K6" s="2234"/>
      <c r="L6" s="2234"/>
      <c r="M6" s="215"/>
      <c r="N6" s="212"/>
      <c r="O6" s="212"/>
      <c r="P6" s="212"/>
      <c r="Q6" s="215"/>
      <c r="R6" s="65"/>
      <c r="S6" s="215"/>
      <c r="T6" s="215"/>
      <c r="U6" s="65"/>
      <c r="V6" s="65"/>
      <c r="W6" s="1664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1"/>
      <c r="AJ6" s="1"/>
      <c r="AK6" s="1"/>
      <c r="AL6" s="1"/>
      <c r="AM6" s="1"/>
    </row>
    <row r="7" spans="1:72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1"/>
      <c r="AO7" s="212"/>
      <c r="AP7" s="212"/>
      <c r="AQ7" s="212"/>
      <c r="AR7" s="212"/>
      <c r="AS7" s="212"/>
      <c r="AT7" s="1"/>
      <c r="AU7" s="212"/>
      <c r="AV7" s="212"/>
      <c r="AW7" s="212"/>
      <c r="AX7" s="212"/>
      <c r="AY7" s="212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</row>
    <row r="8" spans="1:72" ht="16.5" customHeight="1">
      <c r="A8" s="285" t="s">
        <v>0</v>
      </c>
      <c r="B8" s="285" t="s">
        <v>1</v>
      </c>
      <c r="C8" s="2235" t="s">
        <v>2</v>
      </c>
      <c r="D8" s="2236" t="s">
        <v>3</v>
      </c>
      <c r="E8" s="2237"/>
      <c r="F8" s="2238"/>
      <c r="G8" s="2239" t="s">
        <v>4</v>
      </c>
      <c r="H8" s="2240"/>
      <c r="I8" s="2239" t="s">
        <v>5</v>
      </c>
      <c r="J8" s="2240"/>
      <c r="K8" s="1687" t="s">
        <v>6</v>
      </c>
      <c r="L8" s="1687"/>
      <c r="M8" s="1687"/>
      <c r="N8" s="1687"/>
      <c r="O8" s="2237" t="s">
        <v>7</v>
      </c>
      <c r="P8" s="2238"/>
      <c r="Q8" s="2237" t="s">
        <v>8</v>
      </c>
      <c r="R8" s="2238"/>
      <c r="S8" s="2241"/>
      <c r="T8" s="2242"/>
      <c r="U8" s="2399" t="s">
        <v>63</v>
      </c>
      <c r="V8" s="2400"/>
      <c r="W8" s="2401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417" t="s">
        <v>64</v>
      </c>
      <c r="AC8" s="212"/>
      <c r="AD8" s="212"/>
      <c r="AE8" s="212"/>
      <c r="AF8" s="212"/>
      <c r="AG8" s="212"/>
      <c r="AH8" s="212"/>
      <c r="AI8" s="1"/>
      <c r="AJ8" s="1"/>
      <c r="AK8" s="1"/>
      <c r="AL8" s="1"/>
      <c r="AM8" s="1"/>
    </row>
    <row r="9" spans="1:72" ht="8.25" customHeight="1">
      <c r="A9" s="286" t="s">
        <v>9</v>
      </c>
      <c r="B9" s="287"/>
      <c r="C9" s="1693"/>
      <c r="D9" s="1936"/>
      <c r="E9" s="1937"/>
      <c r="F9" s="1938"/>
      <c r="G9" s="2243"/>
      <c r="H9" s="2244"/>
      <c r="I9" s="2243" t="s">
        <v>10</v>
      </c>
      <c r="J9" s="2243"/>
      <c r="K9" s="1689" t="s">
        <v>11</v>
      </c>
      <c r="L9" s="1689"/>
      <c r="M9" s="1689"/>
      <c r="N9" s="1689" t="s">
        <v>12</v>
      </c>
      <c r="O9" s="1937"/>
      <c r="P9" s="1938"/>
      <c r="Q9" s="1937"/>
      <c r="R9" s="2245"/>
      <c r="S9" s="1688" t="s">
        <v>13</v>
      </c>
      <c r="T9" s="2246" t="s">
        <v>14</v>
      </c>
      <c r="U9" s="2402"/>
      <c r="V9" s="2403"/>
      <c r="W9" s="2404"/>
      <c r="X9" s="2418"/>
      <c r="Y9" s="2418"/>
      <c r="Z9" s="2418"/>
      <c r="AA9" s="2418"/>
      <c r="AB9" s="2418"/>
      <c r="AC9" s="212"/>
      <c r="AD9" s="212"/>
      <c r="AE9" s="212"/>
      <c r="AF9" s="212"/>
      <c r="AG9" s="212"/>
      <c r="AH9" s="212"/>
      <c r="AI9" s="1"/>
      <c r="AJ9" s="1"/>
      <c r="AK9" s="1"/>
      <c r="AL9" s="1"/>
      <c r="AM9" s="1"/>
    </row>
    <row r="10" spans="1:72" ht="8.25" customHeight="1">
      <c r="A10" s="287"/>
      <c r="B10" s="287"/>
      <c r="C10" s="1693"/>
      <c r="D10" s="1686" t="s">
        <v>15</v>
      </c>
      <c r="E10" s="1686" t="s">
        <v>16</v>
      </c>
      <c r="F10" s="1687" t="s">
        <v>17</v>
      </c>
      <c r="G10" s="2243"/>
      <c r="H10" s="2244"/>
      <c r="I10" s="2243"/>
      <c r="J10" s="2243"/>
      <c r="K10" s="2247" t="s">
        <v>18</v>
      </c>
      <c r="L10" s="2247" t="s">
        <v>17</v>
      </c>
      <c r="M10" s="2247" t="s">
        <v>19</v>
      </c>
      <c r="N10" s="2247" t="s">
        <v>20</v>
      </c>
      <c r="O10" s="1686" t="s">
        <v>16</v>
      </c>
      <c r="P10" s="1687" t="s">
        <v>17</v>
      </c>
      <c r="Q10" s="1686" t="s">
        <v>16</v>
      </c>
      <c r="R10" s="1687" t="s">
        <v>17</v>
      </c>
      <c r="S10" s="1688" t="s">
        <v>21</v>
      </c>
      <c r="T10" s="2246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418"/>
      <c r="AC10" s="212"/>
      <c r="AD10" s="212"/>
      <c r="AE10" s="212"/>
      <c r="AF10" s="212"/>
      <c r="AG10" s="212"/>
      <c r="AH10" s="212"/>
      <c r="AI10" s="1"/>
      <c r="AJ10" s="1"/>
      <c r="AK10" s="1"/>
      <c r="AL10" s="1"/>
      <c r="AM10" s="1"/>
    </row>
    <row r="11" spans="1:72" ht="8.25" customHeight="1">
      <c r="A11" s="287"/>
      <c r="B11" s="287"/>
      <c r="C11" s="1693"/>
      <c r="D11" s="1688" t="s">
        <v>23</v>
      </c>
      <c r="E11" s="1688"/>
      <c r="F11" s="1689" t="s">
        <v>23</v>
      </c>
      <c r="G11" s="1687" t="s">
        <v>24</v>
      </c>
      <c r="H11" s="1687" t="s">
        <v>25</v>
      </c>
      <c r="I11" s="1687" t="s">
        <v>26</v>
      </c>
      <c r="J11" s="1687" t="s">
        <v>27</v>
      </c>
      <c r="K11" s="1689" t="s">
        <v>28</v>
      </c>
      <c r="L11" s="1689" t="s">
        <v>29</v>
      </c>
      <c r="M11" s="1689" t="s">
        <v>30</v>
      </c>
      <c r="N11" s="1689" t="s">
        <v>31</v>
      </c>
      <c r="O11" s="1688"/>
      <c r="P11" s="1689" t="s">
        <v>23</v>
      </c>
      <c r="Q11" s="1688"/>
      <c r="R11" s="1689" t="s">
        <v>23</v>
      </c>
      <c r="S11" s="1693"/>
      <c r="T11" s="2246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418"/>
      <c r="AC11" s="212"/>
      <c r="AD11" s="212"/>
      <c r="AE11" s="212"/>
      <c r="AF11" s="212"/>
      <c r="AG11" s="212"/>
      <c r="AH11" s="212"/>
      <c r="AI11" s="1"/>
      <c r="AJ11" s="1"/>
      <c r="AK11" s="1"/>
      <c r="AL11" s="1"/>
      <c r="AM11" s="1"/>
    </row>
    <row r="12" spans="1:72" ht="8.25" customHeight="1">
      <c r="A12" s="287"/>
      <c r="B12" s="287"/>
      <c r="C12" s="1693"/>
      <c r="D12" s="1693"/>
      <c r="E12" s="1693"/>
      <c r="F12" s="1694"/>
      <c r="G12" s="1694"/>
      <c r="H12" s="1694"/>
      <c r="I12" s="1694"/>
      <c r="J12" s="1689" t="s">
        <v>33</v>
      </c>
      <c r="K12" s="1689" t="s">
        <v>34</v>
      </c>
      <c r="L12" s="1689"/>
      <c r="M12" s="1689"/>
      <c r="N12" s="1689"/>
      <c r="O12" s="1693"/>
      <c r="P12" s="1694"/>
      <c r="Q12" s="1693"/>
      <c r="R12" s="1694"/>
      <c r="S12" s="2248"/>
      <c r="T12" s="2249"/>
      <c r="U12" s="1693"/>
      <c r="V12" s="1693"/>
      <c r="W12" s="1694"/>
      <c r="X12" s="2418"/>
      <c r="Y12" s="2418"/>
      <c r="Z12" s="2418"/>
      <c r="AA12" s="2418"/>
      <c r="AB12" s="2418"/>
      <c r="AC12" s="212"/>
      <c r="AD12" s="212"/>
      <c r="AE12" s="212"/>
      <c r="AF12" s="212"/>
      <c r="AG12" s="212"/>
      <c r="AH12" s="212"/>
      <c r="AI12" s="1"/>
      <c r="AJ12" s="1"/>
      <c r="AK12" s="1"/>
      <c r="AL12" s="1"/>
      <c r="AM12" s="1"/>
    </row>
    <row r="13" spans="1:72">
      <c r="A13" s="288"/>
      <c r="B13" s="288" t="s">
        <v>35</v>
      </c>
      <c r="C13" s="2250" t="s">
        <v>36</v>
      </c>
      <c r="D13" s="2250"/>
      <c r="E13" s="2250"/>
      <c r="F13" s="2251" t="s">
        <v>37</v>
      </c>
      <c r="G13" s="2251" t="s">
        <v>38</v>
      </c>
      <c r="H13" s="2251" t="s">
        <v>39</v>
      </c>
      <c r="I13" s="2251" t="s">
        <v>40</v>
      </c>
      <c r="J13" s="2251" t="s">
        <v>41</v>
      </c>
      <c r="K13" s="2251" t="s">
        <v>42</v>
      </c>
      <c r="L13" s="2251" t="s">
        <v>43</v>
      </c>
      <c r="M13" s="2251" t="s">
        <v>44</v>
      </c>
      <c r="N13" s="2251" t="s">
        <v>45</v>
      </c>
      <c r="O13" s="2250"/>
      <c r="P13" s="2251" t="s">
        <v>37</v>
      </c>
      <c r="Q13" s="2250" t="s">
        <v>46</v>
      </c>
      <c r="R13" s="2250"/>
      <c r="S13" s="2252" t="s">
        <v>47</v>
      </c>
      <c r="T13" s="1750" t="s">
        <v>48</v>
      </c>
      <c r="U13" s="2250"/>
      <c r="V13" s="2250"/>
      <c r="W13" s="2251" t="s">
        <v>37</v>
      </c>
      <c r="X13" s="289"/>
      <c r="Y13" s="289"/>
      <c r="Z13" s="289"/>
      <c r="AA13" s="289"/>
      <c r="AB13" s="289"/>
      <c r="AC13" s="212"/>
      <c r="AD13" s="212"/>
      <c r="AE13" s="212"/>
      <c r="AF13" s="212"/>
      <c r="AG13" s="212"/>
      <c r="AH13" s="212"/>
      <c r="AI13" s="1"/>
      <c r="AJ13" s="1"/>
      <c r="AK13" s="1"/>
      <c r="AL13" s="1"/>
      <c r="AM13" s="1"/>
    </row>
    <row r="14" spans="1:72" ht="12.75">
      <c r="A14" s="910"/>
      <c r="B14" s="911"/>
      <c r="C14" s="2253"/>
      <c r="D14" s="2253"/>
      <c r="E14" s="2253"/>
      <c r="F14" s="4"/>
      <c r="G14" s="4"/>
      <c r="H14" s="4"/>
      <c r="I14" s="4"/>
      <c r="J14" s="4"/>
      <c r="K14" s="4"/>
      <c r="L14" s="4"/>
      <c r="M14" s="4"/>
      <c r="N14" s="4"/>
      <c r="O14" s="2253"/>
      <c r="P14" s="4"/>
      <c r="Q14" s="2253"/>
      <c r="R14" s="2253"/>
      <c r="S14" s="2253"/>
      <c r="T14" s="2254">
        <f>W14-L14</f>
        <v>0</v>
      </c>
      <c r="U14" s="2253"/>
      <c r="V14" s="2253"/>
      <c r="W14" s="4"/>
      <c r="X14" s="4"/>
      <c r="Y14" s="4"/>
      <c r="Z14" s="4"/>
      <c r="AA14" s="2253"/>
      <c r="AB14" s="4"/>
      <c r="AC14" s="212"/>
      <c r="AD14" s="212"/>
      <c r="AE14" s="212"/>
      <c r="AF14" s="212"/>
      <c r="AG14" s="212"/>
      <c r="AH14" s="212"/>
      <c r="AI14" s="1"/>
      <c r="AJ14" s="1"/>
      <c r="AK14" s="1"/>
      <c r="AL14" s="1"/>
      <c r="AM14" s="1"/>
    </row>
    <row r="15" spans="1:72" ht="12.75">
      <c r="A15" s="290"/>
      <c r="B15" s="291"/>
      <c r="C15" s="4"/>
      <c r="D15" s="2255"/>
      <c r="E15" s="4"/>
      <c r="F15" s="4"/>
      <c r="G15" s="2255"/>
      <c r="H15" s="2255"/>
      <c r="I15" s="2255"/>
      <c r="J15" s="2255"/>
      <c r="K15" s="4"/>
      <c r="L15" s="4"/>
      <c r="M15" s="2255"/>
      <c r="N15" s="2255"/>
      <c r="O15" s="2255"/>
      <c r="P15" s="4"/>
      <c r="Q15" s="2255"/>
      <c r="R15" s="2253"/>
      <c r="S15" s="2253"/>
      <c r="T15" s="2254">
        <f>W15-L15</f>
        <v>0</v>
      </c>
      <c r="U15" s="2255"/>
      <c r="V15" s="4"/>
      <c r="W15" s="4"/>
      <c r="X15" s="4"/>
      <c r="Y15" s="2255"/>
      <c r="Z15" s="4"/>
      <c r="AA15" s="2253"/>
      <c r="AB15" s="4"/>
      <c r="AC15" s="212"/>
      <c r="AD15" s="212"/>
      <c r="AE15" s="212"/>
      <c r="AF15" s="212"/>
      <c r="AG15" s="212"/>
      <c r="AH15" s="212"/>
      <c r="AI15" s="1"/>
      <c r="AJ15" s="1"/>
      <c r="AK15" s="1"/>
      <c r="AL15" s="1"/>
      <c r="AM15" s="1"/>
    </row>
    <row r="16" spans="1:72" ht="12.75">
      <c r="A16" s="292"/>
      <c r="B16" s="293"/>
      <c r="C16" s="2256"/>
      <c r="D16" s="2256"/>
      <c r="E16" s="2255"/>
      <c r="F16" s="2255"/>
      <c r="G16" s="2255"/>
      <c r="H16" s="2255"/>
      <c r="I16" s="2255"/>
      <c r="J16" s="2255"/>
      <c r="K16" s="4"/>
      <c r="L16" s="4"/>
      <c r="M16" s="2255"/>
      <c r="N16" s="2255"/>
      <c r="O16" s="2255"/>
      <c r="P16" s="4"/>
      <c r="Q16" s="2255"/>
      <c r="R16" s="2253"/>
      <c r="S16" s="2253"/>
      <c r="T16" s="2254">
        <f>W16-L16</f>
        <v>0</v>
      </c>
      <c r="U16" s="2256"/>
      <c r="V16" s="2255"/>
      <c r="W16" s="2255"/>
      <c r="X16" s="4"/>
      <c r="Y16" s="2255"/>
      <c r="Z16" s="4"/>
      <c r="AA16" s="2253"/>
      <c r="AB16" s="4"/>
      <c r="AC16" s="212"/>
      <c r="AD16" s="212"/>
      <c r="AE16" s="212"/>
      <c r="AF16" s="212"/>
      <c r="AG16" s="212"/>
      <c r="AH16" s="212"/>
      <c r="AI16" s="1"/>
      <c r="AJ16" s="1"/>
      <c r="AK16" s="1"/>
      <c r="AL16" s="1"/>
      <c r="AM16" s="1"/>
    </row>
    <row r="17" spans="1:39">
      <c r="A17" s="294">
        <v>1</v>
      </c>
      <c r="B17" s="295" t="s">
        <v>111</v>
      </c>
      <c r="C17" s="1919">
        <f>254000*1.2</f>
        <v>304800</v>
      </c>
      <c r="D17" s="1919">
        <f>+C17*0.66</f>
        <v>201168</v>
      </c>
      <c r="E17" s="1919">
        <v>1</v>
      </c>
      <c r="F17" s="1919">
        <f>E17*D17</f>
        <v>201168</v>
      </c>
      <c r="G17" s="1919"/>
      <c r="H17" s="1919"/>
      <c r="I17" s="1919">
        <f>W17</f>
        <v>201168</v>
      </c>
      <c r="J17" s="1919"/>
      <c r="K17" s="1919"/>
      <c r="L17" s="124">
        <f>+I17-J17+K17</f>
        <v>201168</v>
      </c>
      <c r="M17" s="1919"/>
      <c r="N17" s="1919"/>
      <c r="O17" s="1919">
        <v>1</v>
      </c>
      <c r="P17" s="1919">
        <f>+O17*W17</f>
        <v>201168</v>
      </c>
      <c r="Q17" s="1919"/>
      <c r="R17" s="1919"/>
      <c r="S17" s="1919"/>
      <c r="T17" s="1919">
        <f>W17-L17</f>
        <v>0</v>
      </c>
      <c r="U17" s="1919">
        <f t="shared" ref="U17:U28" si="0">D17</f>
        <v>201168</v>
      </c>
      <c r="V17" s="1919">
        <v>1</v>
      </c>
      <c r="W17" s="1919">
        <f>U17*V17</f>
        <v>201168</v>
      </c>
      <c r="X17" s="1919">
        <f>I17-J17+K17</f>
        <v>201168</v>
      </c>
      <c r="Y17" s="1919"/>
      <c r="Z17" s="1919"/>
      <c r="AA17" s="1919"/>
      <c r="AB17" s="1919">
        <f t="shared" ref="AB17:AB28" si="1">W17</f>
        <v>201168</v>
      </c>
      <c r="AC17" s="212"/>
      <c r="AD17" s="212"/>
      <c r="AE17" s="212"/>
      <c r="AF17" s="212"/>
      <c r="AG17" s="212"/>
      <c r="AH17" s="212"/>
      <c r="AI17" s="1"/>
      <c r="AJ17" s="1"/>
      <c r="AK17" s="1"/>
      <c r="AL17" s="1"/>
      <c r="AM17" s="1"/>
    </row>
    <row r="18" spans="1:39">
      <c r="A18" s="294"/>
      <c r="B18" s="295"/>
      <c r="C18" s="1919"/>
      <c r="D18" s="1919"/>
      <c r="E18" s="1919"/>
      <c r="F18" s="1919"/>
      <c r="G18" s="1919"/>
      <c r="H18" s="1919"/>
      <c r="I18" s="1919"/>
      <c r="J18" s="1919"/>
      <c r="K18" s="1919"/>
      <c r="L18" s="124"/>
      <c r="M18" s="1919"/>
      <c r="N18" s="1919"/>
      <c r="O18" s="1919"/>
      <c r="P18" s="1919"/>
      <c r="Q18" s="1919"/>
      <c r="R18" s="1919"/>
      <c r="S18" s="1919"/>
      <c r="T18" s="1919">
        <f>W18-X18</f>
        <v>0</v>
      </c>
      <c r="U18" s="1919">
        <f t="shared" si="0"/>
        <v>0</v>
      </c>
      <c r="V18" s="1919"/>
      <c r="W18" s="1919"/>
      <c r="X18" s="1919"/>
      <c r="Y18" s="1919"/>
      <c r="Z18" s="1919"/>
      <c r="AA18" s="1919"/>
      <c r="AB18" s="1919">
        <f t="shared" si="1"/>
        <v>0</v>
      </c>
      <c r="AC18" s="212"/>
      <c r="AD18" s="212"/>
      <c r="AE18" s="212"/>
      <c r="AF18" s="212"/>
      <c r="AG18" s="212"/>
      <c r="AH18" s="212"/>
      <c r="AI18" s="1"/>
      <c r="AJ18" s="1"/>
      <c r="AK18" s="1"/>
      <c r="AL18" s="1"/>
      <c r="AM18" s="1"/>
    </row>
    <row r="19" spans="1:39" ht="12.75">
      <c r="A19" s="296"/>
      <c r="B19" s="293"/>
      <c r="C19" s="1919"/>
      <c r="D19" s="1919"/>
      <c r="E19" s="1919"/>
      <c r="F19" s="1919"/>
      <c r="G19" s="1919"/>
      <c r="H19" s="1919"/>
      <c r="I19" s="1919"/>
      <c r="J19" s="1919"/>
      <c r="K19" s="1919"/>
      <c r="L19" s="124"/>
      <c r="M19" s="1919"/>
      <c r="N19" s="1919"/>
      <c r="O19" s="1919"/>
      <c r="P19" s="1919"/>
      <c r="Q19" s="1919"/>
      <c r="R19" s="1919"/>
      <c r="S19" s="1919"/>
      <c r="T19" s="1919">
        <f>W19-X19</f>
        <v>0</v>
      </c>
      <c r="U19" s="1919">
        <f t="shared" si="0"/>
        <v>0</v>
      </c>
      <c r="V19" s="1919"/>
      <c r="W19" s="1919"/>
      <c r="X19" s="1919"/>
      <c r="Y19" s="1919"/>
      <c r="Z19" s="1919"/>
      <c r="AA19" s="1919"/>
      <c r="AB19" s="1919">
        <f t="shared" si="1"/>
        <v>0</v>
      </c>
      <c r="AC19" s="212"/>
      <c r="AD19" s="212"/>
      <c r="AE19" s="212"/>
      <c r="AF19" s="212"/>
      <c r="AG19" s="212"/>
      <c r="AH19" s="212"/>
      <c r="AI19" s="1"/>
      <c r="AJ19" s="1"/>
      <c r="AK19" s="1"/>
      <c r="AL19" s="1"/>
      <c r="AM19" s="1"/>
    </row>
    <row r="20" spans="1:39">
      <c r="A20" s="294">
        <v>2</v>
      </c>
      <c r="B20" s="295" t="s">
        <v>112</v>
      </c>
      <c r="C20" s="1919">
        <v>3159600</v>
      </c>
      <c r="D20" s="1919">
        <f>+C20*0.66</f>
        <v>2085336</v>
      </c>
      <c r="E20" s="1919">
        <v>1</v>
      </c>
      <c r="F20" s="1919">
        <f>E20*D20</f>
        <v>2085336</v>
      </c>
      <c r="G20" s="1919">
        <f>101580</f>
        <v>101580</v>
      </c>
      <c r="H20" s="1919" t="s">
        <v>373</v>
      </c>
      <c r="I20" s="1919">
        <f>F20</f>
        <v>2085336</v>
      </c>
      <c r="J20" s="1919"/>
      <c r="K20" s="1919"/>
      <c r="L20" s="124">
        <f>+I20-J20+K20</f>
        <v>2085336</v>
      </c>
      <c r="M20" s="1919"/>
      <c r="N20" s="2369">
        <v>111180</v>
      </c>
      <c r="O20" s="1919"/>
      <c r="P20" s="1919"/>
      <c r="Q20" s="1919"/>
      <c r="R20" s="1919"/>
      <c r="S20" s="1919"/>
      <c r="T20" s="1919">
        <f>W20-L20</f>
        <v>0</v>
      </c>
      <c r="U20" s="1919">
        <f>D20</f>
        <v>2085336</v>
      </c>
      <c r="V20" s="1919">
        <v>1</v>
      </c>
      <c r="W20" s="1919">
        <f>U20*V20</f>
        <v>2085336</v>
      </c>
      <c r="X20" s="1919">
        <v>1668268.8</v>
      </c>
      <c r="Y20" s="1919">
        <v>111180</v>
      </c>
      <c r="Z20" s="1919"/>
      <c r="AA20" s="1919"/>
      <c r="AB20" s="1919">
        <f t="shared" si="1"/>
        <v>2085336</v>
      </c>
      <c r="AC20" s="212"/>
      <c r="AD20" s="212"/>
      <c r="AE20" s="212"/>
      <c r="AF20" s="212"/>
      <c r="AG20" s="212"/>
      <c r="AH20" s="212"/>
      <c r="AI20" s="1"/>
      <c r="AJ20" s="1"/>
      <c r="AK20" s="1"/>
      <c r="AL20" s="1"/>
      <c r="AM20" s="1"/>
    </row>
    <row r="21" spans="1:39" ht="12.75">
      <c r="A21" s="296"/>
      <c r="B21" s="293"/>
      <c r="C21" s="1919"/>
      <c r="D21" s="1919"/>
      <c r="E21" s="1919"/>
      <c r="F21" s="1919"/>
      <c r="G21" s="1919">
        <f>96000+48000</f>
        <v>144000</v>
      </c>
      <c r="H21" s="1919" t="s">
        <v>373</v>
      </c>
      <c r="I21" s="1919"/>
      <c r="J21" s="1919"/>
      <c r="K21" s="1919"/>
      <c r="L21" s="124"/>
      <c r="M21" s="1919"/>
      <c r="N21" s="2369">
        <f>G21</f>
        <v>144000</v>
      </c>
      <c r="O21" s="1919"/>
      <c r="P21" s="1919"/>
      <c r="Q21" s="1919"/>
      <c r="R21" s="1919"/>
      <c r="S21" s="1919"/>
      <c r="T21" s="1919">
        <f>W21-X21</f>
        <v>0</v>
      </c>
      <c r="U21" s="1919">
        <f t="shared" si="0"/>
        <v>0</v>
      </c>
      <c r="V21" s="1919"/>
      <c r="W21" s="1919"/>
      <c r="X21" s="1919"/>
      <c r="Y21" s="1919">
        <v>144000</v>
      </c>
      <c r="Z21" s="1919"/>
      <c r="AA21" s="1919"/>
      <c r="AB21" s="1919">
        <f t="shared" si="1"/>
        <v>0</v>
      </c>
      <c r="AC21" s="212"/>
      <c r="AD21" s="212"/>
      <c r="AE21" s="212"/>
      <c r="AF21" s="212"/>
      <c r="AG21" s="212"/>
      <c r="AH21" s="212"/>
      <c r="AI21" s="1"/>
      <c r="AJ21" s="1"/>
      <c r="AK21" s="1"/>
      <c r="AL21" s="1"/>
      <c r="AM21" s="1"/>
    </row>
    <row r="22" spans="1:39" ht="12.75">
      <c r="A22" s="296"/>
      <c r="B22" s="293"/>
      <c r="C22" s="1919"/>
      <c r="D22" s="1919"/>
      <c r="E22" s="1919"/>
      <c r="F22" s="1919"/>
      <c r="G22" s="1919">
        <v>106320</v>
      </c>
      <c r="H22" s="1919" t="s">
        <v>104</v>
      </c>
      <c r="I22" s="1919"/>
      <c r="J22" s="1919"/>
      <c r="K22" s="1919"/>
      <c r="L22" s="124"/>
      <c r="M22" s="1919"/>
      <c r="N22" s="1919">
        <f>G22</f>
        <v>106320</v>
      </c>
      <c r="O22" s="1919"/>
      <c r="P22" s="1919"/>
      <c r="Q22" s="1919"/>
      <c r="R22" s="1919"/>
      <c r="S22" s="1919"/>
      <c r="T22" s="1919">
        <f>W22-X22</f>
        <v>0</v>
      </c>
      <c r="U22" s="1919">
        <f t="shared" si="0"/>
        <v>0</v>
      </c>
      <c r="V22" s="1919"/>
      <c r="W22" s="1919"/>
      <c r="X22" s="1919"/>
      <c r="Y22" s="1919">
        <v>106320</v>
      </c>
      <c r="Z22" s="1919"/>
      <c r="AA22" s="1919"/>
      <c r="AB22" s="1919">
        <f t="shared" si="1"/>
        <v>0</v>
      </c>
      <c r="AC22" s="212"/>
      <c r="AD22" s="212"/>
      <c r="AE22" s="212"/>
      <c r="AF22" s="212"/>
      <c r="AG22" s="212"/>
      <c r="AH22" s="212"/>
      <c r="AI22" s="1"/>
      <c r="AJ22" s="1"/>
      <c r="AK22" s="1"/>
      <c r="AL22" s="1"/>
      <c r="AM22" s="1"/>
    </row>
    <row r="23" spans="1:39" ht="12.75">
      <c r="A23" s="296"/>
      <c r="B23" s="293"/>
      <c r="C23" s="1919"/>
      <c r="D23" s="1919"/>
      <c r="E23" s="1919"/>
      <c r="F23" s="1919"/>
      <c r="G23" s="1919">
        <f>47143</f>
        <v>47143</v>
      </c>
      <c r="H23" s="1919" t="s">
        <v>374</v>
      </c>
      <c r="I23" s="1919"/>
      <c r="J23" s="1919"/>
      <c r="K23" s="1919"/>
      <c r="L23" s="124"/>
      <c r="M23" s="1919"/>
      <c r="N23" s="1919">
        <f>G23</f>
        <v>47143</v>
      </c>
      <c r="O23" s="1919"/>
      <c r="P23" s="1919"/>
      <c r="Q23" s="1919"/>
      <c r="R23" s="1919"/>
      <c r="S23" s="1919"/>
      <c r="T23" s="1919"/>
      <c r="U23" s="1919"/>
      <c r="V23" s="1919"/>
      <c r="W23" s="1919"/>
      <c r="X23" s="1919"/>
      <c r="Y23" s="1919">
        <v>47143</v>
      </c>
      <c r="Z23" s="1919"/>
      <c r="AA23" s="1919"/>
      <c r="AB23" s="1919"/>
      <c r="AC23" s="212"/>
      <c r="AD23" s="212"/>
      <c r="AE23" s="212"/>
      <c r="AF23" s="212"/>
      <c r="AG23" s="212"/>
      <c r="AH23" s="212"/>
      <c r="AI23" s="1"/>
      <c r="AJ23" s="1"/>
      <c r="AK23" s="1"/>
      <c r="AL23" s="1"/>
      <c r="AM23" s="1"/>
    </row>
    <row r="24" spans="1:39">
      <c r="A24" s="294">
        <v>3</v>
      </c>
      <c r="B24" s="295" t="s">
        <v>113</v>
      </c>
      <c r="C24" s="1919">
        <v>1047000</v>
      </c>
      <c r="D24" s="1919">
        <f>+C24*0.66</f>
        <v>691020</v>
      </c>
      <c r="E24" s="1919">
        <v>1</v>
      </c>
      <c r="F24" s="1919">
        <f>E24*D24</f>
        <v>691020</v>
      </c>
      <c r="G24" s="1919">
        <v>69240</v>
      </c>
      <c r="H24" s="1919" t="s">
        <v>96</v>
      </c>
      <c r="I24" s="1919"/>
      <c r="J24" s="1919"/>
      <c r="K24" s="1919"/>
      <c r="L24" s="124"/>
      <c r="M24" s="1919"/>
      <c r="N24" s="1919">
        <f>G24</f>
        <v>69240</v>
      </c>
      <c r="O24" s="1919"/>
      <c r="P24" s="1919"/>
      <c r="Q24" s="1919"/>
      <c r="R24" s="1919"/>
      <c r="S24" s="1919"/>
      <c r="T24" s="1919">
        <f>W24-L24</f>
        <v>691020</v>
      </c>
      <c r="U24" s="1919">
        <f t="shared" si="0"/>
        <v>691020</v>
      </c>
      <c r="V24" s="1919">
        <v>1</v>
      </c>
      <c r="W24" s="1919">
        <f>U24*V24</f>
        <v>691020</v>
      </c>
      <c r="X24" s="1919">
        <f>I24-J24+K24</f>
        <v>0</v>
      </c>
      <c r="Y24" s="1919">
        <v>69240</v>
      </c>
      <c r="Z24" s="1919"/>
      <c r="AA24" s="1919"/>
      <c r="AB24" s="1919">
        <f t="shared" si="1"/>
        <v>691020</v>
      </c>
      <c r="AC24" s="212"/>
      <c r="AD24" s="212"/>
      <c r="AE24" s="212"/>
      <c r="AF24" s="212"/>
      <c r="AG24" s="212"/>
      <c r="AH24" s="212"/>
      <c r="AI24" s="1"/>
      <c r="AJ24" s="1"/>
      <c r="AK24" s="1"/>
      <c r="AL24" s="1"/>
      <c r="AM24" s="1"/>
    </row>
    <row r="25" spans="1:39">
      <c r="A25" s="294"/>
      <c r="B25" s="295"/>
      <c r="C25" s="1919"/>
      <c r="D25" s="1919"/>
      <c r="E25" s="1919"/>
      <c r="F25" s="1919"/>
      <c r="G25" s="1919"/>
      <c r="H25" s="1919"/>
      <c r="I25" s="1919"/>
      <c r="J25" s="1919"/>
      <c r="K25" s="1919"/>
      <c r="L25" s="124"/>
      <c r="M25" s="1919"/>
      <c r="N25" s="1919"/>
      <c r="O25" s="1919"/>
      <c r="P25" s="1919"/>
      <c r="Q25" s="1919"/>
      <c r="R25" s="1919"/>
      <c r="S25" s="1919"/>
      <c r="T25" s="1919">
        <f t="shared" ref="T25:T45" si="2">W25-X25</f>
        <v>0</v>
      </c>
      <c r="U25" s="1919">
        <f t="shared" si="0"/>
        <v>0</v>
      </c>
      <c r="V25" s="1919"/>
      <c r="W25" s="1919"/>
      <c r="X25" s="1919"/>
      <c r="Y25" s="1919"/>
      <c r="Z25" s="1919"/>
      <c r="AA25" s="1919"/>
      <c r="AB25" s="1919">
        <f t="shared" si="1"/>
        <v>0</v>
      </c>
      <c r="AC25" s="212"/>
      <c r="AD25" s="212"/>
      <c r="AE25" s="212"/>
      <c r="AF25" s="212"/>
      <c r="AG25" s="212"/>
      <c r="AH25" s="212"/>
      <c r="AI25" s="1"/>
      <c r="AJ25" s="1"/>
      <c r="AK25" s="1"/>
      <c r="AL25" s="1"/>
      <c r="AM25" s="1"/>
    </row>
    <row r="26" spans="1:39">
      <c r="A26" s="294"/>
      <c r="B26" s="295"/>
      <c r="C26" s="1919"/>
      <c r="D26" s="1919"/>
      <c r="E26" s="889"/>
      <c r="F26" s="889"/>
      <c r="G26" s="889"/>
      <c r="H26" s="889"/>
      <c r="I26" s="1919"/>
      <c r="J26" s="889"/>
      <c r="K26" s="889"/>
      <c r="L26" s="124"/>
      <c r="M26" s="1919"/>
      <c r="N26" s="889"/>
      <c r="O26" s="889"/>
      <c r="P26" s="1919"/>
      <c r="Q26" s="889"/>
      <c r="R26" s="1919"/>
      <c r="S26" s="1919"/>
      <c r="T26" s="1919">
        <f t="shared" si="2"/>
        <v>0</v>
      </c>
      <c r="U26" s="1919">
        <f t="shared" si="0"/>
        <v>0</v>
      </c>
      <c r="V26" s="889"/>
      <c r="W26" s="889"/>
      <c r="X26" s="1919"/>
      <c r="Y26" s="889"/>
      <c r="Z26" s="1919"/>
      <c r="AA26" s="1919"/>
      <c r="AB26" s="1919">
        <f t="shared" si="1"/>
        <v>0</v>
      </c>
      <c r="AC26" s="212"/>
      <c r="AD26" s="212"/>
      <c r="AE26" s="212"/>
      <c r="AF26" s="212"/>
      <c r="AG26" s="212"/>
      <c r="AH26" s="212"/>
      <c r="AI26" s="1"/>
      <c r="AJ26" s="1"/>
      <c r="AK26" s="1"/>
      <c r="AL26" s="1"/>
      <c r="AM26" s="1"/>
    </row>
    <row r="27" spans="1:39">
      <c r="A27" s="294">
        <v>4</v>
      </c>
      <c r="B27" s="295" t="s">
        <v>114</v>
      </c>
      <c r="C27" s="1919">
        <v>975000</v>
      </c>
      <c r="D27" s="1919">
        <f>+C27*0.66</f>
        <v>643500</v>
      </c>
      <c r="E27" s="1919">
        <v>1</v>
      </c>
      <c r="F27" s="1919">
        <f>E27*D27</f>
        <v>643500</v>
      </c>
      <c r="G27" s="889"/>
      <c r="H27" s="889"/>
      <c r="I27" s="1919"/>
      <c r="J27" s="889"/>
      <c r="K27" s="1919"/>
      <c r="L27" s="124"/>
      <c r="M27" s="1919"/>
      <c r="N27" s="889"/>
      <c r="O27" s="889"/>
      <c r="P27" s="1919"/>
      <c r="Q27" s="889"/>
      <c r="R27" s="1919"/>
      <c r="S27" s="1919"/>
      <c r="T27" s="1919">
        <f>W27-L27</f>
        <v>643500</v>
      </c>
      <c r="U27" s="1919">
        <f t="shared" si="0"/>
        <v>643500</v>
      </c>
      <c r="V27" s="1919">
        <v>1</v>
      </c>
      <c r="W27" s="1919">
        <f>U27*V27</f>
        <v>643500</v>
      </c>
      <c r="X27" s="1919">
        <f>I27-J27+K27</f>
        <v>0</v>
      </c>
      <c r="Y27" s="889"/>
      <c r="Z27" s="1919"/>
      <c r="AA27" s="1919"/>
      <c r="AB27" s="1919">
        <f t="shared" si="1"/>
        <v>643500</v>
      </c>
      <c r="AC27" s="212"/>
      <c r="AD27" s="212"/>
      <c r="AE27" s="212"/>
      <c r="AF27" s="212"/>
      <c r="AG27" s="212"/>
      <c r="AH27" s="212"/>
      <c r="AI27" s="1"/>
      <c r="AJ27" s="1"/>
      <c r="AK27" s="1"/>
      <c r="AL27" s="1"/>
      <c r="AM27" s="1"/>
    </row>
    <row r="28" spans="1:39">
      <c r="A28" s="294"/>
      <c r="B28" s="295"/>
      <c r="C28" s="1919"/>
      <c r="D28" s="1919"/>
      <c r="E28" s="1919"/>
      <c r="F28" s="1919"/>
      <c r="G28" s="889"/>
      <c r="H28" s="889"/>
      <c r="I28" s="889"/>
      <c r="J28" s="889"/>
      <c r="K28" s="1919"/>
      <c r="L28" s="124"/>
      <c r="M28" s="889"/>
      <c r="N28" s="889"/>
      <c r="O28" s="889"/>
      <c r="P28" s="1919"/>
      <c r="Q28" s="889"/>
      <c r="R28" s="1919"/>
      <c r="S28" s="1919"/>
      <c r="T28" s="2257">
        <f t="shared" si="2"/>
        <v>0</v>
      </c>
      <c r="U28" s="1919">
        <f t="shared" si="0"/>
        <v>0</v>
      </c>
      <c r="V28" s="1919"/>
      <c r="W28" s="1919"/>
      <c r="X28" s="1919"/>
      <c r="Y28" s="889"/>
      <c r="Z28" s="1919"/>
      <c r="AA28" s="1919"/>
      <c r="AB28" s="1919">
        <f t="shared" si="1"/>
        <v>0</v>
      </c>
      <c r="AC28" s="212"/>
      <c r="AD28" s="212"/>
      <c r="AE28" s="212"/>
      <c r="AF28" s="212"/>
      <c r="AG28" s="212"/>
      <c r="AH28" s="212"/>
      <c r="AI28" s="1"/>
      <c r="AJ28" s="1"/>
      <c r="AK28" s="1"/>
      <c r="AL28" s="1"/>
      <c r="AM28" s="1"/>
    </row>
    <row r="29" spans="1:39">
      <c r="A29" s="294"/>
      <c r="B29" s="295"/>
      <c r="C29" s="1919"/>
      <c r="D29" s="1919"/>
      <c r="E29" s="1919"/>
      <c r="F29" s="1919"/>
      <c r="G29" s="889"/>
      <c r="H29" s="889"/>
      <c r="I29" s="889"/>
      <c r="J29" s="889"/>
      <c r="K29" s="1919"/>
      <c r="L29" s="124"/>
      <c r="M29" s="889"/>
      <c r="N29" s="889"/>
      <c r="O29" s="889"/>
      <c r="P29" s="1919"/>
      <c r="Q29" s="889"/>
      <c r="R29" s="1919"/>
      <c r="S29" s="1919"/>
      <c r="T29" s="2257">
        <f t="shared" si="2"/>
        <v>0</v>
      </c>
      <c r="U29" s="1919"/>
      <c r="V29" s="1919"/>
      <c r="W29" s="1919"/>
      <c r="X29" s="1919"/>
      <c r="Y29" s="889"/>
      <c r="Z29" s="1919"/>
      <c r="AA29" s="1919"/>
      <c r="AB29" s="1919"/>
      <c r="AC29" s="212"/>
      <c r="AD29" s="212"/>
      <c r="AE29" s="212"/>
      <c r="AF29" s="212"/>
      <c r="AG29" s="212"/>
      <c r="AH29" s="212"/>
      <c r="AI29" s="1"/>
      <c r="AJ29" s="1"/>
      <c r="AK29" s="1"/>
      <c r="AL29" s="1"/>
      <c r="AM29" s="1"/>
    </row>
    <row r="30" spans="1:39">
      <c r="A30" s="294"/>
      <c r="B30" s="295"/>
      <c r="C30" s="1919"/>
      <c r="D30" s="1919"/>
      <c r="E30" s="1919"/>
      <c r="F30" s="1919"/>
      <c r="G30" s="889"/>
      <c r="H30" s="889"/>
      <c r="I30" s="889"/>
      <c r="J30" s="889"/>
      <c r="K30" s="1919"/>
      <c r="L30" s="124"/>
      <c r="M30" s="889"/>
      <c r="N30" s="889"/>
      <c r="O30" s="889"/>
      <c r="P30" s="1919"/>
      <c r="Q30" s="889"/>
      <c r="R30" s="1919"/>
      <c r="S30" s="1919"/>
      <c r="T30" s="2257">
        <f t="shared" si="2"/>
        <v>0</v>
      </c>
      <c r="U30" s="1919"/>
      <c r="V30" s="1919"/>
      <c r="W30" s="1919"/>
      <c r="X30" s="1919"/>
      <c r="Y30" s="889"/>
      <c r="Z30" s="1919"/>
      <c r="AA30" s="1919"/>
      <c r="AB30" s="1919"/>
      <c r="AC30" s="212"/>
      <c r="AD30" s="212"/>
      <c r="AE30" s="212"/>
      <c r="AF30" s="212"/>
      <c r="AG30" s="212"/>
      <c r="AH30" s="212"/>
      <c r="AI30" s="1"/>
      <c r="AJ30" s="1"/>
      <c r="AK30" s="1"/>
      <c r="AL30" s="1"/>
      <c r="AM30" s="1"/>
    </row>
    <row r="31" spans="1:39">
      <c r="A31" s="294"/>
      <c r="B31" s="295"/>
      <c r="C31" s="1919"/>
      <c r="D31" s="1919"/>
      <c r="E31" s="1919"/>
      <c r="F31" s="1919"/>
      <c r="G31" s="889"/>
      <c r="H31" s="889"/>
      <c r="I31" s="889"/>
      <c r="J31" s="889"/>
      <c r="K31" s="1919"/>
      <c r="L31" s="124"/>
      <c r="M31" s="889"/>
      <c r="N31" s="889"/>
      <c r="O31" s="889"/>
      <c r="P31" s="1919"/>
      <c r="Q31" s="889"/>
      <c r="R31" s="1919"/>
      <c r="S31" s="1919"/>
      <c r="T31" s="2257">
        <f t="shared" si="2"/>
        <v>0</v>
      </c>
      <c r="U31" s="1919"/>
      <c r="V31" s="1919"/>
      <c r="W31" s="1919"/>
      <c r="X31" s="1919"/>
      <c r="Y31" s="889"/>
      <c r="Z31" s="1919"/>
      <c r="AA31" s="1919"/>
      <c r="AB31" s="1919"/>
      <c r="AC31" s="212"/>
      <c r="AD31" s="212"/>
      <c r="AE31" s="212"/>
      <c r="AF31" s="212"/>
      <c r="AG31" s="212"/>
      <c r="AH31" s="212"/>
      <c r="AI31" s="1"/>
      <c r="AJ31" s="1"/>
      <c r="AK31" s="1"/>
      <c r="AL31" s="1"/>
      <c r="AM31" s="1"/>
    </row>
    <row r="32" spans="1:39">
      <c r="A32" s="294"/>
      <c r="B32" s="295"/>
      <c r="C32" s="1919"/>
      <c r="D32" s="1919"/>
      <c r="E32" s="1919"/>
      <c r="F32" s="1919"/>
      <c r="G32" s="889"/>
      <c r="H32" s="889"/>
      <c r="I32" s="889"/>
      <c r="J32" s="889"/>
      <c r="K32" s="1919"/>
      <c r="L32" s="124"/>
      <c r="M32" s="889"/>
      <c r="N32" s="889"/>
      <c r="O32" s="889"/>
      <c r="P32" s="1919"/>
      <c r="Q32" s="889"/>
      <c r="R32" s="1919"/>
      <c r="S32" s="1919"/>
      <c r="T32" s="2257">
        <f t="shared" si="2"/>
        <v>0</v>
      </c>
      <c r="U32" s="1919"/>
      <c r="V32" s="1919"/>
      <c r="W32" s="1919"/>
      <c r="X32" s="1919"/>
      <c r="Y32" s="889"/>
      <c r="Z32" s="1919"/>
      <c r="AA32" s="1919"/>
      <c r="AB32" s="1919"/>
      <c r="AC32" s="212"/>
      <c r="AD32" s="212"/>
      <c r="AE32" s="212"/>
      <c r="AF32" s="212"/>
      <c r="AG32" s="212"/>
      <c r="AH32" s="212"/>
      <c r="AI32" s="1"/>
      <c r="AJ32" s="1"/>
      <c r="AK32" s="1"/>
      <c r="AL32" s="1"/>
      <c r="AM32" s="1"/>
    </row>
    <row r="33" spans="1:39">
      <c r="A33" s="294"/>
      <c r="B33" s="295"/>
      <c r="C33" s="1919"/>
      <c r="D33" s="1919"/>
      <c r="E33" s="1919"/>
      <c r="F33" s="1919"/>
      <c r="G33" s="889"/>
      <c r="H33" s="889"/>
      <c r="I33" s="889"/>
      <c r="J33" s="889"/>
      <c r="K33" s="1919"/>
      <c r="L33" s="124"/>
      <c r="M33" s="889"/>
      <c r="N33" s="889"/>
      <c r="O33" s="889"/>
      <c r="P33" s="1919"/>
      <c r="Q33" s="889"/>
      <c r="R33" s="1919"/>
      <c r="S33" s="1919"/>
      <c r="T33" s="2257">
        <f t="shared" si="2"/>
        <v>0</v>
      </c>
      <c r="U33" s="1919"/>
      <c r="V33" s="1919"/>
      <c r="W33" s="1919"/>
      <c r="X33" s="1919"/>
      <c r="Y33" s="889"/>
      <c r="Z33" s="1919"/>
      <c r="AA33" s="1919"/>
      <c r="AB33" s="1919"/>
      <c r="AC33" s="212"/>
      <c r="AD33" s="212"/>
      <c r="AE33" s="212"/>
      <c r="AF33" s="212"/>
      <c r="AG33" s="212"/>
      <c r="AH33" s="212"/>
      <c r="AI33" s="1"/>
      <c r="AJ33" s="1"/>
      <c r="AK33" s="1"/>
      <c r="AL33" s="1"/>
      <c r="AM33" s="1"/>
    </row>
    <row r="34" spans="1:39">
      <c r="A34" s="294"/>
      <c r="B34" s="295"/>
      <c r="C34" s="1919"/>
      <c r="D34" s="1919"/>
      <c r="E34" s="1919"/>
      <c r="F34" s="1919"/>
      <c r="G34" s="889"/>
      <c r="H34" s="889"/>
      <c r="I34" s="889"/>
      <c r="J34" s="889"/>
      <c r="K34" s="1919"/>
      <c r="L34" s="124"/>
      <c r="M34" s="889"/>
      <c r="N34" s="889"/>
      <c r="O34" s="889"/>
      <c r="P34" s="1919"/>
      <c r="Q34" s="889"/>
      <c r="R34" s="1919"/>
      <c r="S34" s="1919"/>
      <c r="T34" s="2257">
        <f t="shared" si="2"/>
        <v>0</v>
      </c>
      <c r="U34" s="1919"/>
      <c r="V34" s="1919"/>
      <c r="W34" s="1919"/>
      <c r="X34" s="1919"/>
      <c r="Y34" s="889"/>
      <c r="Z34" s="1919"/>
      <c r="AA34" s="1919"/>
      <c r="AB34" s="1919"/>
      <c r="AC34" s="212"/>
      <c r="AD34" s="212"/>
      <c r="AE34" s="212"/>
      <c r="AF34" s="212"/>
      <c r="AG34" s="212"/>
      <c r="AH34" s="212"/>
      <c r="AI34" s="1"/>
      <c r="AJ34" s="1"/>
      <c r="AK34" s="1"/>
      <c r="AL34" s="1"/>
      <c r="AM34" s="1"/>
    </row>
    <row r="35" spans="1:39">
      <c r="A35" s="294"/>
      <c r="B35" s="295"/>
      <c r="C35" s="1919"/>
      <c r="D35" s="1919"/>
      <c r="E35" s="1919"/>
      <c r="F35" s="1919"/>
      <c r="G35" s="889"/>
      <c r="H35" s="889"/>
      <c r="I35" s="889"/>
      <c r="J35" s="889"/>
      <c r="K35" s="1919"/>
      <c r="L35" s="124"/>
      <c r="M35" s="889"/>
      <c r="N35" s="889"/>
      <c r="O35" s="889"/>
      <c r="P35" s="1919"/>
      <c r="Q35" s="889"/>
      <c r="R35" s="1919"/>
      <c r="S35" s="1919"/>
      <c r="T35" s="2257">
        <f t="shared" si="2"/>
        <v>0</v>
      </c>
      <c r="U35" s="1919"/>
      <c r="V35" s="1919"/>
      <c r="W35" s="1919"/>
      <c r="X35" s="1919"/>
      <c r="Y35" s="889"/>
      <c r="Z35" s="1919"/>
      <c r="AA35" s="1919"/>
      <c r="AB35" s="1919"/>
      <c r="AC35" s="212"/>
      <c r="AD35" s="212"/>
      <c r="AE35" s="212"/>
      <c r="AF35" s="212"/>
      <c r="AG35" s="212"/>
      <c r="AH35" s="212"/>
      <c r="AI35" s="1"/>
      <c r="AJ35" s="1"/>
      <c r="AK35" s="1"/>
      <c r="AL35" s="1"/>
      <c r="AM35" s="1"/>
    </row>
    <row r="36" spans="1:39">
      <c r="A36" s="294"/>
      <c r="B36" s="295"/>
      <c r="C36" s="1919"/>
      <c r="D36" s="1919"/>
      <c r="E36" s="1919"/>
      <c r="F36" s="1919"/>
      <c r="G36" s="889"/>
      <c r="H36" s="889"/>
      <c r="I36" s="889"/>
      <c r="J36" s="889"/>
      <c r="K36" s="1919"/>
      <c r="L36" s="2258"/>
      <c r="M36" s="889"/>
      <c r="N36" s="889"/>
      <c r="O36" s="889"/>
      <c r="P36" s="1919"/>
      <c r="Q36" s="889"/>
      <c r="R36" s="1919"/>
      <c r="S36" s="1919"/>
      <c r="T36" s="2257">
        <f t="shared" si="2"/>
        <v>0</v>
      </c>
      <c r="U36" s="1919"/>
      <c r="V36" s="1919"/>
      <c r="W36" s="1919"/>
      <c r="X36" s="1919"/>
      <c r="Y36" s="889"/>
      <c r="Z36" s="1919"/>
      <c r="AA36" s="1919"/>
      <c r="AB36" s="1919"/>
      <c r="AC36" s="212"/>
      <c r="AD36" s="212"/>
      <c r="AE36" s="212"/>
      <c r="AF36" s="212"/>
      <c r="AG36" s="212"/>
      <c r="AH36" s="212"/>
      <c r="AI36" s="1"/>
      <c r="AJ36" s="1"/>
      <c r="AK36" s="1"/>
      <c r="AL36" s="1"/>
      <c r="AM36" s="1"/>
    </row>
    <row r="37" spans="1:39">
      <c r="A37" s="294"/>
      <c r="B37" s="295"/>
      <c r="C37" s="1919"/>
      <c r="D37" s="1919"/>
      <c r="E37" s="1919"/>
      <c r="F37" s="1919"/>
      <c r="G37" s="889"/>
      <c r="H37" s="889"/>
      <c r="I37" s="889"/>
      <c r="J37" s="889"/>
      <c r="K37" s="1919"/>
      <c r="L37" s="2258"/>
      <c r="M37" s="889"/>
      <c r="N37" s="889"/>
      <c r="O37" s="889"/>
      <c r="P37" s="1919"/>
      <c r="Q37" s="889"/>
      <c r="R37" s="1919"/>
      <c r="S37" s="1919"/>
      <c r="T37" s="2257">
        <f t="shared" si="2"/>
        <v>0</v>
      </c>
      <c r="U37" s="1919"/>
      <c r="V37" s="1919"/>
      <c r="W37" s="1919"/>
      <c r="X37" s="1919"/>
      <c r="Y37" s="889"/>
      <c r="Z37" s="1919"/>
      <c r="AA37" s="1919"/>
      <c r="AB37" s="1919"/>
      <c r="AC37" s="212"/>
      <c r="AD37" s="212"/>
      <c r="AE37" s="212"/>
      <c r="AF37" s="212"/>
      <c r="AG37" s="212"/>
      <c r="AH37" s="212"/>
      <c r="AI37" s="1"/>
      <c r="AJ37" s="1"/>
      <c r="AK37" s="1"/>
      <c r="AL37" s="1"/>
      <c r="AM37" s="1"/>
    </row>
    <row r="38" spans="1:39">
      <c r="A38" s="294"/>
      <c r="B38" s="295"/>
      <c r="C38" s="1919"/>
      <c r="D38" s="1919"/>
      <c r="E38" s="1919"/>
      <c r="F38" s="1919"/>
      <c r="G38" s="889"/>
      <c r="H38" s="889"/>
      <c r="I38" s="889"/>
      <c r="J38" s="889"/>
      <c r="K38" s="1919"/>
      <c r="L38" s="2258"/>
      <c r="M38" s="889"/>
      <c r="N38" s="889"/>
      <c r="O38" s="889"/>
      <c r="P38" s="1919"/>
      <c r="Q38" s="889"/>
      <c r="R38" s="1919"/>
      <c r="S38" s="1919"/>
      <c r="T38" s="2257">
        <f t="shared" si="2"/>
        <v>0</v>
      </c>
      <c r="U38" s="1919"/>
      <c r="V38" s="1919"/>
      <c r="W38" s="1919"/>
      <c r="X38" s="1919"/>
      <c r="Y38" s="889"/>
      <c r="Z38" s="1919"/>
      <c r="AA38" s="1919"/>
      <c r="AB38" s="1919"/>
      <c r="AC38" s="212"/>
      <c r="AD38" s="212"/>
      <c r="AE38" s="212"/>
      <c r="AF38" s="212"/>
      <c r="AG38" s="212"/>
      <c r="AH38" s="212"/>
      <c r="AI38" s="1"/>
      <c r="AJ38" s="1"/>
      <c r="AK38" s="1"/>
      <c r="AL38" s="1"/>
      <c r="AM38" s="1"/>
    </row>
    <row r="39" spans="1:39">
      <c r="A39" s="294"/>
      <c r="B39" s="295"/>
      <c r="C39" s="1919"/>
      <c r="D39" s="1919"/>
      <c r="E39" s="1919"/>
      <c r="F39" s="1919"/>
      <c r="G39" s="889"/>
      <c r="H39" s="889"/>
      <c r="I39" s="889"/>
      <c r="J39" s="889"/>
      <c r="K39" s="1919"/>
      <c r="L39" s="2258"/>
      <c r="M39" s="889"/>
      <c r="N39" s="889"/>
      <c r="O39" s="889"/>
      <c r="P39" s="1919"/>
      <c r="Q39" s="889"/>
      <c r="R39" s="1919"/>
      <c r="S39" s="1919"/>
      <c r="T39" s="2257">
        <f t="shared" si="2"/>
        <v>0</v>
      </c>
      <c r="U39" s="1919"/>
      <c r="V39" s="1919"/>
      <c r="W39" s="1919"/>
      <c r="X39" s="1919"/>
      <c r="Y39" s="889"/>
      <c r="Z39" s="1919"/>
      <c r="AA39" s="1919"/>
      <c r="AB39" s="1919"/>
      <c r="AC39" s="212"/>
      <c r="AD39" s="212"/>
      <c r="AE39" s="212"/>
      <c r="AF39" s="212"/>
      <c r="AG39" s="212"/>
      <c r="AH39" s="212"/>
      <c r="AI39" s="1"/>
      <c r="AJ39" s="1"/>
      <c r="AK39" s="1"/>
      <c r="AL39" s="1"/>
      <c r="AM39" s="1"/>
    </row>
    <row r="40" spans="1:39">
      <c r="A40" s="294"/>
      <c r="B40" s="295"/>
      <c r="C40" s="1919"/>
      <c r="D40" s="1919"/>
      <c r="E40" s="1919"/>
      <c r="F40" s="1919"/>
      <c r="G40" s="889"/>
      <c r="H40" s="889"/>
      <c r="I40" s="889"/>
      <c r="J40" s="889"/>
      <c r="K40" s="1919"/>
      <c r="L40" s="2258"/>
      <c r="M40" s="889"/>
      <c r="N40" s="889"/>
      <c r="O40" s="889"/>
      <c r="P40" s="1919"/>
      <c r="Q40" s="889"/>
      <c r="R40" s="1919"/>
      <c r="S40" s="1919"/>
      <c r="T40" s="2257">
        <f t="shared" si="2"/>
        <v>0</v>
      </c>
      <c r="U40" s="1919"/>
      <c r="V40" s="1919"/>
      <c r="W40" s="1919"/>
      <c r="X40" s="1919"/>
      <c r="Y40" s="889"/>
      <c r="Z40" s="1919"/>
      <c r="AA40" s="1919"/>
      <c r="AB40" s="1919"/>
      <c r="AC40" s="212"/>
      <c r="AD40" s="212"/>
      <c r="AE40" s="212"/>
      <c r="AF40" s="212"/>
      <c r="AG40" s="212"/>
      <c r="AH40" s="212"/>
      <c r="AI40" s="1"/>
      <c r="AJ40" s="1"/>
      <c r="AK40" s="1"/>
      <c r="AL40" s="1"/>
      <c r="AM40" s="1"/>
    </row>
    <row r="41" spans="1:39">
      <c r="A41" s="294"/>
      <c r="B41" s="295"/>
      <c r="C41" s="1919"/>
      <c r="D41" s="1919"/>
      <c r="E41" s="1919"/>
      <c r="F41" s="1919"/>
      <c r="G41" s="889"/>
      <c r="H41" s="889"/>
      <c r="I41" s="889"/>
      <c r="J41" s="889"/>
      <c r="K41" s="1919"/>
      <c r="L41" s="2258"/>
      <c r="M41" s="889"/>
      <c r="N41" s="889"/>
      <c r="O41" s="889"/>
      <c r="P41" s="1919"/>
      <c r="Q41" s="889"/>
      <c r="R41" s="1919"/>
      <c r="S41" s="1919"/>
      <c r="T41" s="2257">
        <f t="shared" si="2"/>
        <v>0</v>
      </c>
      <c r="U41" s="1919"/>
      <c r="V41" s="1919"/>
      <c r="W41" s="1919"/>
      <c r="X41" s="1919"/>
      <c r="Y41" s="889"/>
      <c r="Z41" s="1919"/>
      <c r="AA41" s="1919"/>
      <c r="AB41" s="1919"/>
      <c r="AC41" s="212"/>
      <c r="AD41" s="212"/>
      <c r="AE41" s="212"/>
      <c r="AF41" s="212"/>
      <c r="AG41" s="212"/>
      <c r="AH41" s="212"/>
      <c r="AI41" s="1"/>
      <c r="AJ41" s="1"/>
      <c r="AK41" s="1"/>
      <c r="AL41" s="1"/>
      <c r="AM41" s="1"/>
    </row>
    <row r="42" spans="1:39">
      <c r="A42" s="294"/>
      <c r="B42" s="295"/>
      <c r="C42" s="1919"/>
      <c r="D42" s="1919"/>
      <c r="E42" s="1919"/>
      <c r="F42" s="1919"/>
      <c r="G42" s="889"/>
      <c r="H42" s="889"/>
      <c r="I42" s="889"/>
      <c r="J42" s="889"/>
      <c r="K42" s="1919"/>
      <c r="L42" s="2258"/>
      <c r="M42" s="889"/>
      <c r="N42" s="889"/>
      <c r="O42" s="889"/>
      <c r="P42" s="1919"/>
      <c r="Q42" s="889"/>
      <c r="R42" s="1919"/>
      <c r="S42" s="1919"/>
      <c r="T42" s="2257">
        <f t="shared" si="2"/>
        <v>0</v>
      </c>
      <c r="U42" s="1919"/>
      <c r="V42" s="1919"/>
      <c r="W42" s="1919"/>
      <c r="X42" s="1919"/>
      <c r="Y42" s="889"/>
      <c r="Z42" s="1919"/>
      <c r="AA42" s="1919"/>
      <c r="AB42" s="1919"/>
      <c r="AC42" s="212"/>
      <c r="AD42" s="212"/>
      <c r="AE42" s="212"/>
      <c r="AF42" s="212"/>
      <c r="AG42" s="212"/>
      <c r="AH42" s="212"/>
      <c r="AI42" s="1"/>
      <c r="AJ42" s="1"/>
      <c r="AK42" s="1"/>
      <c r="AL42" s="1"/>
      <c r="AM42" s="1"/>
    </row>
    <row r="43" spans="1:39">
      <c r="A43" s="294"/>
      <c r="B43" s="295"/>
      <c r="C43" s="1919"/>
      <c r="D43" s="1919"/>
      <c r="E43" s="1919"/>
      <c r="F43" s="1919"/>
      <c r="G43" s="889"/>
      <c r="H43" s="889"/>
      <c r="I43" s="889"/>
      <c r="J43" s="889"/>
      <c r="K43" s="1919"/>
      <c r="L43" s="2258"/>
      <c r="M43" s="889"/>
      <c r="N43" s="889"/>
      <c r="O43" s="889"/>
      <c r="P43" s="1919"/>
      <c r="Q43" s="889"/>
      <c r="R43" s="1919"/>
      <c r="S43" s="1919"/>
      <c r="T43" s="2257">
        <f t="shared" si="2"/>
        <v>0</v>
      </c>
      <c r="U43" s="1919"/>
      <c r="V43" s="1919"/>
      <c r="W43" s="1919"/>
      <c r="X43" s="1919"/>
      <c r="Y43" s="889"/>
      <c r="Z43" s="1919"/>
      <c r="AA43" s="1919"/>
      <c r="AB43" s="1919"/>
      <c r="AC43" s="212"/>
      <c r="AD43" s="212"/>
      <c r="AE43" s="212"/>
      <c r="AF43" s="212"/>
      <c r="AG43" s="212"/>
      <c r="AH43" s="212"/>
      <c r="AI43" s="1"/>
      <c r="AJ43" s="1"/>
      <c r="AK43" s="1"/>
      <c r="AL43" s="1"/>
      <c r="AM43" s="1"/>
    </row>
    <row r="44" spans="1:39">
      <c r="A44" s="294"/>
      <c r="B44" s="295"/>
      <c r="C44" s="1919"/>
      <c r="D44" s="1919"/>
      <c r="E44" s="1919"/>
      <c r="F44" s="1919"/>
      <c r="G44" s="889"/>
      <c r="H44" s="889"/>
      <c r="I44" s="889"/>
      <c r="J44" s="889"/>
      <c r="K44" s="1919"/>
      <c r="L44" s="2258"/>
      <c r="M44" s="889"/>
      <c r="N44" s="889"/>
      <c r="O44" s="889"/>
      <c r="P44" s="1919"/>
      <c r="Q44" s="889"/>
      <c r="R44" s="1919"/>
      <c r="S44" s="1919"/>
      <c r="T44" s="2257">
        <f t="shared" si="2"/>
        <v>0</v>
      </c>
      <c r="U44" s="1919"/>
      <c r="V44" s="1919"/>
      <c r="W44" s="1919"/>
      <c r="X44" s="1919"/>
      <c r="Y44" s="889"/>
      <c r="Z44" s="1919"/>
      <c r="AA44" s="1919"/>
      <c r="AB44" s="1919"/>
      <c r="AC44" s="212"/>
      <c r="AD44" s="212"/>
      <c r="AE44" s="212"/>
      <c r="AF44" s="212"/>
      <c r="AG44" s="212"/>
      <c r="AH44" s="212"/>
      <c r="AI44" s="1"/>
      <c r="AJ44" s="1"/>
      <c r="AK44" s="1"/>
      <c r="AL44" s="1"/>
      <c r="AM44" s="1"/>
    </row>
    <row r="45" spans="1:39">
      <c r="A45" s="294"/>
      <c r="B45" s="295"/>
      <c r="C45" s="1919"/>
      <c r="D45" s="1919"/>
      <c r="E45" s="1919"/>
      <c r="F45" s="1919"/>
      <c r="G45" s="889"/>
      <c r="H45" s="889"/>
      <c r="I45" s="889"/>
      <c r="J45" s="889"/>
      <c r="K45" s="1919"/>
      <c r="L45" s="2258"/>
      <c r="M45" s="889"/>
      <c r="N45" s="889"/>
      <c r="O45" s="889"/>
      <c r="P45" s="1919"/>
      <c r="Q45" s="889"/>
      <c r="R45" s="1919"/>
      <c r="S45" s="1919"/>
      <c r="T45" s="2257">
        <f t="shared" si="2"/>
        <v>0</v>
      </c>
      <c r="U45" s="1919"/>
      <c r="V45" s="1919"/>
      <c r="W45" s="1919"/>
      <c r="X45" s="1919"/>
      <c r="Y45" s="889"/>
      <c r="Z45" s="1919"/>
      <c r="AA45" s="1919"/>
      <c r="AB45" s="1919"/>
      <c r="AC45" s="212"/>
      <c r="AD45" s="212"/>
      <c r="AE45" s="212"/>
      <c r="AF45" s="212"/>
      <c r="AG45" s="212"/>
      <c r="AH45" s="212"/>
      <c r="AI45" s="1"/>
      <c r="AJ45" s="1"/>
      <c r="AK45" s="1"/>
      <c r="AL45" s="1"/>
      <c r="AM45" s="1"/>
    </row>
    <row r="46" spans="1:39" ht="12.75">
      <c r="A46" s="296"/>
      <c r="B46" s="293"/>
      <c r="C46" s="1919"/>
      <c r="D46" s="889"/>
      <c r="E46" s="889"/>
      <c r="F46" s="889"/>
      <c r="G46" s="889"/>
      <c r="H46" s="889"/>
      <c r="I46" s="889"/>
      <c r="J46" s="889"/>
      <c r="K46" s="889"/>
      <c r="L46" s="2258"/>
      <c r="M46" s="889"/>
      <c r="N46" s="889"/>
      <c r="O46" s="889"/>
      <c r="P46" s="1919"/>
      <c r="Q46" s="889"/>
      <c r="R46" s="1919"/>
      <c r="S46" s="1919"/>
      <c r="T46" s="2257"/>
      <c r="U46" s="889"/>
      <c r="V46" s="889"/>
      <c r="W46" s="889"/>
      <c r="X46" s="1919">
        <f>I46-J46+K46</f>
        <v>0</v>
      </c>
      <c r="Y46" s="889"/>
      <c r="Z46" s="1919"/>
      <c r="AA46" s="1919"/>
      <c r="AB46" s="1919"/>
      <c r="AC46" s="212"/>
      <c r="AD46" s="212"/>
      <c r="AE46" s="212"/>
      <c r="AF46" s="212"/>
      <c r="AG46" s="212"/>
      <c r="AH46" s="212"/>
      <c r="AI46" s="1"/>
      <c r="AJ46" s="1"/>
      <c r="AK46" s="1"/>
      <c r="AL46" s="1"/>
      <c r="AM46" s="1"/>
    </row>
    <row r="47" spans="1:39" ht="12.75">
      <c r="A47" s="294"/>
      <c r="B47" s="291"/>
      <c r="C47" s="1919"/>
      <c r="D47" s="1919"/>
      <c r="E47" s="1919"/>
      <c r="F47" s="1919"/>
      <c r="G47" s="889"/>
      <c r="H47" s="889"/>
      <c r="I47" s="889"/>
      <c r="J47" s="889"/>
      <c r="K47" s="889"/>
      <c r="L47" s="2258"/>
      <c r="M47" s="889"/>
      <c r="N47" s="889"/>
      <c r="O47" s="889"/>
      <c r="P47" s="1919"/>
      <c r="Q47" s="889"/>
      <c r="R47" s="1919"/>
      <c r="S47" s="1919"/>
      <c r="T47" s="2257">
        <f t="shared" ref="T47:T57" si="3">W47-X47</f>
        <v>0</v>
      </c>
      <c r="U47" s="1919"/>
      <c r="V47" s="1919"/>
      <c r="W47" s="1919"/>
      <c r="X47" s="1919"/>
      <c r="Y47" s="889"/>
      <c r="Z47" s="1919"/>
      <c r="AA47" s="1919"/>
      <c r="AB47" s="1919"/>
      <c r="AC47" s="212"/>
      <c r="AD47" s="212"/>
      <c r="AE47" s="212"/>
      <c r="AF47" s="212"/>
      <c r="AG47" s="212"/>
      <c r="AH47" s="212"/>
      <c r="AI47" s="1"/>
      <c r="AJ47" s="1"/>
      <c r="AK47" s="1"/>
      <c r="AL47" s="1"/>
      <c r="AM47" s="1"/>
    </row>
    <row r="48" spans="1:39" ht="12.75">
      <c r="A48" s="294"/>
      <c r="B48" s="293"/>
      <c r="C48" s="1919"/>
      <c r="D48" s="1919"/>
      <c r="E48" s="889"/>
      <c r="F48" s="1919"/>
      <c r="G48" s="889"/>
      <c r="H48" s="889"/>
      <c r="I48" s="889"/>
      <c r="J48" s="889"/>
      <c r="K48" s="889"/>
      <c r="L48" s="2258"/>
      <c r="M48" s="889"/>
      <c r="N48" s="889"/>
      <c r="O48" s="889"/>
      <c r="P48" s="1919"/>
      <c r="Q48" s="889"/>
      <c r="R48" s="1919"/>
      <c r="S48" s="1919"/>
      <c r="T48" s="2257">
        <f t="shared" si="3"/>
        <v>0</v>
      </c>
      <c r="U48" s="1919"/>
      <c r="V48" s="889"/>
      <c r="W48" s="1919"/>
      <c r="X48" s="889"/>
      <c r="Y48" s="889"/>
      <c r="Z48" s="1919"/>
      <c r="AA48" s="1919"/>
      <c r="AB48" s="889"/>
      <c r="AC48" s="212"/>
      <c r="AD48" s="212"/>
      <c r="AE48" s="212"/>
      <c r="AF48" s="212"/>
      <c r="AG48" s="212"/>
      <c r="AH48" s="212"/>
      <c r="AI48" s="1"/>
      <c r="AJ48" s="1"/>
      <c r="AK48" s="1"/>
      <c r="AL48" s="1"/>
      <c r="AM48" s="1"/>
    </row>
    <row r="49" spans="1:39" ht="12.75">
      <c r="A49" s="294"/>
      <c r="B49" s="293"/>
      <c r="C49" s="1919"/>
      <c r="D49" s="889"/>
      <c r="E49" s="889"/>
      <c r="F49" s="1919"/>
      <c r="G49" s="889"/>
      <c r="H49" s="889"/>
      <c r="I49" s="889"/>
      <c r="J49" s="889"/>
      <c r="K49" s="889"/>
      <c r="L49" s="2258"/>
      <c r="M49" s="889"/>
      <c r="N49" s="889"/>
      <c r="O49" s="889"/>
      <c r="P49" s="1919"/>
      <c r="Q49" s="889"/>
      <c r="R49" s="1919"/>
      <c r="S49" s="1919"/>
      <c r="T49" s="2257">
        <f t="shared" si="3"/>
        <v>0</v>
      </c>
      <c r="U49" s="889"/>
      <c r="V49" s="889"/>
      <c r="W49" s="1919"/>
      <c r="X49" s="889"/>
      <c r="Y49" s="889"/>
      <c r="Z49" s="1919"/>
      <c r="AA49" s="1919"/>
      <c r="AB49" s="889"/>
      <c r="AC49" s="212"/>
      <c r="AD49" s="212"/>
      <c r="AE49" s="212"/>
      <c r="AF49" s="212"/>
      <c r="AG49" s="212"/>
      <c r="AH49" s="212"/>
      <c r="AI49" s="1"/>
      <c r="AJ49" s="1"/>
      <c r="AK49" s="1"/>
      <c r="AL49" s="1"/>
      <c r="AM49" s="1"/>
    </row>
    <row r="50" spans="1:39" ht="12.75">
      <c r="A50" s="294"/>
      <c r="B50" s="291"/>
      <c r="C50" s="1919"/>
      <c r="D50" s="1919"/>
      <c r="E50" s="1919"/>
      <c r="F50" s="1919"/>
      <c r="G50" s="889"/>
      <c r="H50" s="889"/>
      <c r="I50" s="889"/>
      <c r="J50" s="889"/>
      <c r="K50" s="889"/>
      <c r="L50" s="2258"/>
      <c r="M50" s="889"/>
      <c r="N50" s="889"/>
      <c r="O50" s="889"/>
      <c r="P50" s="1919"/>
      <c r="Q50" s="889"/>
      <c r="R50" s="1919"/>
      <c r="S50" s="1919"/>
      <c r="T50" s="2257">
        <f t="shared" si="3"/>
        <v>0</v>
      </c>
      <c r="U50" s="1919"/>
      <c r="V50" s="1919"/>
      <c r="W50" s="1919"/>
      <c r="X50" s="889"/>
      <c r="Y50" s="889"/>
      <c r="Z50" s="1919"/>
      <c r="AA50" s="1919"/>
      <c r="AB50" s="889"/>
      <c r="AC50" s="212"/>
      <c r="AD50" s="212"/>
      <c r="AE50" s="212"/>
      <c r="AF50" s="212"/>
      <c r="AG50" s="212"/>
      <c r="AH50" s="212"/>
      <c r="AI50" s="1"/>
      <c r="AJ50" s="1"/>
      <c r="AK50" s="1"/>
      <c r="AL50" s="1"/>
      <c r="AM50" s="1"/>
    </row>
    <row r="51" spans="1:39" ht="12.75">
      <c r="A51" s="294"/>
      <c r="B51" s="291"/>
      <c r="C51" s="1919"/>
      <c r="D51" s="1919"/>
      <c r="E51" s="1919"/>
      <c r="F51" s="1919"/>
      <c r="G51" s="889"/>
      <c r="H51" s="889"/>
      <c r="I51" s="889"/>
      <c r="J51" s="889"/>
      <c r="K51" s="889"/>
      <c r="L51" s="2258"/>
      <c r="M51" s="889"/>
      <c r="N51" s="889"/>
      <c r="O51" s="889"/>
      <c r="P51" s="1919"/>
      <c r="Q51" s="889"/>
      <c r="R51" s="1919"/>
      <c r="S51" s="1919"/>
      <c r="T51" s="2257">
        <f t="shared" si="3"/>
        <v>0</v>
      </c>
      <c r="U51" s="1919"/>
      <c r="V51" s="1919"/>
      <c r="W51" s="1919"/>
      <c r="X51" s="889"/>
      <c r="Y51" s="889"/>
      <c r="Z51" s="1919"/>
      <c r="AA51" s="1919"/>
      <c r="AB51" s="889"/>
      <c r="AC51" s="212"/>
      <c r="AD51" s="212"/>
      <c r="AE51" s="212"/>
      <c r="AF51" s="212"/>
      <c r="AG51" s="212"/>
      <c r="AH51" s="212"/>
      <c r="AI51" s="1"/>
      <c r="AJ51" s="1"/>
      <c r="AK51" s="1"/>
      <c r="AL51" s="1"/>
      <c r="AM51" s="1"/>
    </row>
    <row r="52" spans="1:39" ht="12.75">
      <c r="A52" s="294"/>
      <c r="B52" s="293"/>
      <c r="C52" s="1919"/>
      <c r="D52" s="889"/>
      <c r="E52" s="889"/>
      <c r="F52" s="1919"/>
      <c r="G52" s="889"/>
      <c r="H52" s="889"/>
      <c r="I52" s="889"/>
      <c r="J52" s="889"/>
      <c r="K52" s="889"/>
      <c r="L52" s="2258"/>
      <c r="M52" s="889"/>
      <c r="N52" s="889"/>
      <c r="O52" s="889"/>
      <c r="P52" s="1919"/>
      <c r="Q52" s="889"/>
      <c r="R52" s="1919"/>
      <c r="S52" s="1919"/>
      <c r="T52" s="2257">
        <f t="shared" si="3"/>
        <v>0</v>
      </c>
      <c r="U52" s="889"/>
      <c r="V52" s="889"/>
      <c r="W52" s="1919"/>
      <c r="X52" s="889"/>
      <c r="Y52" s="889"/>
      <c r="Z52" s="1919"/>
      <c r="AA52" s="1919"/>
      <c r="AB52" s="889"/>
      <c r="AC52" s="212"/>
      <c r="AD52" s="212"/>
      <c r="AE52" s="212"/>
      <c r="AF52" s="212"/>
      <c r="AG52" s="212"/>
      <c r="AH52" s="212"/>
      <c r="AI52" s="1"/>
      <c r="AJ52" s="1"/>
      <c r="AK52" s="1"/>
      <c r="AL52" s="1"/>
      <c r="AM52" s="1"/>
    </row>
    <row r="53" spans="1:39" ht="12.75">
      <c r="A53" s="295"/>
      <c r="B53" s="293"/>
      <c r="C53" s="889"/>
      <c r="D53" s="889"/>
      <c r="E53" s="889"/>
      <c r="F53" s="1919"/>
      <c r="G53" s="889"/>
      <c r="H53" s="889"/>
      <c r="I53" s="889"/>
      <c r="J53" s="889"/>
      <c r="K53" s="889"/>
      <c r="L53" s="2258"/>
      <c r="M53" s="889"/>
      <c r="N53" s="889"/>
      <c r="O53" s="889"/>
      <c r="P53" s="1919"/>
      <c r="Q53" s="889"/>
      <c r="R53" s="1919"/>
      <c r="S53" s="1919"/>
      <c r="T53" s="2257">
        <f t="shared" si="3"/>
        <v>0</v>
      </c>
      <c r="U53" s="889"/>
      <c r="V53" s="889"/>
      <c r="W53" s="1919"/>
      <c r="X53" s="889"/>
      <c r="Y53" s="889"/>
      <c r="Z53" s="1919"/>
      <c r="AA53" s="1919"/>
      <c r="AB53" s="889"/>
      <c r="AC53" s="212"/>
      <c r="AD53" s="212"/>
      <c r="AE53" s="212"/>
      <c r="AF53" s="212"/>
      <c r="AG53" s="212"/>
      <c r="AH53" s="212"/>
      <c r="AI53" s="1"/>
      <c r="AJ53" s="1"/>
      <c r="AK53" s="1"/>
      <c r="AL53" s="1"/>
      <c r="AM53" s="1"/>
    </row>
    <row r="54" spans="1:39" ht="12.75">
      <c r="A54" s="290"/>
      <c r="B54" s="297"/>
      <c r="C54" s="889"/>
      <c r="D54" s="889"/>
      <c r="E54" s="889"/>
      <c r="F54" s="1919"/>
      <c r="G54" s="889"/>
      <c r="H54" s="889"/>
      <c r="I54" s="889"/>
      <c r="J54" s="889"/>
      <c r="K54" s="889"/>
      <c r="L54" s="2258"/>
      <c r="M54" s="889"/>
      <c r="N54" s="889"/>
      <c r="O54" s="889"/>
      <c r="P54" s="1919"/>
      <c r="Q54" s="889"/>
      <c r="R54" s="890"/>
      <c r="S54" s="1919"/>
      <c r="T54" s="2257">
        <f t="shared" si="3"/>
        <v>0</v>
      </c>
      <c r="U54" s="889"/>
      <c r="V54" s="889"/>
      <c r="W54" s="1919"/>
      <c r="X54" s="889"/>
      <c r="Y54" s="889"/>
      <c r="Z54" s="1919"/>
      <c r="AA54" s="890"/>
      <c r="AB54" s="889"/>
      <c r="AC54" s="212"/>
      <c r="AD54" s="212"/>
      <c r="AE54" s="212"/>
      <c r="AF54" s="212"/>
      <c r="AG54" s="212"/>
      <c r="AH54" s="212"/>
      <c r="AI54" s="1"/>
      <c r="AJ54" s="1"/>
      <c r="AK54" s="1"/>
      <c r="AL54" s="1"/>
      <c r="AM54" s="1"/>
    </row>
    <row r="55" spans="1:39" ht="12.75">
      <c r="A55" s="292"/>
      <c r="B55" s="293"/>
      <c r="C55" s="889"/>
      <c r="D55" s="889"/>
      <c r="E55" s="889"/>
      <c r="F55" s="1919"/>
      <c r="G55" s="889"/>
      <c r="H55" s="889"/>
      <c r="I55" s="889"/>
      <c r="J55" s="889"/>
      <c r="K55" s="889"/>
      <c r="L55" s="2258"/>
      <c r="M55" s="889"/>
      <c r="N55" s="889"/>
      <c r="O55" s="889"/>
      <c r="P55" s="1919"/>
      <c r="Q55" s="889"/>
      <c r="R55" s="890"/>
      <c r="S55" s="890"/>
      <c r="T55" s="2257">
        <f t="shared" si="3"/>
        <v>0</v>
      </c>
      <c r="U55" s="889"/>
      <c r="V55" s="889"/>
      <c r="W55" s="1919"/>
      <c r="X55" s="889"/>
      <c r="Y55" s="889"/>
      <c r="Z55" s="1919"/>
      <c r="AA55" s="890"/>
      <c r="AB55" s="889"/>
      <c r="AC55" s="212"/>
      <c r="AD55" s="212"/>
      <c r="AE55" s="212"/>
      <c r="AF55" s="212"/>
      <c r="AG55" s="212"/>
      <c r="AH55" s="212"/>
      <c r="AI55" s="1"/>
      <c r="AJ55" s="1"/>
      <c r="AK55" s="1"/>
      <c r="AL55" s="1"/>
      <c r="AM55" s="1"/>
    </row>
    <row r="56" spans="1:39" ht="12.75">
      <c r="A56" s="292"/>
      <c r="B56" s="293"/>
      <c r="C56" s="889"/>
      <c r="D56" s="889"/>
      <c r="E56" s="889"/>
      <c r="F56" s="889"/>
      <c r="G56" s="889"/>
      <c r="H56" s="889"/>
      <c r="I56" s="889"/>
      <c r="J56" s="889"/>
      <c r="K56" s="889"/>
      <c r="L56" s="2258"/>
      <c r="M56" s="889"/>
      <c r="N56" s="889"/>
      <c r="O56" s="889"/>
      <c r="P56" s="1919"/>
      <c r="Q56" s="889"/>
      <c r="R56" s="890"/>
      <c r="S56" s="890"/>
      <c r="T56" s="2257">
        <f t="shared" si="3"/>
        <v>0</v>
      </c>
      <c r="U56" s="889"/>
      <c r="V56" s="889"/>
      <c r="W56" s="889"/>
      <c r="X56" s="889"/>
      <c r="Y56" s="889"/>
      <c r="Z56" s="1919"/>
      <c r="AA56" s="890"/>
      <c r="AB56" s="889"/>
      <c r="AC56" s="212"/>
      <c r="AD56" s="212"/>
      <c r="AE56" s="212"/>
      <c r="AF56" s="212"/>
      <c r="AG56" s="212"/>
      <c r="AH56" s="212"/>
      <c r="AI56" s="1"/>
      <c r="AJ56" s="1"/>
      <c r="AK56" s="1"/>
      <c r="AL56" s="1"/>
      <c r="AM56" s="1"/>
    </row>
    <row r="57" spans="1:39" ht="12.75">
      <c r="A57" s="292"/>
      <c r="B57" s="293"/>
      <c r="C57" s="889"/>
      <c r="D57" s="889"/>
      <c r="E57" s="889"/>
      <c r="F57" s="889"/>
      <c r="G57" s="889"/>
      <c r="H57" s="889"/>
      <c r="I57" s="889"/>
      <c r="J57" s="889"/>
      <c r="K57" s="889"/>
      <c r="L57" s="2258"/>
      <c r="M57" s="889"/>
      <c r="N57" s="889"/>
      <c r="O57" s="889"/>
      <c r="P57" s="1919"/>
      <c r="Q57" s="889"/>
      <c r="R57" s="890"/>
      <c r="S57" s="890"/>
      <c r="T57" s="2257">
        <f t="shared" si="3"/>
        <v>0</v>
      </c>
      <c r="U57" s="889"/>
      <c r="V57" s="889"/>
      <c r="W57" s="889"/>
      <c r="X57" s="889"/>
      <c r="Y57" s="889"/>
      <c r="Z57" s="1919"/>
      <c r="AA57" s="890"/>
      <c r="AB57" s="889"/>
      <c r="AC57" s="212"/>
      <c r="AD57" s="212"/>
      <c r="AE57" s="212"/>
      <c r="AF57" s="212"/>
      <c r="AG57" s="212"/>
      <c r="AH57" s="212"/>
      <c r="AI57" s="1"/>
      <c r="AJ57" s="1"/>
      <c r="AK57" s="1"/>
      <c r="AL57" s="1"/>
      <c r="AM57" s="1"/>
    </row>
    <row r="58" spans="1:39" ht="12.75">
      <c r="A58" s="298"/>
      <c r="B58" s="299" t="s">
        <v>17</v>
      </c>
      <c r="C58" s="912">
        <f>SUM(C15:C57)</f>
        <v>5486400</v>
      </c>
      <c r="D58" s="912"/>
      <c r="E58" s="912"/>
      <c r="F58" s="912">
        <f t="shared" ref="F58:N58" si="4">SUM(F15:F57)</f>
        <v>3621024</v>
      </c>
      <c r="G58" s="912">
        <f t="shared" si="4"/>
        <v>468283</v>
      </c>
      <c r="H58" s="912">
        <f t="shared" si="4"/>
        <v>0</v>
      </c>
      <c r="I58" s="912">
        <f t="shared" si="4"/>
        <v>2286504</v>
      </c>
      <c r="J58" s="912">
        <f t="shared" si="4"/>
        <v>0</v>
      </c>
      <c r="K58" s="912">
        <f t="shared" si="4"/>
        <v>0</v>
      </c>
      <c r="L58" s="912">
        <f t="shared" si="4"/>
        <v>2286504</v>
      </c>
      <c r="M58" s="912">
        <f t="shared" si="4"/>
        <v>0</v>
      </c>
      <c r="N58" s="912">
        <f t="shared" si="4"/>
        <v>477883</v>
      </c>
      <c r="O58" s="912">
        <f>SUM(O14:O57)</f>
        <v>1</v>
      </c>
      <c r="P58" s="912">
        <f>SUM(P14:P57)</f>
        <v>201168</v>
      </c>
      <c r="Q58" s="912">
        <f>SUM(Q14:Q57)</f>
        <v>0</v>
      </c>
      <c r="R58" s="912">
        <f>SUM(R14:R57)</f>
        <v>0</v>
      </c>
      <c r="S58" s="912">
        <f>SUM(S15:S57)</f>
        <v>0</v>
      </c>
      <c r="T58" s="893">
        <f>W58-L58</f>
        <v>1334520</v>
      </c>
      <c r="U58" s="912"/>
      <c r="V58" s="912"/>
      <c r="W58" s="912">
        <f>SUM(W15:W57)</f>
        <v>3621024</v>
      </c>
      <c r="X58" s="912">
        <f>SUM(X15:X57)</f>
        <v>1869436.8</v>
      </c>
      <c r="Y58" s="912">
        <f>SUM(Y14:Y57)</f>
        <v>477883</v>
      </c>
      <c r="Z58" s="912">
        <f>SUM(Z14:Z57)</f>
        <v>0</v>
      </c>
      <c r="AA58" s="912">
        <f>SUM(AA14:AA57)</f>
        <v>0</v>
      </c>
      <c r="AB58" s="912">
        <f>SUM(AB15:AB53)</f>
        <v>3621024</v>
      </c>
      <c r="AC58" s="212"/>
      <c r="AD58" s="212"/>
      <c r="AE58" s="212"/>
      <c r="AF58" s="212"/>
      <c r="AG58" s="212"/>
      <c r="AH58" s="212"/>
      <c r="AI58" s="1"/>
      <c r="AJ58" s="1"/>
      <c r="AK58" s="1"/>
      <c r="AL58" s="1"/>
      <c r="AM58" s="1"/>
    </row>
    <row r="59" spans="1:39">
      <c r="A59" s="300"/>
      <c r="B59" s="301"/>
      <c r="C59" s="652"/>
      <c r="D59" s="652"/>
      <c r="E59" s="652"/>
      <c r="F59" s="2259"/>
      <c r="G59" s="2259"/>
      <c r="H59" s="2259"/>
      <c r="I59" s="2259"/>
      <c r="J59" s="2259"/>
      <c r="K59" s="2259"/>
      <c r="L59" s="2259"/>
      <c r="M59" s="2259"/>
      <c r="N59" s="2259"/>
      <c r="O59" s="652"/>
      <c r="P59" s="2259"/>
      <c r="Q59" s="652"/>
      <c r="R59" s="652"/>
      <c r="S59" s="212"/>
      <c r="T59" s="212"/>
      <c r="U59" s="652"/>
      <c r="V59" s="652"/>
      <c r="W59" s="2259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1"/>
      <c r="AJ59" s="1"/>
      <c r="AK59" s="1"/>
      <c r="AL59" s="1"/>
      <c r="AM59" s="1"/>
    </row>
    <row r="60" spans="1:39">
      <c r="A60" s="300"/>
      <c r="B60" s="301"/>
      <c r="C60" s="652"/>
      <c r="D60" s="652"/>
      <c r="E60" s="652"/>
      <c r="F60" s="2259"/>
      <c r="G60" s="2259"/>
      <c r="H60" s="2259"/>
      <c r="I60" s="2259"/>
      <c r="J60" s="2259"/>
      <c r="K60" s="2259"/>
      <c r="L60" s="2259"/>
      <c r="M60" s="2259"/>
      <c r="N60" s="2259"/>
      <c r="O60" s="652"/>
      <c r="P60" s="2259"/>
      <c r="Q60" s="652"/>
      <c r="R60" s="652"/>
      <c r="S60" s="212"/>
      <c r="T60" s="212"/>
      <c r="U60" s="652"/>
      <c r="V60" s="652"/>
      <c r="W60" s="2259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1"/>
      <c r="AJ60" s="1"/>
      <c r="AK60" s="1"/>
      <c r="AL60" s="1"/>
      <c r="AM60" s="1"/>
    </row>
    <row r="61" spans="1:39">
      <c r="A61" s="2"/>
      <c r="B61" s="2"/>
      <c r="C61" s="652"/>
      <c r="D61" s="652"/>
      <c r="E61" s="652"/>
      <c r="F61" s="2259"/>
      <c r="G61" s="652"/>
      <c r="H61" s="652"/>
      <c r="I61" s="652"/>
      <c r="J61" s="652"/>
      <c r="K61" s="652"/>
      <c r="L61" s="652"/>
      <c r="M61" s="652"/>
      <c r="N61" s="652"/>
      <c r="O61" s="652"/>
      <c r="P61" s="652"/>
      <c r="Q61" s="212"/>
      <c r="R61" s="652"/>
      <c r="S61" s="212"/>
      <c r="T61" s="212"/>
      <c r="U61" s="652"/>
      <c r="V61" s="652"/>
      <c r="W61" s="2259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1"/>
      <c r="AJ61" s="1"/>
      <c r="AK61" s="1"/>
      <c r="AL61" s="1"/>
      <c r="AM61" s="1"/>
    </row>
    <row r="62" spans="1:39">
      <c r="A62" s="2"/>
      <c r="B62" s="2"/>
      <c r="C62" s="652"/>
      <c r="D62" s="652"/>
      <c r="E62" s="652"/>
      <c r="F62" s="2259"/>
      <c r="G62" s="652"/>
      <c r="H62" s="652"/>
      <c r="I62" s="652"/>
      <c r="J62" s="652"/>
      <c r="K62" s="652"/>
      <c r="L62" s="652"/>
      <c r="M62" s="652"/>
      <c r="N62" s="652"/>
      <c r="O62" s="652"/>
      <c r="P62" s="652"/>
      <c r="Q62" s="212"/>
      <c r="R62" s="652"/>
      <c r="S62" s="212"/>
      <c r="T62" s="212"/>
      <c r="U62" s="652"/>
      <c r="V62" s="652"/>
      <c r="W62" s="2259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1"/>
      <c r="AJ62" s="1"/>
      <c r="AK62" s="1"/>
      <c r="AL62" s="1"/>
      <c r="AM62" s="1"/>
    </row>
    <row r="63" spans="1:39">
      <c r="A63" s="2"/>
      <c r="B63" s="2"/>
      <c r="C63" s="652"/>
      <c r="D63" s="652"/>
      <c r="E63" s="652"/>
      <c r="F63" s="652"/>
      <c r="G63" s="652"/>
      <c r="H63" s="652"/>
      <c r="I63" s="652"/>
      <c r="J63" s="652"/>
      <c r="K63" s="652"/>
      <c r="L63" s="652"/>
      <c r="M63" s="652"/>
      <c r="N63" s="652"/>
      <c r="O63" s="652"/>
      <c r="P63" s="652"/>
      <c r="Q63" s="212"/>
      <c r="R63" s="652"/>
      <c r="S63" s="212"/>
      <c r="T63" s="212"/>
      <c r="U63" s="652"/>
      <c r="V63" s="652"/>
      <c r="W63" s="65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1"/>
      <c r="AJ63" s="1"/>
      <c r="AK63" s="1"/>
      <c r="AL63" s="1"/>
      <c r="AM63" s="1"/>
    </row>
    <row r="64" spans="1:39">
      <c r="A64" s="2" t="s">
        <v>59</v>
      </c>
      <c r="B64" s="2"/>
      <c r="C64" s="652"/>
      <c r="D64" s="652"/>
      <c r="E64" s="652"/>
      <c r="F64" s="2259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212"/>
      <c r="R64" s="212"/>
      <c r="S64" s="212"/>
      <c r="T64" s="212"/>
      <c r="U64" s="652"/>
      <c r="V64" s="652"/>
      <c r="W64" s="2259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1"/>
      <c r="AJ64" s="1"/>
      <c r="AK64" s="1"/>
      <c r="AL64" s="1"/>
      <c r="AM64" s="1"/>
    </row>
    <row r="65" spans="1:39">
      <c r="A65" s="2"/>
      <c r="B65" s="2"/>
      <c r="C65" s="652"/>
      <c r="D65" s="652"/>
      <c r="E65" s="652"/>
      <c r="F65" s="652"/>
      <c r="G65" s="652"/>
      <c r="H65" s="652"/>
      <c r="I65" s="652"/>
      <c r="J65" s="652"/>
      <c r="K65" s="652"/>
      <c r="L65" s="652"/>
      <c r="M65" s="652"/>
      <c r="N65" s="652"/>
      <c r="O65" s="652"/>
      <c r="P65" s="652"/>
      <c r="Q65" s="212"/>
      <c r="R65" s="212"/>
      <c r="S65" s="212"/>
      <c r="T65" s="212"/>
      <c r="U65" s="652"/>
      <c r="V65" s="652"/>
      <c r="W65" s="65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1"/>
      <c r="AJ65" s="1"/>
      <c r="AK65" s="1"/>
      <c r="AL65" s="1"/>
      <c r="AM65" s="1"/>
    </row>
    <row r="66" spans="1:39">
      <c r="A66" s="2"/>
      <c r="B66" s="2"/>
      <c r="C66" s="652"/>
      <c r="D66" s="652"/>
      <c r="E66" s="652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212"/>
      <c r="R66" s="212"/>
      <c r="S66" s="212"/>
      <c r="T66" s="212"/>
      <c r="U66" s="652"/>
      <c r="V66" s="652"/>
      <c r="W66" s="65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1"/>
      <c r="AJ66" s="1"/>
      <c r="AK66" s="1"/>
      <c r="AL66" s="1"/>
      <c r="AM66" s="1"/>
    </row>
    <row r="67" spans="1:39">
      <c r="A67" s="2"/>
      <c r="B67" s="2"/>
      <c r="C67" s="652"/>
      <c r="D67" s="652"/>
      <c r="E67" s="652"/>
      <c r="F67" s="652"/>
      <c r="G67" s="652"/>
      <c r="H67" s="652"/>
      <c r="I67" s="652"/>
      <c r="J67" s="652"/>
      <c r="K67" s="652"/>
      <c r="L67" s="652"/>
      <c r="M67" s="652"/>
      <c r="N67" s="652"/>
      <c r="O67" s="652"/>
      <c r="P67" s="652"/>
      <c r="Q67" s="212"/>
      <c r="R67" s="212"/>
      <c r="S67" s="212"/>
      <c r="T67" s="212"/>
      <c r="U67" s="652"/>
      <c r="V67" s="652"/>
      <c r="W67" s="65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1"/>
      <c r="AJ67" s="1"/>
      <c r="AK67" s="1"/>
      <c r="AL67" s="1"/>
      <c r="AM67" s="1"/>
    </row>
    <row r="68" spans="1:39">
      <c r="A68" s="2"/>
      <c r="B68" s="2"/>
      <c r="C68" s="652"/>
      <c r="D68" s="652"/>
      <c r="E68" s="652"/>
      <c r="F68" s="652"/>
      <c r="G68" s="652"/>
      <c r="H68" s="652"/>
      <c r="I68" s="652"/>
      <c r="J68" s="652"/>
      <c r="K68" s="652"/>
      <c r="L68" s="652"/>
      <c r="M68" s="652"/>
      <c r="N68" s="652"/>
      <c r="O68" s="652"/>
      <c r="P68" s="652"/>
      <c r="Q68" s="212"/>
      <c r="R68" s="212"/>
      <c r="S68" s="212"/>
      <c r="T68" s="212"/>
      <c r="U68" s="652"/>
      <c r="V68" s="652"/>
      <c r="W68" s="65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1"/>
      <c r="AJ68" s="1"/>
      <c r="AK68" s="1"/>
      <c r="AL68" s="1"/>
      <c r="AM68" s="1"/>
    </row>
    <row r="69" spans="1:39">
      <c r="A69" s="2"/>
      <c r="B69" s="2"/>
      <c r="C69" s="652"/>
      <c r="D69" s="652"/>
      <c r="E69" s="652"/>
      <c r="F69" s="652"/>
      <c r="G69" s="652"/>
      <c r="H69" s="652"/>
      <c r="I69" s="652"/>
      <c r="J69" s="652"/>
      <c r="K69" s="652"/>
      <c r="L69" s="652"/>
      <c r="M69" s="652"/>
      <c r="N69" s="652"/>
      <c r="O69" s="652"/>
      <c r="P69" s="652"/>
      <c r="Q69" s="212"/>
      <c r="R69" s="212"/>
      <c r="S69" s="212"/>
      <c r="T69" s="212"/>
      <c r="U69" s="652"/>
      <c r="V69" s="652"/>
      <c r="W69" s="65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1"/>
      <c r="AJ69" s="1"/>
      <c r="AK69" s="1"/>
      <c r="AL69" s="1"/>
      <c r="AM69" s="1"/>
    </row>
    <row r="70" spans="1:39">
      <c r="A70" s="2"/>
      <c r="B70" s="2"/>
      <c r="C70" s="652"/>
      <c r="D70" s="652"/>
      <c r="E70" s="652"/>
      <c r="F70" s="652"/>
      <c r="G70" s="652"/>
      <c r="H70" s="652"/>
      <c r="I70" s="652"/>
      <c r="J70" s="652"/>
      <c r="K70" s="652"/>
      <c r="L70" s="652"/>
      <c r="M70" s="652"/>
      <c r="N70" s="652"/>
      <c r="O70" s="652"/>
      <c r="P70" s="652"/>
      <c r="Q70" s="212"/>
      <c r="R70" s="212"/>
      <c r="S70" s="212"/>
      <c r="T70" s="212"/>
      <c r="U70" s="652"/>
      <c r="V70" s="652"/>
      <c r="W70" s="65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1"/>
      <c r="AJ70" s="1"/>
      <c r="AK70" s="1"/>
      <c r="AL70" s="1"/>
      <c r="AM70" s="1"/>
    </row>
    <row r="71" spans="1:39">
      <c r="A71" s="2"/>
      <c r="B71" s="2"/>
      <c r="C71" s="652"/>
      <c r="D71" s="652"/>
      <c r="E71" s="652"/>
      <c r="F71" s="652"/>
      <c r="G71" s="652"/>
      <c r="H71" s="652"/>
      <c r="I71" s="652"/>
      <c r="J71" s="652"/>
      <c r="K71" s="652"/>
      <c r="L71" s="652"/>
      <c r="M71" s="652"/>
      <c r="N71" s="652"/>
      <c r="O71" s="652"/>
      <c r="P71" s="652"/>
      <c r="Q71" s="212"/>
      <c r="R71" s="212"/>
      <c r="S71" s="212"/>
      <c r="T71" s="212"/>
      <c r="U71" s="652"/>
      <c r="V71" s="652"/>
      <c r="W71" s="65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1"/>
      <c r="AJ71" s="1"/>
      <c r="AK71" s="1"/>
      <c r="AL71" s="1"/>
      <c r="AM71" s="1"/>
    </row>
    <row r="72" spans="1:39">
      <c r="A72" s="2"/>
      <c r="B72" s="2"/>
      <c r="C72" s="652"/>
      <c r="D72" s="652"/>
      <c r="E72" s="652"/>
      <c r="F72" s="652"/>
      <c r="G72" s="652"/>
      <c r="H72" s="652"/>
      <c r="I72" s="652"/>
      <c r="J72" s="652"/>
      <c r="K72" s="652"/>
      <c r="L72" s="652"/>
      <c r="M72" s="652"/>
      <c r="N72" s="652"/>
      <c r="O72" s="652"/>
      <c r="P72" s="652"/>
      <c r="Q72" s="212"/>
      <c r="R72" s="212"/>
      <c r="S72" s="212"/>
      <c r="T72" s="212"/>
      <c r="U72" s="652"/>
      <c r="V72" s="652"/>
      <c r="W72" s="652"/>
      <c r="X72" s="212"/>
      <c r="Y72" s="212"/>
      <c r="Z72" s="212"/>
      <c r="AA72" s="212"/>
      <c r="AB72" s="212"/>
      <c r="AC72" s="212"/>
      <c r="AD72" s="212"/>
      <c r="AE72" s="212"/>
      <c r="AF72" s="212"/>
      <c r="AG72" s="212"/>
      <c r="AH72" s="212"/>
      <c r="AI72" s="1"/>
      <c r="AJ72" s="1"/>
      <c r="AK72" s="1"/>
      <c r="AL72" s="1"/>
      <c r="AM72" s="1"/>
    </row>
    <row r="73" spans="1:39">
      <c r="A73" s="2"/>
      <c r="B73" s="2"/>
      <c r="C73" s="652"/>
      <c r="D73" s="652"/>
      <c r="E73" s="652"/>
      <c r="F73" s="652"/>
      <c r="G73" s="652"/>
      <c r="H73" s="652"/>
      <c r="I73" s="652"/>
      <c r="J73" s="652"/>
      <c r="K73" s="652"/>
      <c r="L73" s="652"/>
      <c r="M73" s="652"/>
      <c r="N73" s="652"/>
      <c r="O73" s="652"/>
      <c r="P73" s="652"/>
      <c r="Q73" s="212"/>
      <c r="R73" s="212"/>
      <c r="S73" s="212"/>
      <c r="T73" s="212"/>
      <c r="U73" s="652"/>
      <c r="V73" s="652"/>
      <c r="W73" s="65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1"/>
      <c r="AJ73" s="1"/>
      <c r="AK73" s="1"/>
      <c r="AL73" s="1"/>
      <c r="AM73" s="1"/>
    </row>
    <row r="74" spans="1:39">
      <c r="A74" s="2"/>
      <c r="B74" s="2"/>
      <c r="C74" s="652"/>
      <c r="D74" s="652"/>
      <c r="E74" s="652"/>
      <c r="F74" s="652"/>
      <c r="G74" s="652"/>
      <c r="H74" s="652"/>
      <c r="I74" s="652"/>
      <c r="J74" s="652"/>
      <c r="K74" s="652"/>
      <c r="L74" s="652"/>
      <c r="M74" s="652"/>
      <c r="N74" s="652"/>
      <c r="O74" s="652"/>
      <c r="P74" s="652"/>
      <c r="Q74" s="212"/>
      <c r="R74" s="212"/>
      <c r="S74" s="212"/>
      <c r="T74" s="212"/>
      <c r="U74" s="652"/>
      <c r="V74" s="652"/>
      <c r="W74" s="65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1"/>
      <c r="AJ74" s="1"/>
      <c r="AK74" s="1"/>
      <c r="AL74" s="1"/>
      <c r="AM74" s="1"/>
    </row>
    <row r="75" spans="1:39">
      <c r="A75" s="2"/>
      <c r="B75" s="2"/>
      <c r="C75" s="652"/>
      <c r="D75" s="652"/>
      <c r="E75" s="652"/>
      <c r="F75" s="652"/>
      <c r="G75" s="652"/>
      <c r="H75" s="652"/>
      <c r="I75" s="652"/>
      <c r="J75" s="652"/>
      <c r="K75" s="652"/>
      <c r="L75" s="652"/>
      <c r="M75" s="652"/>
      <c r="N75" s="652"/>
      <c r="O75" s="652"/>
      <c r="P75" s="652"/>
      <c r="Q75" s="212"/>
      <c r="R75" s="212"/>
      <c r="S75" s="212"/>
      <c r="T75" s="212"/>
      <c r="U75" s="652"/>
      <c r="V75" s="652"/>
      <c r="W75" s="65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1"/>
      <c r="AJ75" s="1"/>
      <c r="AK75" s="1"/>
      <c r="AL75" s="1"/>
      <c r="AM75" s="1"/>
    </row>
    <row r="76" spans="1:39">
      <c r="A76" s="2"/>
      <c r="B76" s="2"/>
      <c r="C76" s="652"/>
      <c r="D76" s="652"/>
      <c r="E76" s="652"/>
      <c r="F76" s="652"/>
      <c r="G76" s="652"/>
      <c r="H76" s="652"/>
      <c r="I76" s="652"/>
      <c r="J76" s="652"/>
      <c r="K76" s="652"/>
      <c r="L76" s="652"/>
      <c r="M76" s="652"/>
      <c r="N76" s="652"/>
      <c r="O76" s="652"/>
      <c r="P76" s="652"/>
      <c r="Q76" s="212"/>
      <c r="R76" s="212"/>
      <c r="S76" s="212"/>
      <c r="T76" s="212"/>
      <c r="U76" s="652"/>
      <c r="V76" s="652"/>
      <c r="W76" s="65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1"/>
      <c r="AJ76" s="1"/>
      <c r="AK76" s="1"/>
      <c r="AL76" s="1"/>
      <c r="AM76" s="1"/>
    </row>
    <row r="77" spans="1:39">
      <c r="A77" s="2"/>
      <c r="B77" s="2"/>
      <c r="C77" s="652"/>
      <c r="D77" s="652"/>
      <c r="E77" s="652"/>
      <c r="F77" s="652"/>
      <c r="G77" s="652"/>
      <c r="H77" s="652"/>
      <c r="I77" s="652"/>
      <c r="J77" s="652"/>
      <c r="K77" s="652"/>
      <c r="L77" s="652"/>
      <c r="M77" s="652"/>
      <c r="N77" s="652"/>
      <c r="O77" s="652"/>
      <c r="P77" s="652"/>
      <c r="Q77" s="212"/>
      <c r="R77" s="212"/>
      <c r="S77" s="212"/>
      <c r="T77" s="212"/>
      <c r="U77" s="652"/>
      <c r="V77" s="652"/>
      <c r="W77" s="65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1"/>
      <c r="AJ77" s="1"/>
      <c r="AK77" s="1"/>
      <c r="AL77" s="1"/>
      <c r="AM77" s="1"/>
    </row>
    <row r="78" spans="1:39">
      <c r="A78" s="2"/>
      <c r="B78" s="2"/>
      <c r="C78" s="652"/>
      <c r="D78" s="652"/>
      <c r="E78" s="652"/>
      <c r="F78" s="652"/>
      <c r="G78" s="652"/>
      <c r="H78" s="652"/>
      <c r="I78" s="652"/>
      <c r="J78" s="652"/>
      <c r="K78" s="652"/>
      <c r="L78" s="652"/>
      <c r="M78" s="652"/>
      <c r="N78" s="652"/>
      <c r="O78" s="652"/>
      <c r="P78" s="652"/>
      <c r="Q78" s="212"/>
      <c r="R78" s="212"/>
      <c r="S78" s="212"/>
      <c r="T78" s="212"/>
      <c r="U78" s="652"/>
      <c r="V78" s="652"/>
      <c r="W78" s="65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1"/>
      <c r="AJ78" s="1"/>
      <c r="AK78" s="1"/>
      <c r="AL78" s="1"/>
      <c r="AM78" s="1"/>
    </row>
    <row r="79" spans="1:39">
      <c r="A79" s="2"/>
      <c r="B79" s="2"/>
      <c r="C79" s="652"/>
      <c r="D79" s="652"/>
      <c r="E79" s="652"/>
      <c r="F79" s="652"/>
      <c r="G79" s="652"/>
      <c r="H79" s="652"/>
      <c r="I79" s="652"/>
      <c r="J79" s="652"/>
      <c r="K79" s="652"/>
      <c r="L79" s="652"/>
      <c r="M79" s="652"/>
      <c r="N79" s="652"/>
      <c r="O79" s="652"/>
      <c r="P79" s="652"/>
      <c r="Q79" s="212"/>
      <c r="R79" s="212"/>
      <c r="S79" s="212"/>
      <c r="T79" s="212"/>
      <c r="U79" s="652"/>
      <c r="V79" s="652"/>
      <c r="W79" s="652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1"/>
      <c r="AJ79" s="1"/>
      <c r="AK79" s="1"/>
      <c r="AL79" s="1"/>
      <c r="AM79" s="1"/>
    </row>
    <row r="80" spans="1:39">
      <c r="A80" s="2"/>
      <c r="B80" s="2"/>
      <c r="C80" s="652"/>
      <c r="D80" s="652"/>
      <c r="E80" s="652"/>
      <c r="F80" s="652"/>
      <c r="G80" s="652"/>
      <c r="H80" s="652"/>
      <c r="I80" s="652"/>
      <c r="J80" s="652"/>
      <c r="K80" s="652"/>
      <c r="L80" s="652"/>
      <c r="M80" s="652"/>
      <c r="N80" s="652"/>
      <c r="O80" s="652"/>
      <c r="P80" s="652"/>
      <c r="Q80" s="212"/>
      <c r="R80" s="212"/>
      <c r="S80" s="212"/>
      <c r="T80" s="212"/>
      <c r="U80" s="652"/>
      <c r="V80" s="652"/>
      <c r="W80" s="652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1"/>
      <c r="AJ80" s="1"/>
      <c r="AK80" s="1"/>
      <c r="AL80" s="1"/>
      <c r="AM80" s="1"/>
    </row>
    <row r="81" spans="1:39">
      <c r="A81" s="2"/>
      <c r="B81" s="2"/>
      <c r="C81" s="652"/>
      <c r="D81" s="652"/>
      <c r="E81" s="652"/>
      <c r="F81" s="652"/>
      <c r="G81" s="652"/>
      <c r="H81" s="652"/>
      <c r="I81" s="652"/>
      <c r="J81" s="652"/>
      <c r="K81" s="652"/>
      <c r="L81" s="652"/>
      <c r="M81" s="652"/>
      <c r="N81" s="652"/>
      <c r="O81" s="652"/>
      <c r="P81" s="652"/>
      <c r="Q81" s="212"/>
      <c r="R81" s="212"/>
      <c r="S81" s="212"/>
      <c r="T81" s="212"/>
      <c r="U81" s="652"/>
      <c r="V81" s="652"/>
      <c r="W81" s="652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1"/>
      <c r="AJ81" s="1"/>
      <c r="AK81" s="1"/>
      <c r="AL81" s="1"/>
      <c r="AM81" s="1"/>
    </row>
    <row r="82" spans="1:39">
      <c r="A82" s="2"/>
      <c r="B82" s="2"/>
      <c r="C82" s="652"/>
      <c r="D82" s="652"/>
      <c r="E82" s="652"/>
      <c r="F82" s="652"/>
      <c r="G82" s="652"/>
      <c r="H82" s="652"/>
      <c r="I82" s="652"/>
      <c r="J82" s="652"/>
      <c r="K82" s="652"/>
      <c r="L82" s="652"/>
      <c r="M82" s="652"/>
      <c r="N82" s="652"/>
      <c r="O82" s="652"/>
      <c r="P82" s="652"/>
      <c r="Q82" s="212"/>
      <c r="R82" s="212"/>
      <c r="S82" s="212"/>
      <c r="T82" s="212"/>
      <c r="U82" s="652"/>
      <c r="V82" s="652"/>
      <c r="W82" s="652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1"/>
      <c r="AJ82" s="1"/>
      <c r="AK82" s="1"/>
      <c r="AL82" s="1"/>
      <c r="AM82" s="1"/>
    </row>
    <row r="83" spans="1:39">
      <c r="A83" s="2"/>
      <c r="B83" s="2"/>
      <c r="C83" s="652"/>
      <c r="D83" s="652"/>
      <c r="E83" s="652"/>
      <c r="F83" s="652"/>
      <c r="G83" s="652"/>
      <c r="H83" s="652"/>
      <c r="I83" s="652"/>
      <c r="J83" s="652"/>
      <c r="K83" s="652"/>
      <c r="L83" s="652"/>
      <c r="M83" s="652"/>
      <c r="N83" s="652"/>
      <c r="O83" s="652"/>
      <c r="P83" s="652"/>
      <c r="Q83" s="212"/>
      <c r="R83" s="212"/>
      <c r="S83" s="212"/>
      <c r="T83" s="212"/>
      <c r="U83" s="652"/>
      <c r="V83" s="652"/>
      <c r="W83" s="65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1"/>
      <c r="AJ83" s="1"/>
      <c r="AK83" s="1"/>
      <c r="AL83" s="1"/>
      <c r="AM83" s="1"/>
    </row>
    <row r="84" spans="1:39">
      <c r="A84" s="2"/>
      <c r="B84" s="2"/>
      <c r="C84" s="652"/>
      <c r="D84" s="652"/>
      <c r="E84" s="652"/>
      <c r="F84" s="652"/>
      <c r="G84" s="652"/>
      <c r="H84" s="652"/>
      <c r="I84" s="652"/>
      <c r="J84" s="652"/>
      <c r="K84" s="652"/>
      <c r="L84" s="652"/>
      <c r="M84" s="652"/>
      <c r="N84" s="652"/>
      <c r="O84" s="652"/>
      <c r="P84" s="652"/>
      <c r="Q84" s="212"/>
      <c r="R84" s="212"/>
      <c r="S84" s="212"/>
      <c r="T84" s="212"/>
      <c r="U84" s="652"/>
      <c r="V84" s="652"/>
      <c r="W84" s="65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1"/>
      <c r="AJ84" s="1"/>
      <c r="AK84" s="1"/>
      <c r="AL84" s="1"/>
      <c r="AM84" s="1"/>
    </row>
    <row r="85" spans="1:39">
      <c r="A85" s="2"/>
      <c r="B85" s="2"/>
      <c r="C85" s="652"/>
      <c r="D85" s="652"/>
      <c r="E85" s="652"/>
      <c r="F85" s="652"/>
      <c r="G85" s="652"/>
      <c r="H85" s="652"/>
      <c r="I85" s="652"/>
      <c r="J85" s="652"/>
      <c r="K85" s="652"/>
      <c r="L85" s="652"/>
      <c r="M85" s="652"/>
      <c r="N85" s="652"/>
      <c r="O85" s="652"/>
      <c r="P85" s="652"/>
      <c r="Q85" s="212"/>
      <c r="R85" s="212"/>
      <c r="S85" s="212"/>
      <c r="T85" s="212"/>
      <c r="U85" s="652"/>
      <c r="V85" s="652"/>
      <c r="W85" s="65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1"/>
      <c r="AJ85" s="1"/>
      <c r="AK85" s="1"/>
      <c r="AL85" s="1"/>
      <c r="AM85" s="1"/>
    </row>
    <row r="86" spans="1:39">
      <c r="A86" s="2"/>
      <c r="B86" s="2"/>
      <c r="C86" s="652"/>
      <c r="D86" s="652"/>
      <c r="E86" s="652"/>
      <c r="F86" s="652"/>
      <c r="G86" s="652"/>
      <c r="H86" s="652"/>
      <c r="I86" s="652"/>
      <c r="J86" s="652"/>
      <c r="K86" s="652"/>
      <c r="L86" s="652"/>
      <c r="M86" s="652"/>
      <c r="N86" s="652"/>
      <c r="O86" s="652"/>
      <c r="P86" s="652"/>
      <c r="Q86" s="212"/>
      <c r="R86" s="212"/>
      <c r="S86" s="212"/>
      <c r="T86" s="212"/>
      <c r="U86" s="652"/>
      <c r="V86" s="652"/>
      <c r="W86" s="65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1"/>
      <c r="AJ86" s="1"/>
      <c r="AK86" s="1"/>
      <c r="AL86" s="1"/>
      <c r="AM86" s="1"/>
    </row>
    <row r="87" spans="1:39">
      <c r="A87" s="2"/>
      <c r="B87" s="2"/>
      <c r="C87" s="652"/>
      <c r="D87" s="652"/>
      <c r="E87" s="652"/>
      <c r="F87" s="652"/>
      <c r="G87" s="652"/>
      <c r="H87" s="652"/>
      <c r="I87" s="652"/>
      <c r="J87" s="652"/>
      <c r="K87" s="652"/>
      <c r="L87" s="652"/>
      <c r="M87" s="652"/>
      <c r="N87" s="652"/>
      <c r="O87" s="652"/>
      <c r="P87" s="652"/>
      <c r="Q87" s="212"/>
      <c r="R87" s="212"/>
      <c r="S87" s="212"/>
      <c r="T87" s="212"/>
      <c r="U87" s="652"/>
      <c r="V87" s="652"/>
      <c r="W87" s="65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1"/>
      <c r="AJ87" s="1"/>
      <c r="AK87" s="1"/>
      <c r="AL87" s="1"/>
      <c r="AM87" s="1"/>
    </row>
    <row r="88" spans="1:39">
      <c r="A88" s="2"/>
      <c r="B88" s="2"/>
      <c r="C88" s="652"/>
      <c r="D88" s="652"/>
      <c r="E88" s="652"/>
      <c r="F88" s="652"/>
      <c r="G88" s="652"/>
      <c r="H88" s="652"/>
      <c r="I88" s="652"/>
      <c r="J88" s="652"/>
      <c r="K88" s="652"/>
      <c r="L88" s="652"/>
      <c r="M88" s="652"/>
      <c r="N88" s="652"/>
      <c r="O88" s="652"/>
      <c r="P88" s="652"/>
      <c r="Q88" s="212"/>
      <c r="R88" s="212"/>
      <c r="S88" s="212"/>
      <c r="T88" s="212"/>
      <c r="U88" s="652"/>
      <c r="V88" s="652"/>
      <c r="W88" s="65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1"/>
      <c r="AJ88" s="1"/>
      <c r="AK88" s="1"/>
      <c r="AL88" s="1"/>
      <c r="AM88" s="1"/>
    </row>
    <row r="89" spans="1:39">
      <c r="A89" s="2"/>
      <c r="B89" s="2"/>
      <c r="C89" s="652"/>
      <c r="D89" s="652"/>
      <c r="E89" s="652"/>
      <c r="F89" s="652"/>
      <c r="G89" s="652"/>
      <c r="H89" s="652"/>
      <c r="I89" s="652"/>
      <c r="J89" s="652"/>
      <c r="K89" s="652"/>
      <c r="L89" s="652"/>
      <c r="M89" s="652"/>
      <c r="N89" s="652"/>
      <c r="O89" s="652"/>
      <c r="P89" s="652"/>
      <c r="Q89" s="212"/>
      <c r="R89" s="212"/>
      <c r="S89" s="212"/>
      <c r="T89" s="212"/>
      <c r="U89" s="652"/>
      <c r="V89" s="652"/>
      <c r="W89" s="65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1"/>
      <c r="AJ89" s="1"/>
      <c r="AK89" s="1"/>
      <c r="AL89" s="1"/>
      <c r="AM89" s="1"/>
    </row>
    <row r="90" spans="1:39">
      <c r="A90" s="2"/>
      <c r="B90" s="2"/>
      <c r="C90" s="652"/>
      <c r="D90" s="652"/>
      <c r="E90" s="652"/>
      <c r="F90" s="652"/>
      <c r="G90" s="652"/>
      <c r="H90" s="652"/>
      <c r="I90" s="652"/>
      <c r="J90" s="652"/>
      <c r="K90" s="652"/>
      <c r="L90" s="652"/>
      <c r="M90" s="652"/>
      <c r="N90" s="652"/>
      <c r="O90" s="652"/>
      <c r="P90" s="652"/>
      <c r="Q90" s="212"/>
      <c r="R90" s="212"/>
      <c r="S90" s="212"/>
      <c r="T90" s="212"/>
      <c r="U90" s="652"/>
      <c r="V90" s="652"/>
      <c r="W90" s="65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1"/>
      <c r="AJ90" s="1"/>
      <c r="AK90" s="1"/>
      <c r="AL90" s="1"/>
      <c r="AM90" s="1"/>
    </row>
    <row r="91" spans="1:39">
      <c r="A91" s="2"/>
      <c r="B91" s="2"/>
      <c r="C91" s="652"/>
      <c r="D91" s="652"/>
      <c r="E91" s="652"/>
      <c r="F91" s="652"/>
      <c r="G91" s="652"/>
      <c r="H91" s="652"/>
      <c r="I91" s="652"/>
      <c r="J91" s="652"/>
      <c r="K91" s="652"/>
      <c r="L91" s="652"/>
      <c r="M91" s="652"/>
      <c r="N91" s="652"/>
      <c r="O91" s="652"/>
      <c r="P91" s="652"/>
      <c r="Q91" s="212"/>
      <c r="R91" s="212"/>
      <c r="S91" s="212"/>
      <c r="T91" s="212"/>
      <c r="U91" s="652"/>
      <c r="V91" s="652"/>
      <c r="W91" s="65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1"/>
      <c r="AJ91" s="1"/>
      <c r="AK91" s="1"/>
      <c r="AL91" s="1"/>
      <c r="AM91" s="1"/>
    </row>
    <row r="92" spans="1:39">
      <c r="A92" s="2"/>
      <c r="B92" s="2"/>
      <c r="C92" s="652"/>
      <c r="D92" s="652"/>
      <c r="E92" s="652"/>
      <c r="F92" s="652"/>
      <c r="G92" s="652"/>
      <c r="H92" s="652"/>
      <c r="I92" s="652"/>
      <c r="J92" s="652"/>
      <c r="K92" s="652"/>
      <c r="L92" s="652"/>
      <c r="M92" s="652"/>
      <c r="N92" s="652"/>
      <c r="O92" s="652"/>
      <c r="P92" s="652"/>
      <c r="Q92" s="212"/>
      <c r="R92" s="212"/>
      <c r="S92" s="212"/>
      <c r="T92" s="212"/>
      <c r="U92" s="652"/>
      <c r="V92" s="652"/>
      <c r="W92" s="65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1"/>
      <c r="AJ92" s="1"/>
      <c r="AK92" s="1"/>
      <c r="AL92" s="1"/>
      <c r="AM92" s="1"/>
    </row>
    <row r="93" spans="1:39">
      <c r="A93" s="2"/>
      <c r="B93" s="2"/>
      <c r="C93" s="652"/>
      <c r="D93" s="652"/>
      <c r="E93" s="652"/>
      <c r="F93" s="652"/>
      <c r="G93" s="652"/>
      <c r="H93" s="652"/>
      <c r="I93" s="652"/>
      <c r="J93" s="652"/>
      <c r="K93" s="652"/>
      <c r="L93" s="652"/>
      <c r="M93" s="652"/>
      <c r="N93" s="652"/>
      <c r="O93" s="652"/>
      <c r="P93" s="652"/>
      <c r="Q93" s="212"/>
      <c r="R93" s="212"/>
      <c r="S93" s="212"/>
      <c r="T93" s="212"/>
      <c r="U93" s="652"/>
      <c r="V93" s="652"/>
      <c r="W93" s="65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1"/>
      <c r="AJ93" s="1"/>
      <c r="AK93" s="1"/>
      <c r="AL93" s="1"/>
      <c r="AM93" s="1"/>
    </row>
    <row r="94" spans="1:39">
      <c r="A94" s="2"/>
      <c r="B94" s="2"/>
      <c r="C94" s="652"/>
      <c r="D94" s="652"/>
      <c r="E94" s="652"/>
      <c r="F94" s="652"/>
      <c r="G94" s="652"/>
      <c r="H94" s="652"/>
      <c r="I94" s="652"/>
      <c r="J94" s="652"/>
      <c r="K94" s="652"/>
      <c r="L94" s="652"/>
      <c r="M94" s="652"/>
      <c r="N94" s="652"/>
      <c r="O94" s="652"/>
      <c r="P94" s="652"/>
      <c r="Q94" s="212"/>
      <c r="R94" s="212"/>
      <c r="S94" s="212"/>
      <c r="T94" s="212"/>
      <c r="U94" s="652"/>
      <c r="V94" s="652"/>
      <c r="W94" s="65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1"/>
      <c r="AJ94" s="1"/>
      <c r="AK94" s="1"/>
      <c r="AL94" s="1"/>
      <c r="AM94" s="1"/>
    </row>
    <row r="95" spans="1:39">
      <c r="A95" s="2"/>
      <c r="B95" s="2"/>
      <c r="C95" s="652"/>
      <c r="D95" s="652"/>
      <c r="E95" s="652"/>
      <c r="F95" s="652"/>
      <c r="G95" s="652"/>
      <c r="H95" s="652"/>
      <c r="I95" s="652"/>
      <c r="J95" s="652"/>
      <c r="K95" s="652"/>
      <c r="L95" s="652"/>
      <c r="M95" s="652"/>
      <c r="N95" s="652"/>
      <c r="O95" s="652"/>
      <c r="P95" s="652"/>
      <c r="Q95" s="212"/>
      <c r="R95" s="212"/>
      <c r="S95" s="212"/>
      <c r="T95" s="212"/>
      <c r="U95" s="652"/>
      <c r="V95" s="652"/>
      <c r="W95" s="65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1"/>
      <c r="AJ95" s="1"/>
      <c r="AK95" s="1"/>
      <c r="AL95" s="1"/>
      <c r="AM95" s="1"/>
    </row>
    <row r="96" spans="1:39">
      <c r="A96" s="2"/>
      <c r="B96" s="2"/>
      <c r="C96" s="652"/>
      <c r="D96" s="652"/>
      <c r="E96" s="652"/>
      <c r="F96" s="652"/>
      <c r="G96" s="652"/>
      <c r="H96" s="652"/>
      <c r="I96" s="652"/>
      <c r="J96" s="652"/>
      <c r="K96" s="652"/>
      <c r="L96" s="652"/>
      <c r="M96" s="652"/>
      <c r="N96" s="652"/>
      <c r="O96" s="652"/>
      <c r="P96" s="652"/>
      <c r="Q96" s="212"/>
      <c r="R96" s="212"/>
      <c r="S96" s="212"/>
      <c r="T96" s="212"/>
      <c r="U96" s="652"/>
      <c r="V96" s="652"/>
      <c r="W96" s="65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1"/>
      <c r="AJ96" s="1"/>
      <c r="AK96" s="1"/>
      <c r="AL96" s="1"/>
      <c r="AM96" s="1"/>
    </row>
    <row r="97" spans="1:39">
      <c r="A97" s="2"/>
      <c r="B97" s="2"/>
      <c r="C97" s="652"/>
      <c r="D97" s="652"/>
      <c r="E97" s="652"/>
      <c r="F97" s="652"/>
      <c r="G97" s="652"/>
      <c r="H97" s="652"/>
      <c r="I97" s="652"/>
      <c r="J97" s="652"/>
      <c r="K97" s="652"/>
      <c r="L97" s="652"/>
      <c r="M97" s="652"/>
      <c r="N97" s="652"/>
      <c r="O97" s="652"/>
      <c r="P97" s="652"/>
      <c r="Q97" s="212"/>
      <c r="R97" s="212"/>
      <c r="S97" s="212"/>
      <c r="T97" s="212"/>
      <c r="U97" s="652"/>
      <c r="V97" s="652"/>
      <c r="W97" s="65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1"/>
      <c r="AJ97" s="1"/>
      <c r="AK97" s="1"/>
      <c r="AL97" s="1"/>
      <c r="AM97" s="1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conditionalFormatting sqref="O2:R13 O58:R65536 AD2:IV65536 AC58:AC65536 AC2:AC13 A2:K65536 X2:AA13 Z59:AA65536 L36:L65536 L2:L16 S2:S65536 U2:W65536 T2:T57 T59:T65536 AB2:AB65536 M2:N65536 X14:Y65536">
    <cfRule type="cellIs" dxfId="48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9">
    <pageSetUpPr fitToPage="1"/>
  </sheetPr>
  <dimension ref="A1:AI63"/>
  <sheetViews>
    <sheetView showGridLines="0" showZeros="0" topLeftCell="L1" workbookViewId="0">
      <selection activeCell="Z19" sqref="Z19"/>
    </sheetView>
  </sheetViews>
  <sheetFormatPr baseColWidth="10" defaultColWidth="16.25" defaultRowHeight="12"/>
  <cols>
    <col min="1" max="1" width="10.25" style="659" customWidth="1"/>
    <col min="2" max="2" width="35.375" style="660" customWidth="1"/>
    <col min="3" max="3" width="11.875" style="2176" customWidth="1"/>
    <col min="4" max="4" width="9" style="2176" customWidth="1"/>
    <col min="5" max="5" width="7.625" style="2176" customWidth="1"/>
    <col min="6" max="9" width="10.25" style="2176" customWidth="1"/>
    <col min="10" max="10" width="12" style="2176" customWidth="1"/>
    <col min="11" max="11" width="10.25" style="2176" customWidth="1"/>
    <col min="12" max="12" width="9" style="2176" customWidth="1"/>
    <col min="13" max="13" width="9.75" style="2176" customWidth="1"/>
    <col min="14" max="14" width="8.75" style="2176" customWidth="1"/>
    <col min="15" max="15" width="6.375" style="2176" customWidth="1"/>
    <col min="16" max="16" width="16.25" style="2176"/>
    <col min="17" max="17" width="5.875" style="1512" customWidth="1"/>
    <col min="18" max="19" width="16.25" style="1512"/>
    <col min="20" max="20" width="10.875" style="1512" customWidth="1"/>
    <col min="21" max="21" width="9" style="2176" customWidth="1"/>
    <col min="22" max="22" width="4.875" style="2176" customWidth="1"/>
    <col min="23" max="23" width="10.25" style="2176" customWidth="1"/>
    <col min="24" max="28" width="11.75" style="658" customWidth="1"/>
    <col min="29" max="30" width="11" style="1511" customWidth="1"/>
    <col min="31" max="32" width="16.25" style="1512"/>
    <col min="33" max="33" width="11.75" style="1511" customWidth="1"/>
    <col min="34" max="34" width="13.75" style="1511" customWidth="1"/>
    <col min="35" max="35" width="16.25" style="656"/>
    <col min="36" max="16384" width="16.25" style="655"/>
  </cols>
  <sheetData>
    <row r="1" spans="1:35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5" ht="12.75">
      <c r="A2" s="679" t="s">
        <v>65</v>
      </c>
      <c r="B2" s="685" t="s">
        <v>500</v>
      </c>
      <c r="C2" s="2175"/>
      <c r="D2" s="2175"/>
      <c r="E2" s="2175"/>
      <c r="F2" s="2175"/>
      <c r="G2" s="2175"/>
      <c r="Q2" s="2176"/>
      <c r="R2" s="2176"/>
    </row>
    <row r="3" spans="1:35" s="657" customFormat="1" ht="12.75">
      <c r="A3" s="684" t="s">
        <v>70</v>
      </c>
      <c r="B3" s="683" t="s">
        <v>71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177"/>
      <c r="T3" s="2177"/>
      <c r="U3" s="243"/>
      <c r="V3" s="243"/>
      <c r="W3" s="243"/>
      <c r="X3" s="658"/>
      <c r="Y3" s="658"/>
      <c r="Z3" s="658"/>
      <c r="AA3" s="658"/>
      <c r="AB3" s="658"/>
      <c r="AC3" s="1511"/>
      <c r="AD3" s="1511"/>
      <c r="AE3" s="658"/>
      <c r="AF3" s="658"/>
      <c r="AG3" s="1511"/>
      <c r="AH3" s="1511"/>
      <c r="AI3" s="682"/>
    </row>
    <row r="4" spans="1:35" ht="12.75" customHeight="1">
      <c r="A4" s="677" t="s">
        <v>498</v>
      </c>
      <c r="B4" s="681" t="s">
        <v>99</v>
      </c>
      <c r="C4" s="2178" t="s">
        <v>81</v>
      </c>
      <c r="D4" s="2179"/>
      <c r="E4" s="2179"/>
      <c r="F4" s="2180"/>
      <c r="G4" s="2180"/>
      <c r="H4" s="2180"/>
      <c r="I4" s="2180"/>
      <c r="J4" s="2180"/>
      <c r="K4" s="2180"/>
      <c r="L4" s="2180"/>
      <c r="M4" s="2180"/>
      <c r="N4" s="2180"/>
      <c r="O4" s="2179"/>
      <c r="P4" s="2180"/>
      <c r="Q4" s="2179"/>
      <c r="R4" s="2179"/>
      <c r="S4" s="2181"/>
      <c r="T4" s="2181"/>
      <c r="U4" s="2179"/>
      <c r="V4" s="2179"/>
      <c r="W4" s="2180"/>
    </row>
    <row r="5" spans="1:35" ht="12" customHeight="1">
      <c r="A5" s="677" t="s">
        <v>74</v>
      </c>
      <c r="B5" s="680">
        <v>201200568</v>
      </c>
      <c r="C5" s="2179"/>
      <c r="D5" s="2179"/>
      <c r="E5" s="2179"/>
      <c r="F5" s="2180"/>
      <c r="G5" s="2180"/>
      <c r="H5" s="2181"/>
      <c r="I5" s="2419"/>
      <c r="J5" s="2419"/>
      <c r="K5" s="2419"/>
      <c r="L5" s="2419"/>
      <c r="M5" s="2419"/>
      <c r="N5" s="2419"/>
      <c r="O5" s="2419"/>
      <c r="P5" s="2419"/>
      <c r="Q5" s="2419"/>
      <c r="R5" s="2419"/>
      <c r="S5" s="2419"/>
      <c r="T5" s="2419"/>
      <c r="U5" s="2179"/>
      <c r="V5" s="2179"/>
      <c r="W5" s="2180"/>
    </row>
    <row r="6" spans="1:35" ht="12.75">
      <c r="A6" s="677" t="s">
        <v>80</v>
      </c>
      <c r="B6" s="679" t="s">
        <v>497</v>
      </c>
      <c r="C6" s="2179"/>
      <c r="D6" s="2179"/>
      <c r="E6" s="2179"/>
      <c r="F6" s="2180"/>
      <c r="G6" s="2180"/>
      <c r="H6" s="2182"/>
      <c r="I6" s="2183"/>
      <c r="J6" s="2184"/>
      <c r="K6" s="2185"/>
      <c r="L6" s="2185"/>
      <c r="M6" s="2181"/>
      <c r="N6" s="1512"/>
      <c r="O6" s="1512"/>
      <c r="P6" s="1512"/>
      <c r="Q6" s="2181"/>
      <c r="R6" s="2179"/>
      <c r="S6" s="2181"/>
      <c r="T6" s="2181"/>
      <c r="U6" s="2179"/>
      <c r="V6" s="2179"/>
      <c r="W6" s="2180"/>
    </row>
    <row r="7" spans="1:35" ht="16.5" customHeight="1">
      <c r="A7" s="678"/>
      <c r="B7" s="678"/>
      <c r="C7" s="2179"/>
      <c r="D7" s="2179"/>
      <c r="E7" s="2179"/>
      <c r="F7" s="2180"/>
      <c r="G7" s="2180"/>
      <c r="H7" s="2182"/>
      <c r="I7" s="2183" t="s">
        <v>76</v>
      </c>
      <c r="J7" s="2186"/>
      <c r="K7" s="2185"/>
      <c r="L7" s="2187"/>
      <c r="M7" s="2181"/>
      <c r="N7" s="1512"/>
      <c r="O7" s="1512"/>
      <c r="P7" s="1512"/>
      <c r="Q7" s="2181"/>
      <c r="R7" s="2179"/>
      <c r="S7" s="2181"/>
      <c r="T7" s="2181"/>
      <c r="U7" s="2179"/>
      <c r="V7" s="2179"/>
      <c r="W7" s="2180"/>
    </row>
    <row r="8" spans="1:35" ht="16.5" customHeight="1">
      <c r="A8" s="676" t="s">
        <v>0</v>
      </c>
      <c r="B8" s="676" t="s">
        <v>1</v>
      </c>
      <c r="C8" s="2188" t="s">
        <v>2</v>
      </c>
      <c r="D8" s="2189" t="s">
        <v>3</v>
      </c>
      <c r="E8" s="2190"/>
      <c r="F8" s="2191"/>
      <c r="G8" s="2192" t="s">
        <v>4</v>
      </c>
      <c r="H8" s="2193"/>
      <c r="I8" s="2192" t="s">
        <v>5</v>
      </c>
      <c r="J8" s="2193"/>
      <c r="K8" s="2194" t="s">
        <v>6</v>
      </c>
      <c r="L8" s="2194"/>
      <c r="M8" s="2194"/>
      <c r="N8" s="2194"/>
      <c r="O8" s="2190" t="s">
        <v>7</v>
      </c>
      <c r="P8" s="2191"/>
      <c r="Q8" s="2190" t="s">
        <v>8</v>
      </c>
      <c r="R8" s="2191"/>
      <c r="S8" s="2195"/>
      <c r="T8" s="2196"/>
      <c r="U8" s="1934"/>
      <c r="V8" s="1934" t="s">
        <v>82</v>
      </c>
      <c r="W8" s="2197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417" t="s">
        <v>64</v>
      </c>
    </row>
    <row r="9" spans="1:35" ht="8.25" customHeight="1">
      <c r="A9" s="675" t="s">
        <v>9</v>
      </c>
      <c r="B9" s="673"/>
      <c r="C9" s="2198"/>
      <c r="D9" s="2199"/>
      <c r="E9" s="2200"/>
      <c r="F9" s="2201"/>
      <c r="G9" s="2202"/>
      <c r="H9" s="2203"/>
      <c r="I9" s="2202" t="s">
        <v>10</v>
      </c>
      <c r="J9" s="2202"/>
      <c r="K9" s="2204" t="s">
        <v>11</v>
      </c>
      <c r="L9" s="2204"/>
      <c r="M9" s="2204"/>
      <c r="N9" s="2204" t="s">
        <v>12</v>
      </c>
      <c r="O9" s="2200"/>
      <c r="P9" s="2201"/>
      <c r="Q9" s="2200"/>
      <c r="R9" s="2205"/>
      <c r="S9" s="2206" t="s">
        <v>13</v>
      </c>
      <c r="T9" s="2207" t="s">
        <v>14</v>
      </c>
      <c r="U9" s="2208"/>
      <c r="V9" s="2209"/>
      <c r="W9" s="2210"/>
      <c r="X9" s="2418"/>
      <c r="Y9" s="2418"/>
      <c r="Z9" s="2418"/>
      <c r="AA9" s="2418"/>
      <c r="AB9" s="2418"/>
    </row>
    <row r="10" spans="1:35" ht="8.25" customHeight="1">
      <c r="A10" s="674"/>
      <c r="B10" s="673"/>
      <c r="C10" s="2198"/>
      <c r="D10" s="2211" t="s">
        <v>15</v>
      </c>
      <c r="E10" s="2211" t="s">
        <v>16</v>
      </c>
      <c r="F10" s="2194" t="s">
        <v>17</v>
      </c>
      <c r="G10" s="2202"/>
      <c r="H10" s="2203"/>
      <c r="I10" s="2202"/>
      <c r="J10" s="2202"/>
      <c r="K10" s="2212" t="s">
        <v>18</v>
      </c>
      <c r="L10" s="2212" t="s">
        <v>17</v>
      </c>
      <c r="M10" s="2212" t="s">
        <v>19</v>
      </c>
      <c r="N10" s="2212" t="s">
        <v>20</v>
      </c>
      <c r="O10" s="2211" t="s">
        <v>16</v>
      </c>
      <c r="P10" s="2194" t="s">
        <v>17</v>
      </c>
      <c r="Q10" s="2211" t="s">
        <v>16</v>
      </c>
      <c r="R10" s="2194" t="s">
        <v>17</v>
      </c>
      <c r="S10" s="2206" t="s">
        <v>21</v>
      </c>
      <c r="T10" s="2207" t="s">
        <v>22</v>
      </c>
      <c r="U10" s="2213" t="s">
        <v>15</v>
      </c>
      <c r="V10" s="2213" t="s">
        <v>16</v>
      </c>
      <c r="W10" s="2214" t="s">
        <v>17</v>
      </c>
      <c r="X10" s="2418"/>
      <c r="Y10" s="2418"/>
      <c r="Z10" s="2418"/>
      <c r="AA10" s="2418"/>
      <c r="AB10" s="2418"/>
    </row>
    <row r="11" spans="1:35" ht="8.25" customHeight="1">
      <c r="A11" s="674"/>
      <c r="B11" s="673"/>
      <c r="C11" s="2198"/>
      <c r="D11" s="2206" t="s">
        <v>23</v>
      </c>
      <c r="E11" s="2206"/>
      <c r="F11" s="2204" t="s">
        <v>23</v>
      </c>
      <c r="G11" s="2194" t="s">
        <v>24</v>
      </c>
      <c r="H11" s="2194" t="s">
        <v>25</v>
      </c>
      <c r="I11" s="2194" t="s">
        <v>26</v>
      </c>
      <c r="J11" s="2194" t="s">
        <v>27</v>
      </c>
      <c r="K11" s="2204" t="s">
        <v>28</v>
      </c>
      <c r="L11" s="2204" t="s">
        <v>29</v>
      </c>
      <c r="M11" s="2204" t="s">
        <v>30</v>
      </c>
      <c r="N11" s="2204" t="s">
        <v>31</v>
      </c>
      <c r="O11" s="2206"/>
      <c r="P11" s="2204" t="s">
        <v>23</v>
      </c>
      <c r="Q11" s="2206"/>
      <c r="R11" s="2204" t="s">
        <v>23</v>
      </c>
      <c r="S11" s="2198"/>
      <c r="T11" s="2207" t="s">
        <v>32</v>
      </c>
      <c r="U11" s="2215" t="s">
        <v>56</v>
      </c>
      <c r="V11" s="2215"/>
      <c r="W11" s="2216" t="s">
        <v>56</v>
      </c>
      <c r="X11" s="2418"/>
      <c r="Y11" s="2418"/>
      <c r="Z11" s="2418"/>
      <c r="AA11" s="2418"/>
      <c r="AB11" s="2418"/>
    </row>
    <row r="12" spans="1:35" ht="8.25" customHeight="1">
      <c r="A12" s="674"/>
      <c r="B12" s="673"/>
      <c r="C12" s="2198"/>
      <c r="D12" s="2198"/>
      <c r="E12" s="2198"/>
      <c r="F12" s="2217"/>
      <c r="G12" s="2217"/>
      <c r="H12" s="2217"/>
      <c r="I12" s="2217"/>
      <c r="J12" s="2204" t="s">
        <v>33</v>
      </c>
      <c r="K12" s="2204" t="s">
        <v>34</v>
      </c>
      <c r="L12" s="2204"/>
      <c r="M12" s="2204"/>
      <c r="N12" s="2204"/>
      <c r="O12" s="2198"/>
      <c r="P12" s="2217"/>
      <c r="Q12" s="2198"/>
      <c r="R12" s="2217"/>
      <c r="S12" s="2218"/>
      <c r="T12" s="2219"/>
      <c r="U12" s="2220"/>
      <c r="V12" s="2220"/>
      <c r="W12" s="2221"/>
      <c r="X12" s="2418"/>
      <c r="Y12" s="2418"/>
      <c r="Z12" s="2418"/>
      <c r="AA12" s="2418"/>
      <c r="AB12" s="2418"/>
    </row>
    <row r="13" spans="1:35">
      <c r="A13" s="672"/>
      <c r="B13" s="672" t="s">
        <v>35</v>
      </c>
      <c r="C13" s="2222" t="s">
        <v>36</v>
      </c>
      <c r="D13" s="2222"/>
      <c r="E13" s="2222"/>
      <c r="F13" s="2223" t="s">
        <v>37</v>
      </c>
      <c r="G13" s="2223" t="s">
        <v>38</v>
      </c>
      <c r="H13" s="2223" t="s">
        <v>39</v>
      </c>
      <c r="I13" s="2223" t="s">
        <v>40</v>
      </c>
      <c r="J13" s="2223" t="s">
        <v>41</v>
      </c>
      <c r="K13" s="2223" t="s">
        <v>42</v>
      </c>
      <c r="L13" s="2223" t="s">
        <v>43</v>
      </c>
      <c r="M13" s="2223" t="s">
        <v>44</v>
      </c>
      <c r="N13" s="2223" t="s">
        <v>45</v>
      </c>
      <c r="O13" s="2222"/>
      <c r="P13" s="2223" t="s">
        <v>37</v>
      </c>
      <c r="Q13" s="2222" t="s">
        <v>46</v>
      </c>
      <c r="R13" s="2222"/>
      <c r="S13" s="2224" t="s">
        <v>47</v>
      </c>
      <c r="T13" s="2225" t="s">
        <v>48</v>
      </c>
      <c r="U13" s="2222"/>
      <c r="V13" s="2222"/>
      <c r="W13" s="2223" t="s">
        <v>37</v>
      </c>
      <c r="X13" s="671"/>
      <c r="Y13" s="671"/>
      <c r="Z13" s="671"/>
      <c r="AA13" s="671"/>
      <c r="AB13" s="671"/>
    </row>
    <row r="14" spans="1:35">
      <c r="A14" s="670"/>
      <c r="B14" s="669"/>
      <c r="C14" s="2206"/>
      <c r="D14" s="2206"/>
      <c r="E14" s="2206"/>
      <c r="F14" s="2206"/>
      <c r="G14" s="2204"/>
      <c r="H14" s="2204"/>
      <c r="I14" s="2206"/>
      <c r="J14" s="2206"/>
      <c r="K14" s="2206"/>
      <c r="L14" s="2206"/>
      <c r="M14" s="2206"/>
      <c r="N14" s="2206"/>
      <c r="O14" s="2206"/>
      <c r="P14" s="2206"/>
      <c r="Q14" s="2206"/>
      <c r="R14" s="2206"/>
      <c r="S14" s="2206"/>
      <c r="T14" s="2206">
        <f t="shared" ref="T14:T26" si="0">W14-L14</f>
        <v>0</v>
      </c>
      <c r="U14" s="2206"/>
      <c r="V14" s="2206"/>
      <c r="W14" s="2206"/>
      <c r="X14" s="2206"/>
      <c r="Y14" s="2206"/>
      <c r="Z14" s="2206"/>
      <c r="AA14" s="2206"/>
      <c r="AB14" s="2206"/>
    </row>
    <row r="15" spans="1:35">
      <c r="A15" s="917"/>
      <c r="B15" s="918"/>
      <c r="C15" s="668"/>
      <c r="D15" s="668"/>
      <c r="E15" s="668"/>
      <c r="F15" s="668"/>
      <c r="G15" s="921"/>
      <c r="H15" s="921"/>
      <c r="I15" s="668"/>
      <c r="J15" s="668"/>
      <c r="K15" s="668"/>
      <c r="L15" s="668"/>
      <c r="M15" s="668"/>
      <c r="N15" s="668"/>
      <c r="O15" s="668"/>
      <c r="P15" s="668"/>
      <c r="Q15" s="668"/>
      <c r="R15" s="668"/>
      <c r="S15" s="668"/>
      <c r="T15" s="668">
        <f t="shared" si="0"/>
        <v>0</v>
      </c>
      <c r="U15" s="668"/>
      <c r="V15" s="668"/>
      <c r="W15" s="668"/>
      <c r="X15" s="668"/>
      <c r="Y15" s="668"/>
      <c r="Z15" s="668"/>
      <c r="AA15" s="668"/>
      <c r="AB15" s="668"/>
    </row>
    <row r="16" spans="1:35" ht="12" customHeight="1">
      <c r="A16" s="919"/>
      <c r="B16" s="920"/>
      <c r="C16" s="668"/>
      <c r="D16" s="668"/>
      <c r="E16" s="1513"/>
      <c r="F16" s="921">
        <f t="shared" ref="F16:F22" si="1">D16*E16</f>
        <v>0</v>
      </c>
      <c r="G16" s="921"/>
      <c r="H16" s="921"/>
      <c r="I16" s="921"/>
      <c r="J16" s="921"/>
      <c r="K16" s="921"/>
      <c r="L16" s="921">
        <f>I16-J16+K16</f>
        <v>0</v>
      </c>
      <c r="M16" s="921"/>
      <c r="N16" s="921"/>
      <c r="O16" s="1513"/>
      <c r="P16" s="921">
        <v>0</v>
      </c>
      <c r="Q16" s="668"/>
      <c r="R16" s="668">
        <v>0</v>
      </c>
      <c r="S16" s="668">
        <f>P16-R16</f>
        <v>0</v>
      </c>
      <c r="T16" s="668">
        <f t="shared" si="0"/>
        <v>0</v>
      </c>
      <c r="U16" s="668"/>
      <c r="V16" s="1513"/>
      <c r="W16" s="921">
        <f>U16*V16</f>
        <v>0</v>
      </c>
      <c r="X16" s="921">
        <v>0</v>
      </c>
      <c r="Y16" s="921"/>
      <c r="Z16" s="921">
        <v>0</v>
      </c>
      <c r="AA16" s="668">
        <v>0</v>
      </c>
      <c r="AB16" s="921"/>
    </row>
    <row r="17" spans="1:34" s="655" customFormat="1" ht="22.5">
      <c r="A17" s="919">
        <v>1</v>
      </c>
      <c r="B17" s="62" t="s">
        <v>496</v>
      </c>
      <c r="C17" s="668">
        <f>380000*1.2</f>
        <v>456000</v>
      </c>
      <c r="D17" s="668">
        <f>+C17</f>
        <v>456000</v>
      </c>
      <c r="E17" s="1513">
        <v>1</v>
      </c>
      <c r="F17" s="921">
        <f t="shared" si="1"/>
        <v>456000</v>
      </c>
      <c r="G17" s="921">
        <v>540000</v>
      </c>
      <c r="H17" s="921" t="s">
        <v>96</v>
      </c>
      <c r="I17" s="921">
        <f>W17</f>
        <v>456000</v>
      </c>
      <c r="J17" s="921"/>
      <c r="K17" s="921"/>
      <c r="L17" s="921">
        <f>+I17-J17+K17</f>
        <v>456000</v>
      </c>
      <c r="M17" s="921"/>
      <c r="N17" s="921">
        <f>1.2*110000</f>
        <v>132000</v>
      </c>
      <c r="O17" s="1513">
        <v>1</v>
      </c>
      <c r="P17" s="921">
        <f>+O17*U17</f>
        <v>456000</v>
      </c>
      <c r="Q17" s="921"/>
      <c r="R17" s="668">
        <v>456000</v>
      </c>
      <c r="S17" s="668">
        <f>+P17-R17</f>
        <v>0</v>
      </c>
      <c r="T17" s="668">
        <f t="shared" si="0"/>
        <v>0</v>
      </c>
      <c r="U17" s="668">
        <v>456000</v>
      </c>
      <c r="V17" s="1513">
        <v>1</v>
      </c>
      <c r="W17" s="921">
        <f>+U17*V17</f>
        <v>456000</v>
      </c>
      <c r="X17" s="921">
        <v>456000</v>
      </c>
      <c r="Y17" s="921">
        <v>132000</v>
      </c>
      <c r="Z17" s="921">
        <v>456000</v>
      </c>
      <c r="AA17" s="668"/>
      <c r="AB17" s="921">
        <v>456000</v>
      </c>
      <c r="AC17" s="1514"/>
      <c r="AD17" s="1514"/>
      <c r="AE17" s="1514"/>
      <c r="AF17" s="1514"/>
      <c r="AG17" s="1514"/>
      <c r="AH17" s="1514"/>
    </row>
    <row r="18" spans="1:34" s="655" customFormat="1" ht="33.75">
      <c r="A18" s="913">
        <v>2</v>
      </c>
      <c r="B18" s="62" t="s">
        <v>495</v>
      </c>
      <c r="C18" s="668">
        <f>600000*1.2</f>
        <v>720000</v>
      </c>
      <c r="D18" s="668">
        <f>+C18</f>
        <v>720000</v>
      </c>
      <c r="E18" s="1513">
        <v>1</v>
      </c>
      <c r="F18" s="921">
        <f t="shared" si="1"/>
        <v>720000</v>
      </c>
      <c r="G18" s="1515"/>
      <c r="H18" s="921"/>
      <c r="I18" s="921">
        <f>F18</f>
        <v>720000</v>
      </c>
      <c r="J18" s="921"/>
      <c r="K18" s="921"/>
      <c r="L18" s="921">
        <f>+I18-J18+K18</f>
        <v>720000</v>
      </c>
      <c r="M18" s="921"/>
      <c r="N18" s="921">
        <v>198000</v>
      </c>
      <c r="O18" s="1513">
        <v>1</v>
      </c>
      <c r="P18" s="921">
        <f>+O18*U18</f>
        <v>720000</v>
      </c>
      <c r="Q18" s="921">
        <v>0</v>
      </c>
      <c r="R18" s="668">
        <v>720000</v>
      </c>
      <c r="S18" s="668">
        <f>+P18-R18</f>
        <v>0</v>
      </c>
      <c r="T18" s="668">
        <f t="shared" si="0"/>
        <v>0</v>
      </c>
      <c r="U18" s="668">
        <v>720000</v>
      </c>
      <c r="V18" s="1513">
        <v>1</v>
      </c>
      <c r="W18" s="921">
        <f>+U18*V18</f>
        <v>720000</v>
      </c>
      <c r="X18" s="921">
        <v>720000</v>
      </c>
      <c r="Y18" s="921">
        <v>198000</v>
      </c>
      <c r="Z18" s="921">
        <v>720000</v>
      </c>
      <c r="AA18" s="668"/>
      <c r="AB18" s="921">
        <v>720000</v>
      </c>
      <c r="AC18" s="1514"/>
      <c r="AD18" s="1514"/>
      <c r="AE18" s="1514"/>
      <c r="AF18" s="1514"/>
      <c r="AG18" s="1514"/>
      <c r="AH18" s="1514"/>
    </row>
    <row r="19" spans="1:34" s="655" customFormat="1" ht="33.75">
      <c r="A19" s="913">
        <v>3</v>
      </c>
      <c r="B19" s="62" t="s">
        <v>494</v>
      </c>
      <c r="C19" s="2226">
        <f>280000*1.2</f>
        <v>336000</v>
      </c>
      <c r="D19" s="668">
        <f>+C19</f>
        <v>336000</v>
      </c>
      <c r="E19" s="1513">
        <v>1</v>
      </c>
      <c r="F19" s="921">
        <f t="shared" si="1"/>
        <v>336000</v>
      </c>
      <c r="G19" s="921"/>
      <c r="H19" s="921"/>
      <c r="I19" s="921"/>
      <c r="J19" s="921"/>
      <c r="K19" s="921">
        <f>0.2*U19</f>
        <v>67200</v>
      </c>
      <c r="L19" s="921">
        <f>+I19-J19+K19</f>
        <v>67200</v>
      </c>
      <c r="M19" s="921"/>
      <c r="N19" s="921"/>
      <c r="O19" s="1513"/>
      <c r="P19" s="921"/>
      <c r="Q19" s="921"/>
      <c r="R19" s="668"/>
      <c r="S19" s="668">
        <f>+P19-R19</f>
        <v>0</v>
      </c>
      <c r="T19" s="668">
        <f t="shared" si="0"/>
        <v>268800</v>
      </c>
      <c r="U19" s="668">
        <v>336000</v>
      </c>
      <c r="V19" s="1513">
        <v>1</v>
      </c>
      <c r="W19" s="921">
        <f>+U19*V19</f>
        <v>336000</v>
      </c>
      <c r="X19" s="921"/>
      <c r="Y19" s="921"/>
      <c r="Z19" s="921"/>
      <c r="AA19" s="668"/>
      <c r="AB19" s="921">
        <v>336000</v>
      </c>
      <c r="AC19" s="1514"/>
      <c r="AD19" s="1514"/>
      <c r="AE19" s="1514"/>
      <c r="AF19" s="1514"/>
      <c r="AG19" s="1514"/>
      <c r="AH19" s="1514"/>
    </row>
    <row r="20" spans="1:34" s="655" customFormat="1" ht="45">
      <c r="A20" s="913">
        <v>4</v>
      </c>
      <c r="B20" s="62" t="s">
        <v>493</v>
      </c>
      <c r="C20" s="2226">
        <f>220000*1.2</f>
        <v>264000</v>
      </c>
      <c r="D20" s="668">
        <f>+C20</f>
        <v>264000</v>
      </c>
      <c r="E20" s="1513">
        <v>1</v>
      </c>
      <c r="F20" s="921">
        <f t="shared" si="1"/>
        <v>264000</v>
      </c>
      <c r="G20" s="921"/>
      <c r="H20" s="921"/>
      <c r="I20" s="921"/>
      <c r="J20" s="921"/>
      <c r="K20" s="921"/>
      <c r="L20" s="921">
        <f>+I20-J20+K20</f>
        <v>0</v>
      </c>
      <c r="M20" s="921"/>
      <c r="N20" s="921"/>
      <c r="O20" s="1513"/>
      <c r="P20" s="921">
        <v>0</v>
      </c>
      <c r="Q20" s="921"/>
      <c r="R20" s="668"/>
      <c r="S20" s="668">
        <f>+P20-R20</f>
        <v>0</v>
      </c>
      <c r="T20" s="668">
        <f t="shared" si="0"/>
        <v>264000</v>
      </c>
      <c r="U20" s="921">
        <v>264000</v>
      </c>
      <c r="V20" s="1513">
        <v>1</v>
      </c>
      <c r="W20" s="921">
        <f>+U20*V20</f>
        <v>264000</v>
      </c>
      <c r="X20" s="921"/>
      <c r="Y20" s="921"/>
      <c r="Z20" s="921">
        <v>0</v>
      </c>
      <c r="AA20" s="668"/>
      <c r="AB20" s="921">
        <v>264000</v>
      </c>
      <c r="AC20" s="1514"/>
      <c r="AD20" s="1514"/>
      <c r="AE20" s="1514"/>
      <c r="AF20" s="1514"/>
      <c r="AG20" s="1514"/>
      <c r="AH20" s="1514"/>
    </row>
    <row r="21" spans="1:34" s="655" customFormat="1">
      <c r="A21" s="913"/>
      <c r="B21" s="63"/>
      <c r="C21" s="668"/>
      <c r="D21" s="1516"/>
      <c r="E21" s="1513"/>
      <c r="F21" s="921">
        <f t="shared" si="1"/>
        <v>0</v>
      </c>
      <c r="G21" s="921"/>
      <c r="H21" s="921"/>
      <c r="I21" s="921"/>
      <c r="J21" s="921"/>
      <c r="K21" s="921"/>
      <c r="L21" s="921"/>
      <c r="M21" s="921"/>
      <c r="N21" s="921"/>
      <c r="O21" s="1513"/>
      <c r="P21" s="921">
        <v>0</v>
      </c>
      <c r="Q21" s="921"/>
      <c r="R21" s="668"/>
      <c r="S21" s="668">
        <f>P21-R21</f>
        <v>0</v>
      </c>
      <c r="T21" s="668">
        <f t="shared" si="0"/>
        <v>0</v>
      </c>
      <c r="U21" s="1516"/>
      <c r="V21" s="1513"/>
      <c r="W21" s="921">
        <f>U21*V21</f>
        <v>0</v>
      </c>
      <c r="X21" s="921"/>
      <c r="Y21" s="921"/>
      <c r="Z21" s="921">
        <v>0</v>
      </c>
      <c r="AA21" s="668"/>
      <c r="AB21" s="921"/>
      <c r="AC21" s="1514"/>
      <c r="AD21" s="1514"/>
      <c r="AE21" s="1514"/>
      <c r="AF21" s="1514"/>
      <c r="AG21" s="1514"/>
      <c r="AH21" s="1514"/>
    </row>
    <row r="22" spans="1:34" s="655" customFormat="1">
      <c r="A22" s="913"/>
      <c r="B22" s="63"/>
      <c r="C22" s="668"/>
      <c r="D22" s="1516"/>
      <c r="E22" s="1513"/>
      <c r="F22" s="921">
        <f t="shared" si="1"/>
        <v>0</v>
      </c>
      <c r="G22" s="1516"/>
      <c r="H22" s="1516"/>
      <c r="I22" s="1516"/>
      <c r="J22" s="1516"/>
      <c r="K22" s="1516"/>
      <c r="L22" s="921"/>
      <c r="M22" s="1516"/>
      <c r="N22" s="1516"/>
      <c r="O22" s="1513"/>
      <c r="P22" s="921">
        <v>0</v>
      </c>
      <c r="Q22" s="1516"/>
      <c r="R22" s="1516">
        <v>0</v>
      </c>
      <c r="S22" s="668">
        <f>P22-R22</f>
        <v>0</v>
      </c>
      <c r="T22" s="668">
        <f t="shared" si="0"/>
        <v>0</v>
      </c>
      <c r="U22" s="1516"/>
      <c r="V22" s="1513"/>
      <c r="W22" s="921">
        <f>U22*V22</f>
        <v>0</v>
      </c>
      <c r="X22" s="921"/>
      <c r="Y22" s="1516"/>
      <c r="Z22" s="921">
        <v>0</v>
      </c>
      <c r="AA22" s="1516">
        <v>0</v>
      </c>
      <c r="AB22" s="921"/>
      <c r="AC22" s="1514"/>
      <c r="AD22" s="1514"/>
      <c r="AE22" s="1514"/>
      <c r="AF22" s="1514"/>
      <c r="AG22" s="1514"/>
      <c r="AH22" s="1514"/>
    </row>
    <row r="23" spans="1:34" s="655" customFormat="1" ht="12.75" customHeight="1">
      <c r="A23" s="913"/>
      <c r="B23" s="667"/>
      <c r="C23" s="668"/>
      <c r="D23" s="1385">
        <f>C23</f>
        <v>0</v>
      </c>
      <c r="E23" s="1385"/>
      <c r="F23" s="1385">
        <f>E23*D23</f>
        <v>0</v>
      </c>
      <c r="G23" s="1516"/>
      <c r="H23" s="1516"/>
      <c r="I23" s="1516"/>
      <c r="J23" s="1516"/>
      <c r="K23" s="1516"/>
      <c r="L23" s="921"/>
      <c r="M23" s="1516"/>
      <c r="N23" s="1516"/>
      <c r="O23" s="1513"/>
      <c r="P23" s="921"/>
      <c r="Q23" s="1516"/>
      <c r="R23" s="1516"/>
      <c r="S23" s="668"/>
      <c r="T23" s="668">
        <f t="shared" si="0"/>
        <v>0</v>
      </c>
      <c r="U23" s="668"/>
      <c r="V23" s="1513"/>
      <c r="W23" s="921"/>
      <c r="X23" s="921"/>
      <c r="Y23" s="1516"/>
      <c r="Z23" s="921"/>
      <c r="AA23" s="1516"/>
      <c r="AB23" s="921"/>
      <c r="AC23" s="1514"/>
      <c r="AD23" s="1514"/>
      <c r="AE23" s="1514"/>
      <c r="AF23" s="1514"/>
      <c r="AG23" s="1514"/>
      <c r="AH23" s="1514"/>
    </row>
    <row r="24" spans="1:34" s="655" customFormat="1">
      <c r="A24" s="913"/>
      <c r="B24" s="916"/>
      <c r="C24" s="668"/>
      <c r="D24" s="1516"/>
      <c r="E24" s="1513"/>
      <c r="F24" s="921"/>
      <c r="G24" s="1516"/>
      <c r="H24" s="1516"/>
      <c r="I24" s="1516"/>
      <c r="J24" s="1516"/>
      <c r="K24" s="1516"/>
      <c r="L24" s="921"/>
      <c r="M24" s="1516"/>
      <c r="N24" s="1516"/>
      <c r="O24" s="1513"/>
      <c r="P24" s="921"/>
      <c r="Q24" s="1516"/>
      <c r="R24" s="1516"/>
      <c r="S24" s="668"/>
      <c r="T24" s="668">
        <f t="shared" si="0"/>
        <v>0</v>
      </c>
      <c r="U24" s="1516"/>
      <c r="V24" s="1513"/>
      <c r="W24" s="921"/>
      <c r="X24" s="921"/>
      <c r="Y24" s="1516"/>
      <c r="Z24" s="921"/>
      <c r="AA24" s="1516"/>
      <c r="AB24" s="921"/>
      <c r="AC24" s="1514"/>
      <c r="AD24" s="1514"/>
      <c r="AE24" s="1514"/>
      <c r="AF24" s="1514"/>
      <c r="AG24" s="1514"/>
      <c r="AH24" s="1514"/>
    </row>
    <row r="25" spans="1:34" s="655" customFormat="1" ht="12.75" customHeight="1">
      <c r="A25" s="913"/>
      <c r="B25" s="667"/>
      <c r="C25" s="668"/>
      <c r="D25" s="1385">
        <f>C25</f>
        <v>0</v>
      </c>
      <c r="E25" s="1385"/>
      <c r="F25" s="1385">
        <f>E25*D25</f>
        <v>0</v>
      </c>
      <c r="G25" s="1516"/>
      <c r="H25" s="1516"/>
      <c r="I25" s="1516"/>
      <c r="J25" s="1516"/>
      <c r="K25" s="1516"/>
      <c r="L25" s="921"/>
      <c r="M25" s="1516"/>
      <c r="N25" s="1516"/>
      <c r="O25" s="1516"/>
      <c r="P25" s="1516"/>
      <c r="Q25" s="1516"/>
      <c r="R25" s="1516"/>
      <c r="S25" s="668">
        <f>P25-R25</f>
        <v>0</v>
      </c>
      <c r="T25" s="668">
        <f t="shared" si="0"/>
        <v>0</v>
      </c>
      <c r="U25" s="1516"/>
      <c r="V25" s="1513"/>
      <c r="W25" s="921">
        <f>U25*V25</f>
        <v>0</v>
      </c>
      <c r="X25" s="921"/>
      <c r="Y25" s="1516"/>
      <c r="Z25" s="1516"/>
      <c r="AA25" s="1516"/>
      <c r="AB25" s="921"/>
      <c r="AC25" s="1514"/>
      <c r="AD25" s="1514"/>
      <c r="AE25" s="1514"/>
      <c r="AF25" s="1514"/>
      <c r="AG25" s="1514"/>
      <c r="AH25" s="1514"/>
    </row>
    <row r="26" spans="1:34" s="655" customFormat="1">
      <c r="A26" s="913"/>
      <c r="B26" s="667"/>
      <c r="C26" s="668"/>
      <c r="D26" s="1516"/>
      <c r="E26" s="1513"/>
      <c r="F26" s="921">
        <f>D26*E26</f>
        <v>0</v>
      </c>
      <c r="G26" s="1516"/>
      <c r="H26" s="1516"/>
      <c r="I26" s="1516"/>
      <c r="J26" s="1516"/>
      <c r="K26" s="1516"/>
      <c r="L26" s="921"/>
      <c r="M26" s="1516"/>
      <c r="N26" s="1516"/>
      <c r="O26" s="1516"/>
      <c r="P26" s="1516"/>
      <c r="Q26" s="1516"/>
      <c r="R26" s="1516"/>
      <c r="S26" s="1516"/>
      <c r="T26" s="668">
        <f t="shared" si="0"/>
        <v>0</v>
      </c>
      <c r="U26" s="1516"/>
      <c r="V26" s="1513"/>
      <c r="W26" s="921">
        <f>U26*V26</f>
        <v>0</v>
      </c>
      <c r="X26" s="921"/>
      <c r="Y26" s="1516"/>
      <c r="Z26" s="1516"/>
      <c r="AA26" s="1516"/>
      <c r="AB26" s="921"/>
      <c r="AC26" s="1514"/>
      <c r="AD26" s="1514"/>
      <c r="AE26" s="1514"/>
      <c r="AF26" s="1514"/>
      <c r="AG26" s="1514"/>
      <c r="AH26" s="1514"/>
    </row>
    <row r="27" spans="1:34" s="655" customFormat="1">
      <c r="A27" s="913"/>
      <c r="B27" s="922"/>
      <c r="C27" s="668"/>
      <c r="D27" s="1385">
        <f>+C23*0.6</f>
        <v>0</v>
      </c>
      <c r="E27" s="1385"/>
      <c r="F27" s="1385">
        <f>E27*D27</f>
        <v>0</v>
      </c>
      <c r="G27" s="1516"/>
      <c r="H27" s="1516"/>
      <c r="I27" s="1385">
        <f>+F27</f>
        <v>0</v>
      </c>
      <c r="J27" s="1385">
        <f>+I27*0.4</f>
        <v>0</v>
      </c>
      <c r="K27" s="1385"/>
      <c r="L27" s="1385">
        <f>I27-J27+K27</f>
        <v>0</v>
      </c>
      <c r="M27" s="1516"/>
      <c r="N27" s="1516"/>
      <c r="O27" s="1516"/>
      <c r="P27" s="1516"/>
      <c r="Q27" s="1516"/>
      <c r="R27" s="1516"/>
      <c r="S27" s="1516"/>
      <c r="T27" s="668"/>
      <c r="U27" s="1516"/>
      <c r="V27" s="1513"/>
      <c r="W27" s="921">
        <f>U27*V27</f>
        <v>0</v>
      </c>
      <c r="X27" s="1385">
        <v>0</v>
      </c>
      <c r="Y27" s="1516"/>
      <c r="Z27" s="1516"/>
      <c r="AA27" s="1516"/>
      <c r="AB27" s="1385"/>
      <c r="AC27" s="1514"/>
      <c r="AD27" s="1514"/>
      <c r="AE27" s="1514"/>
      <c r="AF27" s="1514"/>
      <c r="AG27" s="1514"/>
      <c r="AH27" s="1514"/>
    </row>
    <row r="28" spans="1:34" s="655" customFormat="1">
      <c r="A28" s="913"/>
      <c r="B28" s="922"/>
      <c r="C28" s="668"/>
      <c r="D28" s="1516"/>
      <c r="E28" s="1513"/>
      <c r="F28" s="921">
        <f>D28*E28</f>
        <v>0</v>
      </c>
      <c r="G28" s="1516"/>
      <c r="H28" s="1516"/>
      <c r="I28" s="1516"/>
      <c r="J28" s="1516"/>
      <c r="K28" s="1516"/>
      <c r="L28" s="921"/>
      <c r="M28" s="1516"/>
      <c r="N28" s="1516"/>
      <c r="O28" s="1516"/>
      <c r="P28" s="1516"/>
      <c r="Q28" s="1516"/>
      <c r="R28" s="1516"/>
      <c r="S28" s="1516"/>
      <c r="T28" s="668">
        <f t="shared" ref="T28:T56" si="2">W28-L28</f>
        <v>0</v>
      </c>
      <c r="U28" s="1516"/>
      <c r="V28" s="1513"/>
      <c r="W28" s="921">
        <f>U28*V28</f>
        <v>0</v>
      </c>
      <c r="X28" s="921"/>
      <c r="Y28" s="1516"/>
      <c r="Z28" s="1516"/>
      <c r="AA28" s="1516"/>
      <c r="AB28" s="921"/>
      <c r="AC28" s="1514"/>
      <c r="AD28" s="1514"/>
      <c r="AE28" s="1514"/>
      <c r="AF28" s="1514"/>
      <c r="AG28" s="1514"/>
      <c r="AH28" s="1514"/>
    </row>
    <row r="29" spans="1:34" s="655" customFormat="1">
      <c r="A29" s="913"/>
      <c r="B29" s="922"/>
      <c r="C29" s="668"/>
      <c r="D29" s="1516"/>
      <c r="E29" s="1513"/>
      <c r="F29" s="921"/>
      <c r="G29" s="1516"/>
      <c r="H29" s="1516"/>
      <c r="I29" s="1516"/>
      <c r="J29" s="1516"/>
      <c r="K29" s="1516"/>
      <c r="L29" s="921"/>
      <c r="M29" s="1516"/>
      <c r="N29" s="1516"/>
      <c r="O29" s="1516"/>
      <c r="P29" s="1516"/>
      <c r="Q29" s="1516"/>
      <c r="R29" s="1516"/>
      <c r="S29" s="1516"/>
      <c r="T29" s="668">
        <f t="shared" si="2"/>
        <v>0</v>
      </c>
      <c r="U29" s="1516"/>
      <c r="V29" s="1513"/>
      <c r="W29" s="921"/>
      <c r="X29" s="921"/>
      <c r="Y29" s="1516"/>
      <c r="Z29" s="1516"/>
      <c r="AA29" s="1516"/>
      <c r="AB29" s="921"/>
      <c r="AC29" s="1514"/>
      <c r="AD29" s="1514"/>
      <c r="AE29" s="1514"/>
      <c r="AF29" s="1514"/>
      <c r="AG29" s="1514"/>
      <c r="AH29" s="1514"/>
    </row>
    <row r="30" spans="1:34" s="655" customFormat="1">
      <c r="A30" s="913"/>
      <c r="B30" s="914"/>
      <c r="C30" s="1516"/>
      <c r="D30" s="1516"/>
      <c r="E30" s="1513"/>
      <c r="F30" s="921"/>
      <c r="G30" s="1516"/>
      <c r="H30" s="1516"/>
      <c r="I30" s="1516"/>
      <c r="J30" s="1516"/>
      <c r="K30" s="1516"/>
      <c r="L30" s="921"/>
      <c r="M30" s="1516"/>
      <c r="N30" s="1516"/>
      <c r="O30" s="1516"/>
      <c r="P30" s="1516"/>
      <c r="Q30" s="1516"/>
      <c r="R30" s="1516"/>
      <c r="S30" s="1516"/>
      <c r="T30" s="668">
        <f t="shared" si="2"/>
        <v>0</v>
      </c>
      <c r="U30" s="1516"/>
      <c r="V30" s="1513"/>
      <c r="W30" s="921"/>
      <c r="X30" s="921"/>
      <c r="Y30" s="1516"/>
      <c r="Z30" s="1516"/>
      <c r="AA30" s="1516"/>
      <c r="AB30" s="921"/>
      <c r="AC30" s="1514"/>
      <c r="AD30" s="1514"/>
      <c r="AE30" s="1514"/>
      <c r="AF30" s="1514"/>
      <c r="AG30" s="1514"/>
      <c r="AH30" s="1514"/>
    </row>
    <row r="31" spans="1:34" s="655" customFormat="1">
      <c r="A31" s="913"/>
      <c r="B31" s="914"/>
      <c r="C31" s="1516"/>
      <c r="D31" s="1516"/>
      <c r="E31" s="1513"/>
      <c r="F31" s="921"/>
      <c r="G31" s="1516"/>
      <c r="H31" s="1516"/>
      <c r="I31" s="1516"/>
      <c r="J31" s="1516"/>
      <c r="K31" s="1516"/>
      <c r="L31" s="921"/>
      <c r="M31" s="1516"/>
      <c r="N31" s="1516"/>
      <c r="O31" s="1516"/>
      <c r="P31" s="1516"/>
      <c r="Q31" s="1516"/>
      <c r="R31" s="1516"/>
      <c r="S31" s="1516"/>
      <c r="T31" s="668">
        <f t="shared" si="2"/>
        <v>0</v>
      </c>
      <c r="U31" s="1516"/>
      <c r="V31" s="1513"/>
      <c r="W31" s="921"/>
      <c r="X31" s="921"/>
      <c r="Y31" s="1516"/>
      <c r="Z31" s="1516"/>
      <c r="AA31" s="1516"/>
      <c r="AB31" s="921"/>
      <c r="AC31" s="1514"/>
      <c r="AD31" s="1514"/>
      <c r="AE31" s="1514"/>
      <c r="AF31" s="1514"/>
      <c r="AG31" s="1514"/>
      <c r="AH31" s="1514"/>
    </row>
    <row r="32" spans="1:34" s="655" customFormat="1">
      <c r="A32" s="913"/>
      <c r="B32" s="914"/>
      <c r="C32" s="1516"/>
      <c r="D32" s="1516"/>
      <c r="E32" s="1513"/>
      <c r="F32" s="921"/>
      <c r="G32" s="1516"/>
      <c r="H32" s="1516"/>
      <c r="I32" s="1516"/>
      <c r="J32" s="1516"/>
      <c r="K32" s="1516"/>
      <c r="L32" s="921"/>
      <c r="M32" s="1516"/>
      <c r="N32" s="1516"/>
      <c r="O32" s="1516"/>
      <c r="P32" s="1516"/>
      <c r="Q32" s="1516"/>
      <c r="R32" s="1516"/>
      <c r="S32" s="1516"/>
      <c r="T32" s="668">
        <f t="shared" si="2"/>
        <v>0</v>
      </c>
      <c r="U32" s="1516"/>
      <c r="V32" s="1513"/>
      <c r="W32" s="921"/>
      <c r="X32" s="921"/>
      <c r="Y32" s="1516"/>
      <c r="Z32" s="1516"/>
      <c r="AA32" s="1516"/>
      <c r="AB32" s="921"/>
      <c r="AC32" s="1514"/>
      <c r="AD32" s="1514"/>
      <c r="AE32" s="1514"/>
      <c r="AF32" s="1514"/>
      <c r="AG32" s="1514"/>
      <c r="AH32" s="1514"/>
    </row>
    <row r="33" spans="1:34" s="655" customFormat="1">
      <c r="A33" s="913"/>
      <c r="B33" s="914"/>
      <c r="C33" s="1516"/>
      <c r="D33" s="1516"/>
      <c r="E33" s="1513"/>
      <c r="F33" s="921"/>
      <c r="G33" s="1516"/>
      <c r="H33" s="1516"/>
      <c r="I33" s="1516"/>
      <c r="J33" s="1516"/>
      <c r="K33" s="1516"/>
      <c r="L33" s="921"/>
      <c r="M33" s="1516"/>
      <c r="N33" s="1516"/>
      <c r="O33" s="1516"/>
      <c r="P33" s="1516"/>
      <c r="Q33" s="1516"/>
      <c r="R33" s="1516"/>
      <c r="S33" s="1516"/>
      <c r="T33" s="668">
        <f t="shared" si="2"/>
        <v>0</v>
      </c>
      <c r="U33" s="1516"/>
      <c r="V33" s="1513"/>
      <c r="W33" s="921"/>
      <c r="X33" s="921"/>
      <c r="Y33" s="1516"/>
      <c r="Z33" s="1516"/>
      <c r="AA33" s="1516"/>
      <c r="AB33" s="921"/>
      <c r="AC33" s="1514"/>
      <c r="AD33" s="1514"/>
      <c r="AE33" s="1514"/>
      <c r="AF33" s="1514"/>
      <c r="AG33" s="1514"/>
      <c r="AH33" s="1514"/>
    </row>
    <row r="34" spans="1:34" s="655" customFormat="1">
      <c r="A34" s="913"/>
      <c r="B34" s="914"/>
      <c r="C34" s="1516"/>
      <c r="D34" s="1516"/>
      <c r="E34" s="1513"/>
      <c r="F34" s="921"/>
      <c r="G34" s="1516"/>
      <c r="H34" s="1516"/>
      <c r="I34" s="1516"/>
      <c r="J34" s="1516"/>
      <c r="K34" s="1516"/>
      <c r="L34" s="921"/>
      <c r="M34" s="1516"/>
      <c r="N34" s="1516"/>
      <c r="O34" s="1516"/>
      <c r="P34" s="1516"/>
      <c r="Q34" s="1516"/>
      <c r="R34" s="1516"/>
      <c r="S34" s="1516"/>
      <c r="T34" s="668">
        <f t="shared" si="2"/>
        <v>0</v>
      </c>
      <c r="U34" s="1516"/>
      <c r="V34" s="1513"/>
      <c r="W34" s="921"/>
      <c r="X34" s="921"/>
      <c r="Y34" s="1516"/>
      <c r="Z34" s="1516"/>
      <c r="AA34" s="1516"/>
      <c r="AB34" s="921"/>
      <c r="AC34" s="1514"/>
      <c r="AD34" s="1514"/>
      <c r="AE34" s="1514"/>
      <c r="AF34" s="1514"/>
      <c r="AG34" s="1514"/>
      <c r="AH34" s="1514"/>
    </row>
    <row r="35" spans="1:34" s="655" customFormat="1">
      <c r="A35" s="913"/>
      <c r="B35" s="914"/>
      <c r="C35" s="1516"/>
      <c r="D35" s="1516"/>
      <c r="E35" s="1513"/>
      <c r="F35" s="921"/>
      <c r="G35" s="1516"/>
      <c r="H35" s="1516"/>
      <c r="I35" s="1516"/>
      <c r="J35" s="1516"/>
      <c r="K35" s="1516"/>
      <c r="L35" s="921"/>
      <c r="M35" s="1516"/>
      <c r="N35" s="1516"/>
      <c r="O35" s="1516"/>
      <c r="P35" s="1516"/>
      <c r="Q35" s="1516"/>
      <c r="R35" s="1516"/>
      <c r="S35" s="1516"/>
      <c r="T35" s="668">
        <f t="shared" si="2"/>
        <v>0</v>
      </c>
      <c r="U35" s="1516"/>
      <c r="V35" s="1513"/>
      <c r="W35" s="921"/>
      <c r="X35" s="921"/>
      <c r="Y35" s="1516"/>
      <c r="Z35" s="1516"/>
      <c r="AA35" s="1516"/>
      <c r="AB35" s="921"/>
      <c r="AC35" s="1514"/>
      <c r="AD35" s="1514"/>
      <c r="AE35" s="1514"/>
      <c r="AF35" s="1514"/>
      <c r="AG35" s="1514"/>
      <c r="AH35" s="1514"/>
    </row>
    <row r="36" spans="1:34" s="655" customFormat="1">
      <c r="A36" s="913"/>
      <c r="B36" s="914"/>
      <c r="C36" s="1516"/>
      <c r="D36" s="1516"/>
      <c r="E36" s="1513"/>
      <c r="F36" s="921"/>
      <c r="G36" s="1516"/>
      <c r="H36" s="1516"/>
      <c r="I36" s="1516"/>
      <c r="J36" s="1516"/>
      <c r="K36" s="1516"/>
      <c r="L36" s="921"/>
      <c r="M36" s="1516"/>
      <c r="N36" s="1516"/>
      <c r="O36" s="1516"/>
      <c r="P36" s="1516"/>
      <c r="Q36" s="1516"/>
      <c r="R36" s="1516"/>
      <c r="S36" s="1516"/>
      <c r="T36" s="668">
        <f t="shared" si="2"/>
        <v>0</v>
      </c>
      <c r="U36" s="1516"/>
      <c r="V36" s="1513"/>
      <c r="W36" s="921"/>
      <c r="X36" s="921"/>
      <c r="Y36" s="1516"/>
      <c r="Z36" s="1516"/>
      <c r="AA36" s="1516"/>
      <c r="AB36" s="921"/>
      <c r="AC36" s="1514"/>
      <c r="AD36" s="1514"/>
      <c r="AE36" s="1514"/>
      <c r="AF36" s="1514"/>
      <c r="AG36" s="1514"/>
      <c r="AH36" s="1514"/>
    </row>
    <row r="37" spans="1:34" s="655" customFormat="1">
      <c r="A37" s="913"/>
      <c r="B37" s="914"/>
      <c r="C37" s="1516"/>
      <c r="D37" s="1516"/>
      <c r="E37" s="1513"/>
      <c r="F37" s="921"/>
      <c r="G37" s="1516"/>
      <c r="H37" s="1516"/>
      <c r="I37" s="1516"/>
      <c r="J37" s="1516"/>
      <c r="K37" s="1516"/>
      <c r="L37" s="921"/>
      <c r="M37" s="1516"/>
      <c r="N37" s="1516"/>
      <c r="O37" s="1516"/>
      <c r="P37" s="1516"/>
      <c r="Q37" s="1516"/>
      <c r="R37" s="1516"/>
      <c r="S37" s="1516"/>
      <c r="T37" s="668">
        <f t="shared" si="2"/>
        <v>0</v>
      </c>
      <c r="U37" s="1516"/>
      <c r="V37" s="1513"/>
      <c r="W37" s="921"/>
      <c r="X37" s="921"/>
      <c r="Y37" s="1516"/>
      <c r="Z37" s="1516"/>
      <c r="AA37" s="1516"/>
      <c r="AB37" s="921"/>
      <c r="AC37" s="1514"/>
      <c r="AD37" s="1514"/>
      <c r="AE37" s="1514"/>
      <c r="AF37" s="1514"/>
      <c r="AG37" s="1514"/>
      <c r="AH37" s="1514"/>
    </row>
    <row r="38" spans="1:34" s="655" customFormat="1">
      <c r="A38" s="913"/>
      <c r="B38" s="914"/>
      <c r="C38" s="1516"/>
      <c r="D38" s="1516"/>
      <c r="E38" s="1513"/>
      <c r="F38" s="921"/>
      <c r="G38" s="1516"/>
      <c r="H38" s="1516"/>
      <c r="I38" s="1516"/>
      <c r="J38" s="1516"/>
      <c r="K38" s="1516"/>
      <c r="L38" s="921"/>
      <c r="M38" s="1516"/>
      <c r="N38" s="1516"/>
      <c r="O38" s="1516"/>
      <c r="P38" s="1516"/>
      <c r="Q38" s="1516"/>
      <c r="R38" s="1516"/>
      <c r="S38" s="1516"/>
      <c r="T38" s="668">
        <f t="shared" si="2"/>
        <v>0</v>
      </c>
      <c r="U38" s="1516"/>
      <c r="V38" s="1513"/>
      <c r="W38" s="921"/>
      <c r="X38" s="921"/>
      <c r="Y38" s="1516"/>
      <c r="Z38" s="1516"/>
      <c r="AA38" s="1516"/>
      <c r="AB38" s="921"/>
      <c r="AC38" s="1514"/>
      <c r="AD38" s="1514"/>
      <c r="AE38" s="1514"/>
      <c r="AF38" s="1514"/>
      <c r="AG38" s="1514"/>
      <c r="AH38" s="1514"/>
    </row>
    <row r="39" spans="1:34" s="655" customFormat="1">
      <c r="A39" s="913"/>
      <c r="B39" s="914"/>
      <c r="C39" s="1516"/>
      <c r="D39" s="1516"/>
      <c r="E39" s="1513"/>
      <c r="F39" s="921"/>
      <c r="G39" s="1516"/>
      <c r="H39" s="1516"/>
      <c r="I39" s="1516"/>
      <c r="J39" s="1516"/>
      <c r="K39" s="1516"/>
      <c r="L39" s="921"/>
      <c r="M39" s="1516"/>
      <c r="N39" s="1516"/>
      <c r="O39" s="1516"/>
      <c r="P39" s="1516"/>
      <c r="Q39" s="1516"/>
      <c r="R39" s="1516"/>
      <c r="S39" s="1516"/>
      <c r="T39" s="668">
        <f t="shared" si="2"/>
        <v>0</v>
      </c>
      <c r="U39" s="1516"/>
      <c r="V39" s="1513"/>
      <c r="W39" s="921"/>
      <c r="X39" s="921"/>
      <c r="Y39" s="1516"/>
      <c r="Z39" s="1516"/>
      <c r="AA39" s="1516"/>
      <c r="AB39" s="921"/>
      <c r="AC39" s="1514"/>
      <c r="AD39" s="1514"/>
      <c r="AE39" s="1514"/>
      <c r="AF39" s="1514"/>
      <c r="AG39" s="1514"/>
      <c r="AH39" s="1514"/>
    </row>
    <row r="40" spans="1:34" s="655" customFormat="1">
      <c r="A40" s="913"/>
      <c r="B40" s="914"/>
      <c r="C40" s="1516"/>
      <c r="D40" s="1516"/>
      <c r="E40" s="1513"/>
      <c r="F40" s="921"/>
      <c r="G40" s="1516"/>
      <c r="H40" s="1516"/>
      <c r="I40" s="1516"/>
      <c r="J40" s="1516"/>
      <c r="K40" s="1516"/>
      <c r="L40" s="921"/>
      <c r="M40" s="1516"/>
      <c r="N40" s="1516"/>
      <c r="O40" s="1516"/>
      <c r="P40" s="1516"/>
      <c r="Q40" s="1516"/>
      <c r="R40" s="1516"/>
      <c r="S40" s="1516"/>
      <c r="T40" s="668">
        <f t="shared" si="2"/>
        <v>0</v>
      </c>
      <c r="U40" s="1516"/>
      <c r="V40" s="1513"/>
      <c r="W40" s="921"/>
      <c r="X40" s="921"/>
      <c r="Y40" s="1516"/>
      <c r="Z40" s="1516"/>
      <c r="AA40" s="1516"/>
      <c r="AB40" s="921"/>
      <c r="AC40" s="1514"/>
      <c r="AD40" s="1514"/>
      <c r="AE40" s="1514"/>
      <c r="AF40" s="1514"/>
      <c r="AG40" s="1514"/>
      <c r="AH40" s="1514"/>
    </row>
    <row r="41" spans="1:34" s="655" customFormat="1">
      <c r="A41" s="913"/>
      <c r="B41" s="914"/>
      <c r="C41" s="1516"/>
      <c r="D41" s="1516"/>
      <c r="E41" s="1513"/>
      <c r="F41" s="921"/>
      <c r="G41" s="1516"/>
      <c r="H41" s="1516"/>
      <c r="I41" s="1516"/>
      <c r="J41" s="1516"/>
      <c r="K41" s="1516"/>
      <c r="L41" s="921"/>
      <c r="M41" s="1516"/>
      <c r="N41" s="1516"/>
      <c r="O41" s="1516"/>
      <c r="P41" s="1516"/>
      <c r="Q41" s="1516"/>
      <c r="R41" s="1516"/>
      <c r="S41" s="1516"/>
      <c r="T41" s="668">
        <f t="shared" si="2"/>
        <v>0</v>
      </c>
      <c r="U41" s="1516"/>
      <c r="V41" s="1513"/>
      <c r="W41" s="921"/>
      <c r="X41" s="921"/>
      <c r="Y41" s="1516"/>
      <c r="Z41" s="1516"/>
      <c r="AA41" s="1516"/>
      <c r="AB41" s="921"/>
      <c r="AC41" s="1514"/>
      <c r="AD41" s="1514"/>
      <c r="AE41" s="1514"/>
      <c r="AF41" s="1514"/>
      <c r="AG41" s="1514"/>
      <c r="AH41" s="1514"/>
    </row>
    <row r="42" spans="1:34" s="655" customFormat="1">
      <c r="A42" s="913"/>
      <c r="B42" s="914"/>
      <c r="C42" s="1516"/>
      <c r="D42" s="1516"/>
      <c r="E42" s="1513"/>
      <c r="F42" s="921"/>
      <c r="G42" s="1516"/>
      <c r="H42" s="1516"/>
      <c r="I42" s="1516"/>
      <c r="J42" s="1516"/>
      <c r="K42" s="1516"/>
      <c r="L42" s="921"/>
      <c r="M42" s="1516"/>
      <c r="N42" s="1516"/>
      <c r="O42" s="1516"/>
      <c r="P42" s="1516"/>
      <c r="Q42" s="1516"/>
      <c r="R42" s="1516"/>
      <c r="S42" s="1516"/>
      <c r="T42" s="668">
        <f t="shared" si="2"/>
        <v>0</v>
      </c>
      <c r="U42" s="1516"/>
      <c r="V42" s="1513"/>
      <c r="W42" s="921"/>
      <c r="X42" s="921"/>
      <c r="Y42" s="1516"/>
      <c r="Z42" s="1516"/>
      <c r="AA42" s="1516"/>
      <c r="AB42" s="921"/>
      <c r="AC42" s="1514"/>
      <c r="AD42" s="1514"/>
      <c r="AE42" s="1514"/>
      <c r="AF42" s="1514"/>
      <c r="AG42" s="1514"/>
      <c r="AH42" s="1514"/>
    </row>
    <row r="43" spans="1:34" s="655" customFormat="1">
      <c r="A43" s="913"/>
      <c r="B43" s="914"/>
      <c r="C43" s="1516"/>
      <c r="D43" s="1516"/>
      <c r="E43" s="1513"/>
      <c r="F43" s="921"/>
      <c r="G43" s="1516"/>
      <c r="H43" s="1516"/>
      <c r="I43" s="1516"/>
      <c r="J43" s="1516"/>
      <c r="K43" s="1516"/>
      <c r="L43" s="921"/>
      <c r="M43" s="1516"/>
      <c r="N43" s="1516"/>
      <c r="O43" s="1516"/>
      <c r="P43" s="1516"/>
      <c r="Q43" s="1516"/>
      <c r="R43" s="1516"/>
      <c r="S43" s="1516"/>
      <c r="T43" s="668">
        <f t="shared" si="2"/>
        <v>0</v>
      </c>
      <c r="U43" s="1516"/>
      <c r="V43" s="1513"/>
      <c r="W43" s="921"/>
      <c r="X43" s="921"/>
      <c r="Y43" s="1516"/>
      <c r="Z43" s="1516"/>
      <c r="AA43" s="1516"/>
      <c r="AB43" s="921"/>
      <c r="AC43" s="1514"/>
      <c r="AD43" s="1514"/>
      <c r="AE43" s="1514"/>
      <c r="AF43" s="1514"/>
      <c r="AG43" s="1514"/>
      <c r="AH43" s="1514"/>
    </row>
    <row r="44" spans="1:34" s="655" customFormat="1">
      <c r="A44" s="913"/>
      <c r="B44" s="914"/>
      <c r="C44" s="1516"/>
      <c r="D44" s="1516"/>
      <c r="E44" s="1513"/>
      <c r="F44" s="921"/>
      <c r="G44" s="1516"/>
      <c r="H44" s="1516"/>
      <c r="I44" s="1516"/>
      <c r="J44" s="1516"/>
      <c r="K44" s="1516"/>
      <c r="L44" s="921"/>
      <c r="M44" s="1516"/>
      <c r="N44" s="1516"/>
      <c r="O44" s="1516"/>
      <c r="P44" s="1516"/>
      <c r="Q44" s="1516"/>
      <c r="R44" s="1516"/>
      <c r="S44" s="1516"/>
      <c r="T44" s="668">
        <f t="shared" si="2"/>
        <v>0</v>
      </c>
      <c r="U44" s="1516"/>
      <c r="V44" s="1513"/>
      <c r="W44" s="921"/>
      <c r="X44" s="921"/>
      <c r="Y44" s="1516"/>
      <c r="Z44" s="1516"/>
      <c r="AA44" s="1516"/>
      <c r="AB44" s="921"/>
      <c r="AC44" s="1514"/>
      <c r="AD44" s="1514"/>
      <c r="AE44" s="1514"/>
      <c r="AF44" s="1514"/>
      <c r="AG44" s="1514"/>
      <c r="AH44" s="1514"/>
    </row>
    <row r="45" spans="1:34" s="655" customFormat="1">
      <c r="A45" s="913"/>
      <c r="B45" s="920"/>
      <c r="C45" s="1516"/>
      <c r="D45" s="1516"/>
      <c r="E45" s="1513"/>
      <c r="F45" s="1516"/>
      <c r="G45" s="1516"/>
      <c r="H45" s="1516"/>
      <c r="I45" s="1516"/>
      <c r="J45" s="1516"/>
      <c r="K45" s="1516"/>
      <c r="L45" s="1516"/>
      <c r="M45" s="1516"/>
      <c r="N45" s="1516"/>
      <c r="O45" s="1516"/>
      <c r="P45" s="1516">
        <v>0</v>
      </c>
      <c r="Q45" s="1516"/>
      <c r="R45" s="1516">
        <v>0</v>
      </c>
      <c r="S45" s="1516">
        <f>R45-P45</f>
        <v>0</v>
      </c>
      <c r="T45" s="668">
        <f t="shared" si="2"/>
        <v>0</v>
      </c>
      <c r="U45" s="1516"/>
      <c r="V45" s="1513"/>
      <c r="W45" s="1516"/>
      <c r="X45" s="1516"/>
      <c r="Y45" s="1516"/>
      <c r="Z45" s="1516">
        <v>0</v>
      </c>
      <c r="AA45" s="1516">
        <v>0</v>
      </c>
      <c r="AB45" s="1516"/>
      <c r="AC45" s="1514"/>
      <c r="AD45" s="1514"/>
      <c r="AE45" s="1514"/>
      <c r="AF45" s="1514"/>
      <c r="AG45" s="1514"/>
      <c r="AH45" s="1514"/>
    </row>
    <row r="46" spans="1:34" s="655" customFormat="1">
      <c r="A46" s="913"/>
      <c r="B46" s="920"/>
      <c r="C46" s="1516"/>
      <c r="D46" s="1516"/>
      <c r="E46" s="1513"/>
      <c r="F46" s="1516"/>
      <c r="G46" s="1516"/>
      <c r="H46" s="1516"/>
      <c r="I46" s="1516"/>
      <c r="J46" s="1516"/>
      <c r="K46" s="1516"/>
      <c r="L46" s="1516"/>
      <c r="M46" s="1516"/>
      <c r="N46" s="1516"/>
      <c r="O46" s="1516"/>
      <c r="P46" s="1516">
        <v>0</v>
      </c>
      <c r="Q46" s="1516"/>
      <c r="R46" s="1516">
        <v>0</v>
      </c>
      <c r="S46" s="1516">
        <f>R46-P46</f>
        <v>0</v>
      </c>
      <c r="T46" s="668">
        <f t="shared" si="2"/>
        <v>0</v>
      </c>
      <c r="U46" s="1516"/>
      <c r="V46" s="1513"/>
      <c r="W46" s="1516"/>
      <c r="X46" s="1516"/>
      <c r="Y46" s="1516"/>
      <c r="Z46" s="1516">
        <v>0</v>
      </c>
      <c r="AA46" s="1516">
        <v>0</v>
      </c>
      <c r="AB46" s="1516"/>
      <c r="AC46" s="1514"/>
      <c r="AD46" s="1514"/>
      <c r="AE46" s="1514"/>
      <c r="AF46" s="1514"/>
      <c r="AG46" s="1514"/>
      <c r="AH46" s="1514"/>
    </row>
    <row r="47" spans="1:34" s="655" customFormat="1">
      <c r="A47" s="915"/>
      <c r="B47" s="914"/>
      <c r="C47" s="1516"/>
      <c r="D47" s="1516"/>
      <c r="E47" s="1513"/>
      <c r="F47" s="1516"/>
      <c r="G47" s="1516"/>
      <c r="H47" s="1516"/>
      <c r="I47" s="1516"/>
      <c r="J47" s="1516"/>
      <c r="K47" s="1516"/>
      <c r="L47" s="1516"/>
      <c r="M47" s="1516"/>
      <c r="N47" s="1516"/>
      <c r="O47" s="1516"/>
      <c r="P47" s="1516"/>
      <c r="Q47" s="1516"/>
      <c r="R47" s="1516"/>
      <c r="S47" s="1516"/>
      <c r="T47" s="668">
        <f t="shared" si="2"/>
        <v>0</v>
      </c>
      <c r="U47" s="1516"/>
      <c r="V47" s="1513"/>
      <c r="W47" s="1516"/>
      <c r="X47" s="1516"/>
      <c r="Y47" s="1516"/>
      <c r="Z47" s="1516"/>
      <c r="AA47" s="1516"/>
      <c r="AB47" s="1516"/>
      <c r="AC47" s="1514"/>
      <c r="AD47" s="1514"/>
      <c r="AE47" s="1514"/>
      <c r="AF47" s="1514"/>
      <c r="AG47" s="1514"/>
      <c r="AH47" s="1514"/>
    </row>
    <row r="48" spans="1:34" s="655" customFormat="1">
      <c r="A48" s="915"/>
      <c r="B48" s="914"/>
      <c r="C48" s="1516"/>
      <c r="D48" s="1516"/>
      <c r="E48" s="1513"/>
      <c r="F48" s="1516"/>
      <c r="G48" s="1516"/>
      <c r="H48" s="1516"/>
      <c r="I48" s="1516"/>
      <c r="J48" s="1516"/>
      <c r="K48" s="1516"/>
      <c r="L48" s="1516"/>
      <c r="M48" s="1516"/>
      <c r="N48" s="1516"/>
      <c r="O48" s="1516"/>
      <c r="P48" s="1516"/>
      <c r="Q48" s="1516"/>
      <c r="R48" s="1516"/>
      <c r="S48" s="1516"/>
      <c r="T48" s="668">
        <f t="shared" si="2"/>
        <v>0</v>
      </c>
      <c r="U48" s="1516"/>
      <c r="V48" s="1513"/>
      <c r="W48" s="1516"/>
      <c r="X48" s="1516"/>
      <c r="Y48" s="1516"/>
      <c r="Z48" s="1516"/>
      <c r="AA48" s="1516"/>
      <c r="AB48" s="1516"/>
      <c r="AC48" s="1514"/>
      <c r="AD48" s="1514"/>
      <c r="AE48" s="1514"/>
      <c r="AF48" s="1514"/>
      <c r="AG48" s="1514"/>
      <c r="AH48" s="1514"/>
    </row>
    <row r="49" spans="1:35">
      <c r="A49" s="915"/>
      <c r="B49" s="914" t="s">
        <v>768</v>
      </c>
      <c r="C49" s="1516"/>
      <c r="D49" s="1516"/>
      <c r="E49" s="1513"/>
      <c r="F49" s="1516"/>
      <c r="G49" s="1516"/>
      <c r="H49" s="1516"/>
      <c r="I49" s="1516"/>
      <c r="J49" s="1516"/>
      <c r="K49" s="1516"/>
      <c r="L49" s="1516"/>
      <c r="M49" s="1516"/>
      <c r="N49" s="1516"/>
      <c r="O49" s="1516"/>
      <c r="P49" s="1516"/>
      <c r="Q49" s="1516"/>
      <c r="R49" s="1516">
        <v>247698</v>
      </c>
      <c r="S49" s="1516"/>
      <c r="T49" s="668">
        <f t="shared" si="2"/>
        <v>0</v>
      </c>
      <c r="U49" s="1516"/>
      <c r="V49" s="1513"/>
      <c r="W49" s="1516"/>
      <c r="X49" s="1516"/>
      <c r="Y49" s="1516"/>
      <c r="Z49" s="1516"/>
      <c r="AA49" s="1516"/>
      <c r="AB49" s="1516"/>
      <c r="AC49" s="1514"/>
      <c r="AD49" s="1514"/>
      <c r="AE49" s="1514"/>
      <c r="AF49" s="1514"/>
      <c r="AG49" s="1514"/>
      <c r="AH49" s="1514"/>
      <c r="AI49" s="655"/>
    </row>
    <row r="50" spans="1:35">
      <c r="A50" s="913"/>
      <c r="B50" s="920"/>
      <c r="C50" s="1516"/>
      <c r="D50" s="1516"/>
      <c r="E50" s="1513"/>
      <c r="F50" s="1516"/>
      <c r="G50" s="1516"/>
      <c r="H50" s="1516"/>
      <c r="I50" s="1516"/>
      <c r="J50" s="1516"/>
      <c r="K50" s="1516"/>
      <c r="L50" s="1516"/>
      <c r="M50" s="1516"/>
      <c r="N50" s="1516"/>
      <c r="O50" s="1516"/>
      <c r="P50" s="1516"/>
      <c r="Q50" s="1516"/>
      <c r="R50" s="1516"/>
      <c r="S50" s="1516"/>
      <c r="T50" s="668">
        <f t="shared" si="2"/>
        <v>0</v>
      </c>
      <c r="U50" s="1516"/>
      <c r="V50" s="1513"/>
      <c r="W50" s="1516"/>
      <c r="X50" s="1516"/>
      <c r="Y50" s="1516"/>
      <c r="Z50" s="1516"/>
      <c r="AA50" s="1516"/>
      <c r="AB50" s="1516"/>
      <c r="AC50" s="1514"/>
      <c r="AD50" s="1514"/>
      <c r="AE50" s="1514"/>
      <c r="AF50" s="1514"/>
      <c r="AG50" s="1514"/>
      <c r="AH50" s="1514"/>
      <c r="AI50" s="655"/>
    </row>
    <row r="51" spans="1:35">
      <c r="A51" s="915"/>
      <c r="B51" s="920"/>
      <c r="C51" s="1516"/>
      <c r="D51" s="1516"/>
      <c r="E51" s="1513"/>
      <c r="F51" s="1516"/>
      <c r="G51" s="1516"/>
      <c r="H51" s="1516"/>
      <c r="I51" s="1516"/>
      <c r="J51" s="1516"/>
      <c r="K51" s="1516"/>
      <c r="L51" s="1516"/>
      <c r="M51" s="1516"/>
      <c r="N51" s="1516"/>
      <c r="O51" s="1516"/>
      <c r="P51" s="1516"/>
      <c r="Q51" s="1516"/>
      <c r="R51" s="1516"/>
      <c r="S51" s="1516"/>
      <c r="T51" s="668">
        <f t="shared" si="2"/>
        <v>0</v>
      </c>
      <c r="U51" s="1516"/>
      <c r="V51" s="1513"/>
      <c r="W51" s="1516"/>
      <c r="X51" s="1516"/>
      <c r="Y51" s="1516"/>
      <c r="Z51" s="1516"/>
      <c r="AA51" s="1516"/>
      <c r="AB51" s="1516"/>
      <c r="AC51" s="1514"/>
      <c r="AD51" s="1514"/>
      <c r="AE51" s="1514"/>
      <c r="AF51" s="1514"/>
      <c r="AG51" s="1514"/>
      <c r="AH51" s="1514"/>
      <c r="AI51" s="655"/>
    </row>
    <row r="52" spans="1:35">
      <c r="A52" s="913"/>
      <c r="B52" s="914"/>
      <c r="C52" s="1516"/>
      <c r="D52" s="1516"/>
      <c r="E52" s="1516"/>
      <c r="F52" s="1516"/>
      <c r="G52" s="1516"/>
      <c r="H52" s="1516"/>
      <c r="I52" s="1516"/>
      <c r="J52" s="1516"/>
      <c r="K52" s="1516"/>
      <c r="L52" s="1516"/>
      <c r="M52" s="1516"/>
      <c r="N52" s="1516"/>
      <c r="O52" s="1516"/>
      <c r="P52" s="1516"/>
      <c r="Q52" s="1516"/>
      <c r="R52" s="1516"/>
      <c r="S52" s="1516"/>
      <c r="T52" s="668">
        <f t="shared" si="2"/>
        <v>0</v>
      </c>
      <c r="U52" s="1516"/>
      <c r="V52" s="1516"/>
      <c r="W52" s="1516"/>
      <c r="X52" s="1516"/>
      <c r="Y52" s="1516"/>
      <c r="Z52" s="1516"/>
      <c r="AA52" s="1516"/>
      <c r="AB52" s="1516"/>
      <c r="AC52" s="1514"/>
      <c r="AD52" s="1514"/>
      <c r="AE52" s="1514"/>
      <c r="AF52" s="1514"/>
      <c r="AG52" s="1514"/>
      <c r="AH52" s="1514"/>
      <c r="AI52" s="655"/>
    </row>
    <row r="53" spans="1:35">
      <c r="A53" s="913"/>
      <c r="B53" s="914"/>
      <c r="C53" s="1516"/>
      <c r="D53" s="1516"/>
      <c r="E53" s="1513"/>
      <c r="F53" s="1516"/>
      <c r="G53" s="1516"/>
      <c r="H53" s="1516"/>
      <c r="I53" s="1516"/>
      <c r="J53" s="1516"/>
      <c r="K53" s="1516"/>
      <c r="L53" s="1516"/>
      <c r="M53" s="1516"/>
      <c r="N53" s="1516"/>
      <c r="O53" s="1516"/>
      <c r="P53" s="1516"/>
      <c r="Q53" s="1516"/>
      <c r="R53" s="1516"/>
      <c r="S53" s="1516"/>
      <c r="T53" s="668">
        <f t="shared" si="2"/>
        <v>0</v>
      </c>
      <c r="U53" s="1516"/>
      <c r="V53" s="1513"/>
      <c r="W53" s="1516"/>
      <c r="X53" s="1516"/>
      <c r="Y53" s="1516"/>
      <c r="Z53" s="1516"/>
      <c r="AA53" s="1516"/>
      <c r="AB53" s="1516"/>
      <c r="AC53" s="1514"/>
      <c r="AD53" s="1514"/>
      <c r="AE53" s="1514"/>
      <c r="AF53" s="1514"/>
      <c r="AG53" s="1514"/>
      <c r="AH53" s="1514"/>
      <c r="AI53" s="655"/>
    </row>
    <row r="54" spans="1:35">
      <c r="A54" s="913"/>
      <c r="B54" s="920"/>
      <c r="C54" s="1516"/>
      <c r="D54" s="921"/>
      <c r="E54" s="1513"/>
      <c r="F54" s="1516"/>
      <c r="G54" s="921"/>
      <c r="H54" s="921"/>
      <c r="I54" s="921"/>
      <c r="J54" s="921"/>
      <c r="K54" s="921"/>
      <c r="L54" s="921"/>
      <c r="M54" s="921"/>
      <c r="N54" s="921"/>
      <c r="O54" s="921"/>
      <c r="P54" s="1516"/>
      <c r="Q54" s="921"/>
      <c r="R54" s="1516"/>
      <c r="S54" s="1516"/>
      <c r="T54" s="668">
        <f t="shared" si="2"/>
        <v>0</v>
      </c>
      <c r="U54" s="921"/>
      <c r="V54" s="1513"/>
      <c r="W54" s="1516"/>
      <c r="X54" s="921"/>
      <c r="Y54" s="921"/>
      <c r="Z54" s="1516"/>
      <c r="AA54" s="1516"/>
      <c r="AB54" s="921"/>
      <c r="AC54" s="1514"/>
      <c r="AD54" s="1514"/>
      <c r="AE54" s="1514"/>
      <c r="AF54" s="1514"/>
      <c r="AG54" s="1514"/>
      <c r="AH54" s="1514"/>
      <c r="AI54" s="655"/>
    </row>
    <row r="55" spans="1:35">
      <c r="A55" s="915"/>
      <c r="B55" s="916"/>
      <c r="C55" s="1516"/>
      <c r="D55" s="921"/>
      <c r="E55" s="921"/>
      <c r="F55" s="1516"/>
      <c r="G55" s="921"/>
      <c r="H55" s="921"/>
      <c r="I55" s="921"/>
      <c r="J55" s="921"/>
      <c r="K55" s="921"/>
      <c r="L55" s="921"/>
      <c r="M55" s="921"/>
      <c r="N55" s="921"/>
      <c r="O55" s="921"/>
      <c r="P55" s="1516"/>
      <c r="Q55" s="921"/>
      <c r="R55" s="1516"/>
      <c r="S55" s="1516"/>
      <c r="T55" s="668">
        <f t="shared" si="2"/>
        <v>0</v>
      </c>
      <c r="U55" s="921"/>
      <c r="V55" s="921"/>
      <c r="W55" s="1516"/>
      <c r="X55" s="921"/>
      <c r="Y55" s="921"/>
      <c r="Z55" s="1516"/>
      <c r="AA55" s="1516"/>
      <c r="AB55" s="921"/>
      <c r="AC55" s="1514"/>
      <c r="AD55" s="1514"/>
      <c r="AE55" s="1514"/>
      <c r="AF55" s="1514"/>
      <c r="AG55" s="1514"/>
      <c r="AH55" s="1514"/>
      <c r="AI55" s="655"/>
    </row>
    <row r="56" spans="1:35">
      <c r="A56" s="666"/>
      <c r="B56" s="665"/>
      <c r="C56" s="1516"/>
      <c r="D56" s="921"/>
      <c r="E56" s="921"/>
      <c r="F56" s="1516"/>
      <c r="G56" s="921"/>
      <c r="H56" s="921"/>
      <c r="I56" s="921"/>
      <c r="J56" s="921"/>
      <c r="K56" s="921"/>
      <c r="L56" s="921">
        <f>I56-J56+K56</f>
        <v>0</v>
      </c>
      <c r="M56" s="921"/>
      <c r="N56" s="921"/>
      <c r="O56" s="921"/>
      <c r="P56" s="921">
        <v>0</v>
      </c>
      <c r="Q56" s="921"/>
      <c r="R56" s="668">
        <v>0</v>
      </c>
      <c r="S56" s="668"/>
      <c r="T56" s="668">
        <f t="shared" si="2"/>
        <v>0</v>
      </c>
      <c r="U56" s="921"/>
      <c r="V56" s="921"/>
      <c r="W56" s="1516"/>
      <c r="X56" s="921">
        <v>0</v>
      </c>
      <c r="Y56" s="921"/>
      <c r="Z56" s="921">
        <v>0</v>
      </c>
      <c r="AA56" s="668">
        <v>0</v>
      </c>
      <c r="AB56" s="921"/>
      <c r="AC56" s="1514"/>
      <c r="AD56" s="1514"/>
      <c r="AE56" s="1514"/>
      <c r="AF56" s="1514"/>
      <c r="AG56" s="1514"/>
      <c r="AH56" s="1514"/>
      <c r="AI56" s="655"/>
    </row>
    <row r="57" spans="1:35">
      <c r="A57" s="664"/>
      <c r="B57" s="663" t="s">
        <v>17</v>
      </c>
      <c r="C57" s="2227">
        <f>SUM(C16:C56)</f>
        <v>1776000</v>
      </c>
      <c r="D57" s="2227">
        <f>SUM(D16:D56)</f>
        <v>1776000</v>
      </c>
      <c r="E57" s="2227"/>
      <c r="F57" s="2227">
        <f>SUM(F16:F56)</f>
        <v>1776000</v>
      </c>
      <c r="G57" s="2227">
        <f t="shared" ref="G57:N57" si="3">SUM(G14:G56)</f>
        <v>540000</v>
      </c>
      <c r="H57" s="2227">
        <f t="shared" si="3"/>
        <v>0</v>
      </c>
      <c r="I57" s="2227">
        <f t="shared" si="3"/>
        <v>1176000</v>
      </c>
      <c r="J57" s="2227">
        <f t="shared" si="3"/>
        <v>0</v>
      </c>
      <c r="K57" s="2227">
        <f t="shared" si="3"/>
        <v>67200</v>
      </c>
      <c r="L57" s="2227">
        <f t="shared" si="3"/>
        <v>1243200</v>
      </c>
      <c r="M57" s="2227">
        <f t="shared" si="3"/>
        <v>0</v>
      </c>
      <c r="N57" s="2227">
        <f t="shared" si="3"/>
        <v>330000</v>
      </c>
      <c r="O57" s="2227"/>
      <c r="P57" s="2227">
        <f>SUM(P14:P56)</f>
        <v>1176000</v>
      </c>
      <c r="Q57" s="2227">
        <f>SUM(Q14:Q56)</f>
        <v>0</v>
      </c>
      <c r="R57" s="2227">
        <f>SUM(R14:R56)</f>
        <v>1423698</v>
      </c>
      <c r="S57" s="2227">
        <f>SUM(S14:S56)</f>
        <v>0</v>
      </c>
      <c r="T57" s="2228">
        <f>SUM(T14:T56)</f>
        <v>532800</v>
      </c>
      <c r="U57" s="2227">
        <f>SUM(U16:U56)</f>
        <v>1776000</v>
      </c>
      <c r="V57" s="2227"/>
      <c r="W57" s="2227">
        <f>SUM(W16:W56)</f>
        <v>1776000</v>
      </c>
      <c r="X57" s="2227">
        <f>SUM(X14:X56)</f>
        <v>1176000</v>
      </c>
      <c r="Y57" s="2227">
        <f>SUM(Y14:Y56)</f>
        <v>330000</v>
      </c>
      <c r="Z57" s="2227">
        <f>SUM(Z14:Z56)</f>
        <v>1176000</v>
      </c>
      <c r="AA57" s="2227">
        <f>SUM(AA14:AA56)</f>
        <v>0</v>
      </c>
      <c r="AB57" s="2227">
        <f>SUM(AB16:AB56)</f>
        <v>1776000</v>
      </c>
      <c r="AC57" s="1514"/>
      <c r="AD57" s="1514"/>
      <c r="AE57" s="1514"/>
      <c r="AF57" s="1514"/>
      <c r="AG57" s="1514"/>
      <c r="AH57" s="1514"/>
      <c r="AI57" s="655"/>
    </row>
    <row r="58" spans="1:35">
      <c r="A58" s="662"/>
      <c r="B58" s="661"/>
      <c r="F58" s="2229"/>
      <c r="G58" s="2229"/>
      <c r="H58" s="2229"/>
      <c r="I58" s="2229"/>
      <c r="J58" s="2229"/>
      <c r="K58" s="2229"/>
      <c r="L58" s="2229"/>
      <c r="M58" s="2229"/>
      <c r="N58" s="2229"/>
      <c r="P58" s="2229"/>
      <c r="Q58" s="2176"/>
      <c r="R58" s="2176"/>
      <c r="W58" s="2229"/>
      <c r="AC58" s="1514"/>
      <c r="AD58" s="1514"/>
      <c r="AE58" s="1514"/>
      <c r="AF58" s="1514"/>
      <c r="AG58" s="1514"/>
      <c r="AH58" s="1514"/>
      <c r="AI58" s="655"/>
    </row>
    <row r="59" spans="1:35">
      <c r="A59" s="662"/>
      <c r="B59" s="661"/>
      <c r="F59" s="2229"/>
      <c r="G59" s="2229"/>
      <c r="H59" s="2229"/>
      <c r="I59" s="2229"/>
      <c r="J59" s="2229"/>
      <c r="K59" s="2229"/>
      <c r="L59" s="2229"/>
      <c r="M59" s="2229"/>
      <c r="N59" s="2229"/>
      <c r="P59" s="2229"/>
      <c r="Q59" s="2176"/>
      <c r="R59" s="2176"/>
      <c r="W59" s="2229"/>
      <c r="AC59" s="1514"/>
      <c r="AD59" s="1514"/>
      <c r="AE59" s="1514"/>
      <c r="AF59" s="1514"/>
      <c r="AG59" s="1514"/>
      <c r="AH59" s="1514"/>
      <c r="AI59" s="655"/>
    </row>
    <row r="60" spans="1:35">
      <c r="F60" s="2229"/>
      <c r="P60" s="2176">
        <v>1176000</v>
      </c>
      <c r="Q60" s="1512">
        <v>0</v>
      </c>
      <c r="R60" s="2176"/>
      <c r="W60" s="2229"/>
      <c r="AC60" s="1514"/>
      <c r="AD60" s="1514"/>
      <c r="AE60" s="1514"/>
      <c r="AF60" s="1514"/>
      <c r="AG60" s="1514"/>
      <c r="AH60" s="1514"/>
      <c r="AI60" s="655"/>
    </row>
    <row r="61" spans="1:35">
      <c r="F61" s="2229"/>
      <c r="R61" s="2176"/>
      <c r="W61" s="2229"/>
      <c r="AC61" s="1514"/>
      <c r="AD61" s="1514"/>
      <c r="AE61" s="1514"/>
      <c r="AF61" s="1514"/>
      <c r="AG61" s="1514"/>
      <c r="AH61" s="1514"/>
      <c r="AI61" s="655"/>
    </row>
    <row r="62" spans="1:35">
      <c r="R62" s="2176"/>
      <c r="AC62" s="1514"/>
      <c r="AD62" s="1514"/>
      <c r="AE62" s="1514"/>
      <c r="AF62" s="1514"/>
      <c r="AG62" s="1514"/>
      <c r="AH62" s="1514"/>
      <c r="AI62" s="655"/>
    </row>
    <row r="63" spans="1:35">
      <c r="A63" s="659" t="s">
        <v>59</v>
      </c>
      <c r="F63" s="2229"/>
      <c r="L63" s="2176">
        <f>+L57-L61</f>
        <v>1243200</v>
      </c>
      <c r="W63" s="2229"/>
      <c r="AC63" s="1514"/>
      <c r="AD63" s="1514"/>
      <c r="AE63" s="1514"/>
      <c r="AF63" s="1514"/>
      <c r="AG63" s="1514"/>
      <c r="AH63" s="1514"/>
      <c r="AI63" s="655"/>
    </row>
  </sheetData>
  <mergeCells count="8">
    <mergeCell ref="Y8:Y12"/>
    <mergeCell ref="Z8:Z12"/>
    <mergeCell ref="AA8:AA12"/>
    <mergeCell ref="AB8:AB12"/>
    <mergeCell ref="E1:F1"/>
    <mergeCell ref="I5:N5"/>
    <mergeCell ref="O5:T5"/>
    <mergeCell ref="X8:X12"/>
  </mergeCells>
  <conditionalFormatting sqref="X8:AC12">
    <cfRule type="cellIs" dxfId="47" priority="1" stopIfTrue="1" operator="equal">
      <formula>0</formula>
    </cfRule>
  </conditionalFormatting>
  <pageMargins left="0.27" right="0.19" top="0.984251969" bottom="0.984251969" header="0.4921259845" footer="0.4921259845"/>
  <pageSetup paperSize="9" scale="39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2"/>
  <dimension ref="A1:AE55"/>
  <sheetViews>
    <sheetView showGridLines="0" showZeros="0" topLeftCell="J1" zoomScaleNormal="100" workbookViewId="0">
      <selection activeCell="Z16" sqref="Z16:Z19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504</v>
      </c>
      <c r="C2" s="243"/>
      <c r="D2" s="243"/>
      <c r="E2" s="243"/>
      <c r="F2" s="243"/>
      <c r="G2" s="243"/>
      <c r="H2" s="746"/>
      <c r="I2" s="746"/>
      <c r="J2" s="924"/>
      <c r="K2" s="924"/>
      <c r="L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926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503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923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201200552</v>
      </c>
      <c r="C5" s="926"/>
      <c r="D5" s="926"/>
      <c r="E5" s="926"/>
      <c r="F5" s="923"/>
      <c r="G5" s="923"/>
      <c r="H5" s="924"/>
      <c r="I5" s="924"/>
      <c r="J5" s="923"/>
      <c r="K5" s="929"/>
      <c r="L5" s="923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502</v>
      </c>
      <c r="C6" s="926"/>
      <c r="D6" s="2420"/>
      <c r="E6" s="2420"/>
      <c r="F6" s="923"/>
      <c r="G6" s="923"/>
      <c r="H6" s="930"/>
      <c r="I6" s="931"/>
      <c r="J6" s="932"/>
      <c r="K6" s="927"/>
      <c r="L6" s="927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 ht="11.25" customHeight="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972"/>
      <c r="B14" s="728"/>
      <c r="C14" s="706"/>
      <c r="D14" s="973"/>
      <c r="E14" s="972"/>
      <c r="F14" s="699"/>
      <c r="G14" s="699"/>
      <c r="H14" s="699"/>
      <c r="I14" s="699"/>
      <c r="J14" s="699"/>
      <c r="K14" s="699"/>
      <c r="L14" s="699"/>
      <c r="M14" s="699"/>
      <c r="N14" s="699"/>
      <c r="O14" s="706"/>
      <c r="P14" s="699"/>
      <c r="Q14" s="706"/>
      <c r="R14" s="706"/>
      <c r="S14" s="974"/>
      <c r="T14" s="975"/>
      <c r="U14" s="706"/>
      <c r="V14" s="972"/>
      <c r="W14" s="699"/>
      <c r="X14" s="975"/>
      <c r="Y14" s="975"/>
      <c r="Z14" s="975"/>
      <c r="AA14" s="975"/>
      <c r="AB14" s="975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462000</v>
      </c>
      <c r="D16" s="699">
        <f>385000*1.2</f>
        <v>462000</v>
      </c>
      <c r="E16" s="700">
        <v>1</v>
      </c>
      <c r="F16" s="699">
        <f>D16*E16</f>
        <v>462000</v>
      </c>
      <c r="G16" s="699">
        <f>9000+(6*900/0.7+6*700)</f>
        <v>20914.285714285714</v>
      </c>
      <c r="H16" s="702" t="s">
        <v>104</v>
      </c>
      <c r="I16" s="699">
        <f>U16</f>
        <v>462000</v>
      </c>
      <c r="J16" s="699">
        <v>0</v>
      </c>
      <c r="K16" s="699"/>
      <c r="L16" s="699">
        <f>+I16-J16+K16</f>
        <v>462000</v>
      </c>
      <c r="M16" s="699"/>
      <c r="N16" s="699">
        <f>G16+G19</f>
        <v>128914.28571428571</v>
      </c>
      <c r="O16" s="699">
        <v>1</v>
      </c>
      <c r="P16" s="699">
        <f>U16</f>
        <v>462000</v>
      </c>
      <c r="Q16" s="699"/>
      <c r="R16" s="706">
        <v>462000</v>
      </c>
      <c r="S16" s="706">
        <f>+P16-R16</f>
        <v>0</v>
      </c>
      <c r="T16" s="986">
        <f>W16-L16</f>
        <v>0</v>
      </c>
      <c r="U16" s="699">
        <f>385000*1.2</f>
        <v>462000</v>
      </c>
      <c r="V16" s="700">
        <v>1</v>
      </c>
      <c r="W16" s="699">
        <f>U16*V16</f>
        <v>462000</v>
      </c>
      <c r="X16" s="986">
        <v>462000</v>
      </c>
      <c r="Y16" s="986">
        <v>128914.28571428571</v>
      </c>
      <c r="Z16" s="986">
        <v>462000</v>
      </c>
      <c r="AA16" s="986">
        <v>462000</v>
      </c>
      <c r="AB16" s="699">
        <v>462000</v>
      </c>
    </row>
    <row r="17" spans="1:31" hidden="1">
      <c r="A17" s="976"/>
      <c r="B17" s="720"/>
      <c r="C17" s="699"/>
      <c r="D17" s="699"/>
      <c r="E17" s="700"/>
      <c r="F17" s="699"/>
      <c r="G17" s="699" t="s">
        <v>501</v>
      </c>
      <c r="H17" s="699"/>
      <c r="I17" s="699"/>
      <c r="J17" s="699"/>
      <c r="K17" s="699"/>
      <c r="L17" s="699">
        <f>+I17-J17+K17</f>
        <v>0</v>
      </c>
      <c r="M17" s="699"/>
      <c r="N17" s="699"/>
      <c r="O17" s="699"/>
      <c r="P17" s="699"/>
      <c r="Q17" s="699"/>
      <c r="R17" s="706"/>
      <c r="S17" s="706">
        <f t="shared" ref="S17:S19" si="0">+P17-R17</f>
        <v>0</v>
      </c>
      <c r="T17" s="986">
        <f>W17-L17</f>
        <v>0</v>
      </c>
      <c r="U17" s="699"/>
      <c r="V17" s="700"/>
      <c r="W17" s="699"/>
      <c r="X17" s="987">
        <v>0</v>
      </c>
      <c r="Y17" s="987"/>
      <c r="Z17" s="987"/>
      <c r="AA17" s="987"/>
      <c r="AB17" s="699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 t="s">
        <v>501</v>
      </c>
      <c r="H18" s="699"/>
      <c r="I18" s="699"/>
      <c r="J18" s="699"/>
      <c r="K18" s="699"/>
      <c r="L18" s="699">
        <f>+I18-J18+K18</f>
        <v>0</v>
      </c>
      <c r="M18" s="699"/>
      <c r="N18" s="699"/>
      <c r="O18" s="699"/>
      <c r="P18" s="699"/>
      <c r="Q18" s="699"/>
      <c r="R18" s="706"/>
      <c r="S18" s="706">
        <f t="shared" si="0"/>
        <v>0</v>
      </c>
      <c r="T18" s="986">
        <f>W18-L18</f>
        <v>0</v>
      </c>
      <c r="U18" s="699"/>
      <c r="V18" s="700"/>
      <c r="W18" s="699"/>
      <c r="X18" s="987">
        <v>0</v>
      </c>
      <c r="Y18" s="987"/>
      <c r="Z18" s="987"/>
      <c r="AA18" s="987"/>
      <c r="AB18" s="699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1">D19*E19</f>
        <v>542400</v>
      </c>
      <c r="D19" s="699">
        <f>452000*1.2</f>
        <v>542400</v>
      </c>
      <c r="E19" s="700">
        <v>1</v>
      </c>
      <c r="F19" s="699">
        <f t="shared" ref="F19:F48" si="2">D19*E19</f>
        <v>542400</v>
      </c>
      <c r="G19" s="699">
        <f>48000+60000</f>
        <v>108000</v>
      </c>
      <c r="H19" s="988"/>
      <c r="I19" s="699">
        <f>U19</f>
        <v>542400</v>
      </c>
      <c r="J19" s="702"/>
      <c r="K19" s="702"/>
      <c r="L19" s="699">
        <f>+I19-J19+K19</f>
        <v>542400</v>
      </c>
      <c r="M19" s="702"/>
      <c r="N19" s="2370">
        <v>9000</v>
      </c>
      <c r="O19" s="702"/>
      <c r="P19" s="717">
        <v>542400</v>
      </c>
      <c r="Q19" s="711"/>
      <c r="R19" s="699"/>
      <c r="S19" s="706">
        <f t="shared" si="0"/>
        <v>542400</v>
      </c>
      <c r="T19" s="986">
        <f>W19-L19</f>
        <v>0</v>
      </c>
      <c r="U19" s="699">
        <f>452000*1.2</f>
        <v>542400</v>
      </c>
      <c r="V19" s="700">
        <v>1</v>
      </c>
      <c r="W19" s="699">
        <f t="shared" ref="W19:W48" si="3">U19*V19</f>
        <v>542400</v>
      </c>
      <c r="X19" s="702">
        <v>542400</v>
      </c>
      <c r="Y19" s="702">
        <v>9000</v>
      </c>
      <c r="Z19" s="702">
        <v>542400</v>
      </c>
      <c r="AA19" s="702"/>
      <c r="AB19" s="699">
        <v>542400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1"/>
        <v>245580</v>
      </c>
      <c r="D20" s="699">
        <f>204650*1.2</f>
        <v>245580</v>
      </c>
      <c r="E20" s="700">
        <v>1</v>
      </c>
      <c r="F20" s="699">
        <f t="shared" si="2"/>
        <v>245580</v>
      </c>
      <c r="G20" s="702"/>
      <c r="H20" s="702"/>
      <c r="I20" s="699">
        <f>U20</f>
        <v>245580</v>
      </c>
      <c r="J20" s="2305">
        <f>0.2*W20</f>
        <v>49116</v>
      </c>
      <c r="K20" s="2305"/>
      <c r="L20" s="2306">
        <f>+I20-J20+K20</f>
        <v>196464</v>
      </c>
      <c r="M20" s="702"/>
      <c r="N20" s="702"/>
      <c r="O20" s="702"/>
      <c r="P20" s="699"/>
      <c r="Q20" s="711"/>
      <c r="R20" s="702"/>
      <c r="S20" s="702"/>
      <c r="T20" s="1504">
        <f>W20-L20</f>
        <v>49116</v>
      </c>
      <c r="U20" s="699">
        <f>204650*1.2</f>
        <v>245580</v>
      </c>
      <c r="V20" s="700">
        <v>1</v>
      </c>
      <c r="W20" s="699">
        <f t="shared" si="3"/>
        <v>245580</v>
      </c>
      <c r="X20" s="702"/>
      <c r="Y20" s="702"/>
      <c r="Z20" s="702"/>
      <c r="AA20" s="702"/>
      <c r="AB20" s="699">
        <v>245580</v>
      </c>
      <c r="AC20" s="686"/>
      <c r="AD20" s="686"/>
      <c r="AE20" s="686"/>
    </row>
    <row r="21" spans="1:31">
      <c r="A21" s="705"/>
      <c r="B21" s="715"/>
      <c r="C21" s="699">
        <f t="shared" si="1"/>
        <v>0</v>
      </c>
      <c r="D21" s="703"/>
      <c r="E21" s="700"/>
      <c r="F21" s="699">
        <f t="shared" si="2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3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1"/>
        <v>0</v>
      </c>
      <c r="D22" s="703"/>
      <c r="E22" s="700"/>
      <c r="F22" s="699">
        <f t="shared" si="2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3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1"/>
        <v>0</v>
      </c>
      <c r="D23" s="703"/>
      <c r="E23" s="705"/>
      <c r="F23" s="699">
        <f t="shared" si="2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3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1"/>
        <v>0</v>
      </c>
      <c r="D24" s="703"/>
      <c r="E24" s="700"/>
      <c r="F24" s="699">
        <f t="shared" si="2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3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1"/>
        <v>0</v>
      </c>
      <c r="D25" s="703"/>
      <c r="E25" s="700"/>
      <c r="F25" s="699">
        <f t="shared" si="2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3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1"/>
        <v>0</v>
      </c>
      <c r="D26" s="703"/>
      <c r="E26" s="700"/>
      <c r="F26" s="699">
        <f t="shared" si="2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3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1"/>
        <v>0</v>
      </c>
      <c r="D27" s="703"/>
      <c r="E27" s="700"/>
      <c r="F27" s="699">
        <f t="shared" si="2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3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1"/>
        <v>0</v>
      </c>
      <c r="D28" s="703"/>
      <c r="E28" s="700"/>
      <c r="F28" s="699">
        <f t="shared" si="2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3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1"/>
        <v>0</v>
      </c>
      <c r="D29" s="703"/>
      <c r="E29" s="700"/>
      <c r="F29" s="699">
        <f t="shared" si="2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3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1"/>
        <v>0</v>
      </c>
      <c r="D30" s="703"/>
      <c r="E30" s="700"/>
      <c r="F30" s="699">
        <f t="shared" si="2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3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1"/>
        <v>0</v>
      </c>
      <c r="D31" s="703"/>
      <c r="E31" s="700"/>
      <c r="F31" s="699">
        <f t="shared" si="2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3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1"/>
        <v>0</v>
      </c>
      <c r="D32" s="703"/>
      <c r="E32" s="700"/>
      <c r="F32" s="699">
        <f t="shared" si="2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3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1"/>
        <v>0</v>
      </c>
      <c r="D33" s="703"/>
      <c r="E33" s="700"/>
      <c r="F33" s="699">
        <f t="shared" si="2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3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1"/>
        <v>0</v>
      </c>
      <c r="D34" s="703"/>
      <c r="E34" s="700"/>
      <c r="F34" s="699">
        <f t="shared" si="2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3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1"/>
        <v>0</v>
      </c>
      <c r="D35" s="703"/>
      <c r="E35" s="700"/>
      <c r="F35" s="699">
        <f t="shared" si="2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3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1"/>
        <v>0</v>
      </c>
      <c r="D36" s="703"/>
      <c r="E36" s="700"/>
      <c r="F36" s="699">
        <f t="shared" si="2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3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1"/>
        <v>0</v>
      </c>
      <c r="D37" s="703"/>
      <c r="E37" s="700"/>
      <c r="F37" s="699">
        <f t="shared" si="2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3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1"/>
        <v>0</v>
      </c>
      <c r="D38" s="703"/>
      <c r="E38" s="700"/>
      <c r="F38" s="699">
        <f t="shared" si="2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3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1"/>
        <v>0</v>
      </c>
      <c r="D39" s="703"/>
      <c r="E39" s="700"/>
      <c r="F39" s="699">
        <f t="shared" si="2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3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1"/>
        <v>0</v>
      </c>
      <c r="D40" s="703"/>
      <c r="E40" s="700"/>
      <c r="F40" s="699">
        <f t="shared" si="2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3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1"/>
        <v>0</v>
      </c>
      <c r="D41" s="703"/>
      <c r="E41" s="700"/>
      <c r="F41" s="699">
        <f t="shared" si="2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3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1"/>
        <v>0</v>
      </c>
      <c r="D42" s="703"/>
      <c r="E42" s="705"/>
      <c r="F42" s="699">
        <f t="shared" si="2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3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1"/>
        <v>0</v>
      </c>
      <c r="D43" s="703"/>
      <c r="E43" s="705"/>
      <c r="F43" s="699">
        <f t="shared" si="2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3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1"/>
        <v>0</v>
      </c>
      <c r="D44" s="703"/>
      <c r="E44" s="705"/>
      <c r="F44" s="699">
        <f t="shared" si="2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3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1"/>
        <v>0</v>
      </c>
      <c r="D45" s="703"/>
      <c r="E45" s="705"/>
      <c r="F45" s="699">
        <f t="shared" si="2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3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1"/>
        <v>0</v>
      </c>
      <c r="D46" s="703"/>
      <c r="E46" s="705"/>
      <c r="F46" s="699">
        <f t="shared" si="2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3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1"/>
        <v>0</v>
      </c>
      <c r="D47" s="703"/>
      <c r="E47" s="705"/>
      <c r="F47" s="699">
        <f t="shared" si="2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3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1"/>
        <v>0</v>
      </c>
      <c r="D48" s="703"/>
      <c r="E48" s="700"/>
      <c r="F48" s="699">
        <f t="shared" si="2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3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1249980</v>
      </c>
      <c r="D49" s="990"/>
      <c r="E49" s="990"/>
      <c r="F49" s="990">
        <f>SUM(F15:F48)</f>
        <v>1249980</v>
      </c>
      <c r="G49" s="990">
        <f>SUM(G16:G48)</f>
        <v>128914.28571428571</v>
      </c>
      <c r="H49" s="990">
        <f>SUM(H16:H48)</f>
        <v>0</v>
      </c>
      <c r="I49" s="990">
        <f>SUM(I17:I48)</f>
        <v>787980</v>
      </c>
      <c r="J49" s="990">
        <f>SUM(J16:J48)</f>
        <v>49116</v>
      </c>
      <c r="K49" s="990">
        <f>SUM(K16:K48)</f>
        <v>0</v>
      </c>
      <c r="L49" s="990">
        <f>SUM(L16:L48)</f>
        <v>1200864</v>
      </c>
      <c r="M49" s="990">
        <f>SUM(M16:M48)</f>
        <v>0</v>
      </c>
      <c r="N49" s="990">
        <f>SUM(N16:N48)</f>
        <v>137914.28571428571</v>
      </c>
      <c r="O49" s="990"/>
      <c r="P49" s="990">
        <f>SUM(P16:P48)</f>
        <v>1004400</v>
      </c>
      <c r="Q49" s="990">
        <f>SUM(Q16:Q48)</f>
        <v>0</v>
      </c>
      <c r="R49" s="990">
        <f>SUM(R16:R48)</f>
        <v>462000</v>
      </c>
      <c r="S49" s="990">
        <f>SUM(S16:S48)</f>
        <v>542400</v>
      </c>
      <c r="T49" s="991">
        <f>W49-L49</f>
        <v>49116</v>
      </c>
      <c r="U49" s="990"/>
      <c r="V49" s="990"/>
      <c r="W49" s="990">
        <f>SUM(W14:W48)</f>
        <v>1249980</v>
      </c>
      <c r="X49" s="990">
        <f>SUM(X16:X48)</f>
        <v>1004400</v>
      </c>
      <c r="Y49" s="990">
        <f>SUM(Y16:Y48)</f>
        <v>137914.28571428571</v>
      </c>
      <c r="Z49" s="990">
        <f>SUM(Z16:Z48)</f>
        <v>1004400</v>
      </c>
      <c r="AA49" s="990">
        <f>SUM(AA16:AA48)</f>
        <v>462000</v>
      </c>
      <c r="AB49" s="990">
        <f>SUM(AB16:AB48)</f>
        <v>1249980</v>
      </c>
      <c r="AC49" s="686"/>
      <c r="AD49" s="686"/>
      <c r="AE49" s="686"/>
    </row>
    <row r="50" spans="1:31">
      <c r="A50" s="692"/>
      <c r="B50" s="690"/>
      <c r="C50" s="988"/>
      <c r="D50" s="988"/>
      <c r="E50" s="988"/>
      <c r="F50" s="992"/>
      <c r="G50" s="992"/>
      <c r="H50" s="992"/>
      <c r="I50" s="992"/>
      <c r="J50" s="992"/>
      <c r="K50" s="992"/>
      <c r="L50" s="992"/>
      <c r="M50" s="992"/>
      <c r="N50" s="992"/>
      <c r="O50" s="988"/>
      <c r="P50" s="992"/>
      <c r="Q50" s="988"/>
      <c r="R50" s="988"/>
      <c r="S50" s="993"/>
      <c r="T50" s="993"/>
      <c r="U50" s="988"/>
      <c r="V50" s="988"/>
      <c r="W50" s="992"/>
      <c r="X50" s="993"/>
      <c r="Y50" s="993"/>
      <c r="Z50" s="993"/>
      <c r="AA50" s="993"/>
      <c r="AB50" s="993"/>
      <c r="AC50" s="686"/>
      <c r="AD50" s="686"/>
      <c r="AE50" s="686"/>
    </row>
    <row r="51" spans="1:31">
      <c r="A51" s="691"/>
      <c r="B51" s="690"/>
      <c r="C51" s="988"/>
      <c r="D51" s="988"/>
      <c r="E51" s="988"/>
      <c r="F51" s="992"/>
      <c r="G51" s="992"/>
      <c r="H51" s="992"/>
      <c r="I51" s="992"/>
      <c r="J51" s="992"/>
      <c r="K51" s="992"/>
      <c r="L51" s="992"/>
      <c r="M51" s="992"/>
      <c r="N51" s="992"/>
      <c r="O51" s="988"/>
      <c r="P51" s="992"/>
      <c r="Q51" s="988"/>
      <c r="R51" s="988"/>
      <c r="S51" s="993"/>
      <c r="T51" s="993"/>
      <c r="U51" s="988"/>
      <c r="V51" s="988"/>
      <c r="W51" s="992"/>
      <c r="X51" s="993"/>
      <c r="Y51" s="993"/>
      <c r="Z51" s="993"/>
      <c r="AA51" s="993"/>
      <c r="AB51" s="993"/>
      <c r="AC51" s="686"/>
      <c r="AD51" s="686"/>
      <c r="AE51" s="686"/>
    </row>
    <row r="52" spans="1:31">
      <c r="C52" s="988"/>
      <c r="D52" s="988"/>
      <c r="E52" s="988"/>
      <c r="F52" s="992"/>
      <c r="G52" s="988"/>
      <c r="H52" s="988"/>
      <c r="I52" s="988"/>
      <c r="J52" s="988"/>
      <c r="K52" s="988"/>
      <c r="L52" s="988"/>
      <c r="M52" s="988"/>
      <c r="N52" s="988"/>
      <c r="O52" s="988"/>
      <c r="P52" s="988">
        <v>462000</v>
      </c>
      <c r="Q52" s="993">
        <v>462000</v>
      </c>
      <c r="R52" s="988"/>
      <c r="S52" s="993"/>
      <c r="T52" s="993"/>
      <c r="U52" s="988"/>
      <c r="V52" s="988"/>
      <c r="W52" s="992"/>
      <c r="X52" s="993"/>
      <c r="Y52" s="993"/>
      <c r="Z52" s="993"/>
      <c r="AA52" s="993"/>
      <c r="AB52" s="993"/>
      <c r="AC52" s="686"/>
      <c r="AD52" s="686"/>
      <c r="AE52" s="686"/>
    </row>
    <row r="53" spans="1:31">
      <c r="C53" s="988"/>
      <c r="D53" s="988"/>
      <c r="E53" s="988"/>
      <c r="F53" s="992"/>
      <c r="G53" s="988"/>
      <c r="H53" s="988"/>
      <c r="I53" s="988"/>
      <c r="J53" s="988"/>
      <c r="K53" s="988"/>
      <c r="L53" s="988"/>
      <c r="M53" s="988"/>
      <c r="N53" s="988"/>
      <c r="O53" s="988"/>
      <c r="P53" s="988"/>
      <c r="Q53" s="993"/>
      <c r="R53" s="988"/>
      <c r="S53" s="993"/>
      <c r="T53" s="993"/>
      <c r="U53" s="988"/>
      <c r="V53" s="988"/>
      <c r="W53" s="992"/>
      <c r="X53" s="993"/>
      <c r="Y53" s="993"/>
      <c r="Z53" s="993"/>
      <c r="AA53" s="993"/>
      <c r="AB53" s="993"/>
      <c r="AC53" s="686"/>
      <c r="AD53" s="686"/>
      <c r="AE53" s="686"/>
    </row>
    <row r="54" spans="1:31"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46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E63"/>
  <sheetViews>
    <sheetView showGridLines="0" showZeros="0" topLeftCell="K1" zoomScaleNormal="100" workbookViewId="0">
      <selection activeCell="E81" sqref="E81:P81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4.875" style="304" customWidth="1"/>
    <col min="6" max="7" width="10.25" style="304" customWidth="1"/>
    <col min="8" max="8" width="12.5" style="304" customWidth="1"/>
    <col min="9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0" width="11" style="192"/>
    <col min="31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E1" s="192"/>
    </row>
    <row r="2" spans="1:31">
      <c r="A2" s="825" t="s">
        <v>49</v>
      </c>
      <c r="B2" s="243" t="s">
        <v>115</v>
      </c>
      <c r="C2" s="243"/>
      <c r="D2" s="243"/>
      <c r="E2" s="243"/>
      <c r="F2" s="243"/>
      <c r="G2" s="243"/>
      <c r="H2" s="303"/>
      <c r="I2" s="303"/>
      <c r="J2" s="826"/>
      <c r="K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43"/>
      <c r="F3" s="243" t="s">
        <v>84</v>
      </c>
      <c r="G3" s="1324" t="s">
        <v>106</v>
      </c>
      <c r="H3" s="243"/>
      <c r="I3" s="828"/>
      <c r="J3" s="828"/>
      <c r="K3" s="828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3" t="s">
        <v>116</v>
      </c>
      <c r="C4" s="1325" t="s">
        <v>81</v>
      </c>
      <c r="D4" s="1325"/>
      <c r="E4" s="1325"/>
      <c r="F4" s="1324"/>
      <c r="G4" s="1324"/>
      <c r="H4" s="1324"/>
      <c r="I4" s="825"/>
      <c r="J4" s="825"/>
      <c r="K4" s="825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62</v>
      </c>
      <c r="B5" s="311">
        <v>201200551</v>
      </c>
      <c r="C5" s="828"/>
      <c r="D5" s="828"/>
      <c r="E5" s="828"/>
      <c r="F5" s="825"/>
      <c r="G5" s="825"/>
      <c r="H5" s="826"/>
      <c r="I5" s="826"/>
      <c r="J5" s="825"/>
      <c r="K5" s="832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 ht="15.75">
      <c r="A6" s="830" t="s">
        <v>51</v>
      </c>
      <c r="B6" s="244"/>
      <c r="C6" s="828"/>
      <c r="D6" s="2423"/>
      <c r="E6" s="2423"/>
      <c r="F6" s="825"/>
      <c r="G6" s="825"/>
      <c r="H6" s="833"/>
      <c r="I6" s="834"/>
      <c r="J6" s="835"/>
      <c r="K6" s="82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830"/>
      <c r="B7" s="994"/>
      <c r="C7" s="828"/>
      <c r="D7" s="828"/>
      <c r="E7" s="828"/>
      <c r="F7" s="825"/>
      <c r="G7" s="825"/>
      <c r="H7" s="833"/>
      <c r="I7" s="834"/>
      <c r="J7" s="835"/>
      <c r="K7" s="82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 customHeight="1">
      <c r="A8" s="836" t="s">
        <v>0</v>
      </c>
      <c r="B8" s="836" t="s">
        <v>1</v>
      </c>
      <c r="C8" s="837" t="s">
        <v>2</v>
      </c>
      <c r="D8" s="838" t="s">
        <v>3</v>
      </c>
      <c r="E8" s="844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</row>
    <row r="9" spans="1:31" s="320" customFormat="1" ht="8.25">
      <c r="A9" s="847" t="s">
        <v>9</v>
      </c>
      <c r="B9" s="848"/>
      <c r="C9" s="849"/>
      <c r="D9" s="850"/>
      <c r="E9" s="856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</row>
    <row r="10" spans="1:31" s="320" customFormat="1" ht="8.25" customHeight="1">
      <c r="A10" s="848"/>
      <c r="B10" s="848"/>
      <c r="C10" s="849"/>
      <c r="D10" s="860" t="s">
        <v>15</v>
      </c>
      <c r="E10" s="860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</row>
    <row r="11" spans="1:31" s="320" customFormat="1" ht="8.25" customHeight="1">
      <c r="A11" s="848"/>
      <c r="B11" s="848"/>
      <c r="C11" s="849"/>
      <c r="D11" s="858" t="s">
        <v>23</v>
      </c>
      <c r="E11" s="858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</row>
    <row r="12" spans="1:31">
      <c r="A12" s="848"/>
      <c r="B12" s="848"/>
      <c r="C12" s="849"/>
      <c r="D12" s="849"/>
      <c r="E12" s="849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2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>
      <c r="A14" s="520"/>
      <c r="B14" s="330"/>
      <c r="C14" s="191"/>
      <c r="D14" s="519"/>
      <c r="E14" s="520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/>
      <c r="Q14" s="191"/>
      <c r="R14" s="191"/>
      <c r="S14" s="995"/>
      <c r="T14" s="894"/>
      <c r="U14" s="191"/>
      <c r="V14" s="520"/>
      <c r="W14" s="124"/>
      <c r="X14" s="124"/>
      <c r="Y14" s="124"/>
      <c r="Z14" s="124"/>
      <c r="AA14" s="191"/>
      <c r="AB14" s="894"/>
    </row>
    <row r="15" spans="1:31" ht="13.5" customHeight="1">
      <c r="A15" s="520"/>
      <c r="B15" s="330"/>
      <c r="C15" s="124"/>
      <c r="D15" s="519"/>
      <c r="E15" s="520"/>
      <c r="F15" s="124"/>
      <c r="G15" s="124"/>
      <c r="H15" s="124"/>
      <c r="I15" s="124"/>
      <c r="J15" s="124"/>
      <c r="K15" s="124"/>
      <c r="L15" s="124"/>
      <c r="M15" s="124"/>
      <c r="N15" s="124"/>
      <c r="O15" s="191"/>
      <c r="P15" s="124"/>
      <c r="Q15" s="191"/>
      <c r="R15" s="191"/>
      <c r="S15" s="995"/>
      <c r="T15" s="894"/>
      <c r="U15" s="191"/>
      <c r="V15" s="520"/>
      <c r="W15" s="124">
        <f>U15*V15</f>
        <v>0</v>
      </c>
      <c r="X15" s="124"/>
      <c r="Y15" s="124"/>
      <c r="Z15" s="124"/>
      <c r="AA15" s="191"/>
      <c r="AB15" s="894"/>
    </row>
    <row r="16" spans="1:31" ht="33.75">
      <c r="A16" s="132"/>
      <c r="B16" s="130" t="s">
        <v>89</v>
      </c>
      <c r="C16" s="124">
        <f>130000*1.2</f>
        <v>156000</v>
      </c>
      <c r="D16" s="131">
        <f>C16</f>
        <v>156000</v>
      </c>
      <c r="E16" s="132">
        <v>1</v>
      </c>
      <c r="F16" s="124">
        <f>D16*E16</f>
        <v>156000</v>
      </c>
      <c r="G16" s="124"/>
      <c r="H16" s="124" t="s">
        <v>363</v>
      </c>
      <c r="I16" s="124">
        <f>W16</f>
        <v>156000</v>
      </c>
      <c r="J16" s="124">
        <f>I16*0.2</f>
        <v>31200</v>
      </c>
      <c r="K16" s="124"/>
      <c r="L16" s="124">
        <f>+I16-J16+K16</f>
        <v>124800</v>
      </c>
      <c r="M16" s="124"/>
      <c r="N16" s="124">
        <v>4600</v>
      </c>
      <c r="O16" s="124"/>
      <c r="P16" s="124"/>
      <c r="Q16" s="124"/>
      <c r="R16" s="191"/>
      <c r="S16" s="191"/>
      <c r="T16" s="1919">
        <f>W16-L16</f>
        <v>31200</v>
      </c>
      <c r="U16" s="131">
        <f>D16</f>
        <v>156000</v>
      </c>
      <c r="V16" s="132">
        <v>1</v>
      </c>
      <c r="W16" s="124">
        <f>U16*V16</f>
        <v>156000</v>
      </c>
      <c r="X16" s="124">
        <v>124800</v>
      </c>
      <c r="Y16" s="124">
        <v>4600</v>
      </c>
      <c r="Z16" s="124"/>
      <c r="AA16" s="191"/>
      <c r="AB16" s="895">
        <f>W16</f>
        <v>156000</v>
      </c>
    </row>
    <row r="17" spans="1:28" ht="12.75" hidden="1" customHeight="1">
      <c r="A17" s="996"/>
      <c r="B17" s="333"/>
      <c r="C17" s="124"/>
      <c r="D17" s="131">
        <f>C17</f>
        <v>0</v>
      </c>
      <c r="E17" s="132"/>
      <c r="F17" s="124"/>
      <c r="G17" s="124"/>
      <c r="H17" s="124"/>
      <c r="I17" s="124"/>
      <c r="J17" s="124"/>
      <c r="K17" s="124"/>
      <c r="L17" s="124">
        <f>+I17-J17+K17</f>
        <v>0</v>
      </c>
      <c r="M17" s="124"/>
      <c r="N17" s="124"/>
      <c r="O17" s="124"/>
      <c r="P17" s="124"/>
      <c r="Q17" s="124"/>
      <c r="R17" s="191"/>
      <c r="S17" s="191"/>
      <c r="T17" s="1919">
        <f>W17-L17</f>
        <v>0</v>
      </c>
      <c r="U17" s="131">
        <f>D17</f>
        <v>0</v>
      </c>
      <c r="V17" s="132"/>
      <c r="W17" s="124"/>
      <c r="X17" s="124">
        <v>0</v>
      </c>
      <c r="Y17" s="124"/>
      <c r="Z17" s="124"/>
      <c r="AA17" s="191"/>
      <c r="AB17" s="895">
        <f>W17</f>
        <v>0</v>
      </c>
    </row>
    <row r="18" spans="1:28">
      <c r="A18" s="997"/>
      <c r="B18" s="333"/>
      <c r="C18" s="124"/>
      <c r="D18" s="131">
        <f>C18</f>
        <v>0</v>
      </c>
      <c r="E18" s="132"/>
      <c r="F18" s="124"/>
      <c r="G18" s="124"/>
      <c r="H18" s="124"/>
      <c r="I18" s="124"/>
      <c r="J18" s="124"/>
      <c r="K18" s="124"/>
      <c r="L18" s="124">
        <f>+I18-J18+K18</f>
        <v>0</v>
      </c>
      <c r="M18" s="124"/>
      <c r="N18" s="124"/>
      <c r="O18" s="124"/>
      <c r="P18" s="124"/>
      <c r="Q18" s="124"/>
      <c r="R18" s="191"/>
      <c r="S18" s="191"/>
      <c r="T18" s="1919">
        <f>W18-L18</f>
        <v>0</v>
      </c>
      <c r="U18" s="131">
        <f>D18</f>
        <v>0</v>
      </c>
      <c r="V18" s="132"/>
      <c r="W18" s="124"/>
      <c r="X18" s="124">
        <v>0</v>
      </c>
      <c r="Y18" s="124"/>
      <c r="Z18" s="124"/>
      <c r="AA18" s="191"/>
      <c r="AB18" s="895">
        <f>W18</f>
        <v>0</v>
      </c>
    </row>
    <row r="19" spans="1:28" ht="22.5">
      <c r="A19" s="998"/>
      <c r="B19" s="130" t="s">
        <v>88</v>
      </c>
      <c r="C19" s="124">
        <f>160000*1.2</f>
        <v>192000</v>
      </c>
      <c r="D19" s="131">
        <f>C19</f>
        <v>192000</v>
      </c>
      <c r="E19" s="132">
        <v>1</v>
      </c>
      <c r="F19" s="124">
        <f>D19*E19</f>
        <v>192000</v>
      </c>
      <c r="G19" s="124"/>
      <c r="H19" s="124"/>
      <c r="I19" s="124"/>
      <c r="J19" s="143"/>
      <c r="K19" s="143"/>
      <c r="L19" s="124">
        <f>+I19-J19+K19</f>
        <v>0</v>
      </c>
      <c r="M19" s="143"/>
      <c r="N19" s="124"/>
      <c r="O19" s="143"/>
      <c r="P19" s="140"/>
      <c r="Q19" s="141"/>
      <c r="R19" s="124"/>
      <c r="S19" s="143"/>
      <c r="T19" s="1919">
        <f>W19-L19</f>
        <v>192000</v>
      </c>
      <c r="U19" s="131">
        <f>D19</f>
        <v>192000</v>
      </c>
      <c r="V19" s="132">
        <v>1</v>
      </c>
      <c r="W19" s="124">
        <f>U19*V19</f>
        <v>192000</v>
      </c>
      <c r="X19" s="124">
        <v>0</v>
      </c>
      <c r="Y19" s="124"/>
      <c r="Z19" s="140"/>
      <c r="AA19" s="124"/>
      <c r="AB19" s="895">
        <f>W19</f>
        <v>192000</v>
      </c>
    </row>
    <row r="20" spans="1:28">
      <c r="A20" s="146"/>
      <c r="B20" s="142" t="s">
        <v>90</v>
      </c>
      <c r="C20" s="124">
        <f>100000*1.2</f>
        <v>120000</v>
      </c>
      <c r="D20" s="131">
        <f>C20</f>
        <v>120000</v>
      </c>
      <c r="E20" s="132">
        <v>1</v>
      </c>
      <c r="F20" s="124">
        <f>D20*E20</f>
        <v>120000</v>
      </c>
      <c r="G20" s="124"/>
      <c r="H20" s="124"/>
      <c r="I20" s="143"/>
      <c r="J20" s="143"/>
      <c r="K20" s="143"/>
      <c r="L20" s="124">
        <f>+I20-J20+K20</f>
        <v>0</v>
      </c>
      <c r="M20" s="143"/>
      <c r="N20" s="124"/>
      <c r="O20" s="143"/>
      <c r="P20" s="124"/>
      <c r="Q20" s="141"/>
      <c r="R20" s="143"/>
      <c r="S20" s="143"/>
      <c r="T20" s="1919">
        <f>W20-L20</f>
        <v>120000</v>
      </c>
      <c r="U20" s="131">
        <f>D20</f>
        <v>120000</v>
      </c>
      <c r="V20" s="132">
        <v>1</v>
      </c>
      <c r="W20" s="124">
        <f>U20*V20</f>
        <v>120000</v>
      </c>
      <c r="X20" s="124">
        <v>0</v>
      </c>
      <c r="Y20" s="124"/>
      <c r="Z20" s="124"/>
      <c r="AA20" s="143"/>
      <c r="AB20" s="895">
        <f>W20</f>
        <v>120000</v>
      </c>
    </row>
    <row r="21" spans="1:28">
      <c r="A21" s="146"/>
      <c r="B21" s="142"/>
      <c r="C21" s="124"/>
      <c r="D21" s="131"/>
      <c r="E21" s="132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24"/>
      <c r="Q21" s="141"/>
      <c r="R21" s="143"/>
      <c r="S21" s="143"/>
      <c r="T21" s="143"/>
      <c r="U21" s="131"/>
      <c r="V21" s="132"/>
      <c r="W21" s="124"/>
      <c r="X21" s="143"/>
      <c r="Y21" s="143"/>
      <c r="Z21" s="124"/>
      <c r="AA21" s="143"/>
      <c r="AB21" s="143"/>
    </row>
    <row r="22" spans="1:28">
      <c r="A22" s="132"/>
      <c r="B22" s="145"/>
      <c r="C22" s="124"/>
      <c r="D22" s="131"/>
      <c r="E22" s="132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43"/>
      <c r="S22" s="143"/>
      <c r="T22" s="143"/>
      <c r="U22" s="144"/>
      <c r="V22" s="132"/>
      <c r="W22" s="124"/>
      <c r="X22" s="143"/>
      <c r="Y22" s="143"/>
      <c r="Z22" s="143"/>
      <c r="AA22" s="143"/>
      <c r="AB22" s="143"/>
    </row>
    <row r="23" spans="1:28" ht="12.75" hidden="1" customHeight="1">
      <c r="A23" s="132"/>
      <c r="B23" s="145"/>
      <c r="C23" s="124"/>
      <c r="D23" s="131"/>
      <c r="E23" s="146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7"/>
      <c r="R23" s="124"/>
      <c r="S23" s="143"/>
      <c r="T23" s="143"/>
      <c r="U23" s="144"/>
      <c r="V23" s="146"/>
      <c r="W23" s="124"/>
      <c r="X23" s="143"/>
      <c r="Y23" s="143"/>
      <c r="Z23" s="143"/>
      <c r="AA23" s="124"/>
      <c r="AB23" s="143"/>
    </row>
    <row r="24" spans="1:28" ht="0.75" hidden="1" customHeight="1">
      <c r="A24" s="996"/>
      <c r="B24" s="334"/>
      <c r="C24" s="124"/>
      <c r="D24" s="131"/>
      <c r="E24" s="132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24"/>
      <c r="Q24" s="141"/>
      <c r="R24" s="124"/>
      <c r="S24" s="143">
        <f>+P24-R24</f>
        <v>0</v>
      </c>
      <c r="T24" s="143"/>
      <c r="U24" s="144"/>
      <c r="V24" s="132"/>
      <c r="W24" s="124"/>
      <c r="X24" s="143"/>
      <c r="Y24" s="143"/>
      <c r="Z24" s="124"/>
      <c r="AA24" s="124"/>
      <c r="AB24" s="143"/>
    </row>
    <row r="25" spans="1:28" ht="12.75" hidden="1" customHeight="1">
      <c r="A25" s="996"/>
      <c r="B25" s="145"/>
      <c r="C25" s="124"/>
      <c r="D25" s="131"/>
      <c r="E25" s="132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24"/>
      <c r="S25" s="143">
        <f>+P25-R25</f>
        <v>0</v>
      </c>
      <c r="T25" s="143"/>
      <c r="U25" s="144"/>
      <c r="V25" s="132"/>
      <c r="W25" s="124"/>
      <c r="X25" s="143"/>
      <c r="Y25" s="143"/>
      <c r="Z25" s="143"/>
      <c r="AA25" s="124"/>
      <c r="AB25" s="143"/>
    </row>
    <row r="26" spans="1:28">
      <c r="A26" s="132"/>
      <c r="B26" s="335"/>
      <c r="C26" s="124"/>
      <c r="D26" s="131"/>
      <c r="E26" s="132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1"/>
      <c r="R26" s="124"/>
      <c r="S26" s="143"/>
      <c r="T26" s="143"/>
      <c r="U26" s="144"/>
      <c r="V26" s="132"/>
      <c r="W26" s="124"/>
      <c r="X26" s="143"/>
      <c r="Y26" s="143"/>
      <c r="Z26" s="143"/>
      <c r="AA26" s="124"/>
      <c r="AB26" s="143"/>
    </row>
    <row r="27" spans="1:28" ht="12" customHeight="1">
      <c r="A27" s="146"/>
      <c r="B27" s="179"/>
      <c r="C27" s="124"/>
      <c r="D27" s="131"/>
      <c r="E27" s="132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43"/>
      <c r="S27" s="143"/>
      <c r="T27" s="143"/>
      <c r="U27" s="144"/>
      <c r="V27" s="132"/>
      <c r="W27" s="124"/>
      <c r="X27" s="143"/>
      <c r="Y27" s="143"/>
      <c r="Z27" s="143"/>
      <c r="AA27" s="143"/>
      <c r="AB27" s="143"/>
    </row>
    <row r="28" spans="1:28">
      <c r="A28" s="146"/>
      <c r="B28" s="179"/>
      <c r="C28" s="124"/>
      <c r="D28" s="131"/>
      <c r="E28" s="132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43"/>
      <c r="S28" s="143"/>
      <c r="T28" s="143"/>
      <c r="U28" s="144"/>
      <c r="V28" s="132"/>
      <c r="W28" s="124"/>
      <c r="X28" s="143"/>
      <c r="Y28" s="143"/>
      <c r="Z28" s="143"/>
      <c r="AA28" s="143"/>
      <c r="AB28" s="143"/>
    </row>
    <row r="29" spans="1:28">
      <c r="A29" s="146"/>
      <c r="B29" s="179"/>
      <c r="C29" s="124"/>
      <c r="D29" s="131"/>
      <c r="E29" s="132"/>
      <c r="F29" s="124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1"/>
      <c r="R29" s="143"/>
      <c r="S29" s="143"/>
      <c r="T29" s="143"/>
      <c r="U29" s="144"/>
      <c r="V29" s="132"/>
      <c r="W29" s="124"/>
      <c r="X29" s="143"/>
      <c r="Y29" s="143"/>
      <c r="Z29" s="143"/>
      <c r="AA29" s="143"/>
      <c r="AB29" s="143"/>
    </row>
    <row r="30" spans="1:28">
      <c r="A30" s="146"/>
      <c r="B30" s="179"/>
      <c r="C30" s="124"/>
      <c r="D30" s="131"/>
      <c r="E30" s="132"/>
      <c r="F30" s="124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43"/>
      <c r="T30" s="143"/>
      <c r="U30" s="144"/>
      <c r="V30" s="132"/>
      <c r="W30" s="124"/>
      <c r="X30" s="143"/>
      <c r="Y30" s="143"/>
      <c r="Z30" s="143"/>
      <c r="AA30" s="143"/>
      <c r="AB30" s="143"/>
    </row>
    <row r="31" spans="1:28">
      <c r="A31" s="146"/>
      <c r="B31" s="336"/>
      <c r="C31" s="124"/>
      <c r="D31" s="131"/>
      <c r="E31" s="132"/>
      <c r="F31" s="124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84"/>
      <c r="R31" s="143"/>
      <c r="S31" s="143"/>
      <c r="T31" s="143"/>
      <c r="U31" s="144"/>
      <c r="V31" s="132"/>
      <c r="W31" s="124"/>
      <c r="X31" s="143"/>
      <c r="Y31" s="143"/>
      <c r="Z31" s="143"/>
      <c r="AA31" s="143"/>
      <c r="AB31" s="143"/>
    </row>
    <row r="32" spans="1:28">
      <c r="A32" s="132"/>
      <c r="B32" s="335"/>
      <c r="C32" s="124"/>
      <c r="D32" s="131"/>
      <c r="E32" s="132"/>
      <c r="F32" s="124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43"/>
      <c r="T32" s="143"/>
      <c r="U32" s="144"/>
      <c r="V32" s="132"/>
      <c r="W32" s="124"/>
      <c r="X32" s="143"/>
      <c r="Y32" s="143"/>
      <c r="Z32" s="143"/>
      <c r="AA32" s="143"/>
      <c r="AB32" s="143"/>
    </row>
    <row r="33" spans="1:28" ht="0.75" hidden="1" customHeight="1">
      <c r="A33" s="146"/>
      <c r="B33" s="179"/>
      <c r="C33" s="124"/>
      <c r="D33" s="131"/>
      <c r="E33" s="132"/>
      <c r="F33" s="124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4"/>
      <c r="V33" s="132"/>
      <c r="W33" s="124"/>
      <c r="X33" s="143"/>
      <c r="Y33" s="143"/>
      <c r="Z33" s="143"/>
      <c r="AA33" s="143"/>
      <c r="AB33" s="143"/>
    </row>
    <row r="34" spans="1:28" ht="0.75" hidden="1" customHeight="1">
      <c r="A34" s="146"/>
      <c r="B34" s="179"/>
      <c r="C34" s="124"/>
      <c r="D34" s="131"/>
      <c r="E34" s="132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84"/>
      <c r="R34" s="143"/>
      <c r="S34" s="143"/>
      <c r="T34" s="877"/>
      <c r="U34" s="144"/>
      <c r="V34" s="132"/>
      <c r="W34" s="124"/>
      <c r="X34" s="143"/>
      <c r="Y34" s="124"/>
      <c r="Z34" s="143"/>
      <c r="AA34" s="143"/>
      <c r="AB34" s="877"/>
    </row>
    <row r="35" spans="1:28">
      <c r="A35" s="146"/>
      <c r="B35" s="179"/>
      <c r="C35" s="124"/>
      <c r="D35" s="131"/>
      <c r="E35" s="132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24"/>
      <c r="Q35" s="184"/>
      <c r="R35" s="143"/>
      <c r="S35" s="143"/>
      <c r="T35" s="877"/>
      <c r="U35" s="144"/>
      <c r="V35" s="132"/>
      <c r="W35" s="124"/>
      <c r="X35" s="143"/>
      <c r="Y35" s="124"/>
      <c r="Z35" s="124"/>
      <c r="AA35" s="143"/>
      <c r="AB35" s="877"/>
    </row>
    <row r="36" spans="1:28">
      <c r="A36" s="146"/>
      <c r="B36" s="179"/>
      <c r="C36" s="124"/>
      <c r="D36" s="131"/>
      <c r="E36" s="132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44"/>
      <c r="V36" s="132"/>
      <c r="W36" s="124"/>
      <c r="X36" s="143"/>
      <c r="Y36" s="124"/>
      <c r="Z36" s="124"/>
      <c r="AA36" s="143"/>
      <c r="AB36" s="877"/>
    </row>
    <row r="37" spans="1:28">
      <c r="A37" s="146"/>
      <c r="B37" s="179"/>
      <c r="C37" s="124"/>
      <c r="D37" s="131"/>
      <c r="E37" s="132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44"/>
      <c r="V37" s="132"/>
      <c r="W37" s="124"/>
      <c r="X37" s="143"/>
      <c r="Y37" s="124"/>
      <c r="Z37" s="124"/>
      <c r="AA37" s="143"/>
      <c r="AB37" s="877"/>
    </row>
    <row r="38" spans="1:28">
      <c r="A38" s="146"/>
      <c r="B38" s="179"/>
      <c r="C38" s="124"/>
      <c r="D38" s="131"/>
      <c r="E38" s="132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44"/>
      <c r="V38" s="132"/>
      <c r="W38" s="124"/>
      <c r="X38" s="143"/>
      <c r="Y38" s="124"/>
      <c r="Z38" s="124"/>
      <c r="AA38" s="143"/>
      <c r="AB38" s="877"/>
    </row>
    <row r="39" spans="1:28">
      <c r="A39" s="146"/>
      <c r="B39" s="179"/>
      <c r="C39" s="124"/>
      <c r="D39" s="131"/>
      <c r="E39" s="132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44"/>
      <c r="V39" s="132"/>
      <c r="W39" s="124"/>
      <c r="X39" s="143"/>
      <c r="Y39" s="124"/>
      <c r="Z39" s="124"/>
      <c r="AA39" s="143"/>
      <c r="AB39" s="877"/>
    </row>
    <row r="40" spans="1:28">
      <c r="A40" s="146"/>
      <c r="B40" s="179"/>
      <c r="C40" s="124"/>
      <c r="D40" s="131"/>
      <c r="E40" s="132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24"/>
      <c r="Q40" s="184"/>
      <c r="R40" s="143"/>
      <c r="S40" s="143"/>
      <c r="T40" s="877"/>
      <c r="U40" s="144"/>
      <c r="V40" s="132"/>
      <c r="W40" s="124"/>
      <c r="X40" s="143"/>
      <c r="Y40" s="124"/>
      <c r="Z40" s="124"/>
      <c r="AA40" s="143"/>
      <c r="AB40" s="877"/>
    </row>
    <row r="41" spans="1:28">
      <c r="A41" s="146"/>
      <c r="B41" s="179"/>
      <c r="C41" s="124"/>
      <c r="D41" s="131"/>
      <c r="E41" s="132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24"/>
      <c r="Q41" s="184"/>
      <c r="R41" s="143"/>
      <c r="S41" s="143"/>
      <c r="T41" s="877"/>
      <c r="U41" s="144"/>
      <c r="V41" s="132"/>
      <c r="W41" s="124"/>
      <c r="X41" s="143"/>
      <c r="Y41" s="124"/>
      <c r="Z41" s="124"/>
      <c r="AA41" s="143"/>
      <c r="AB41" s="877"/>
    </row>
    <row r="42" spans="1:28">
      <c r="A42" s="146"/>
      <c r="B42" s="179"/>
      <c r="C42" s="124"/>
      <c r="D42" s="131"/>
      <c r="E42" s="132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24"/>
      <c r="Q42" s="184"/>
      <c r="R42" s="143"/>
      <c r="S42" s="143"/>
      <c r="T42" s="877"/>
      <c r="U42" s="144"/>
      <c r="V42" s="132"/>
      <c r="W42" s="124"/>
      <c r="X42" s="143"/>
      <c r="Y42" s="124"/>
      <c r="Z42" s="124"/>
      <c r="AA42" s="143"/>
      <c r="AB42" s="877"/>
    </row>
    <row r="43" spans="1:28">
      <c r="A43" s="146"/>
      <c r="B43" s="179"/>
      <c r="C43" s="124"/>
      <c r="D43" s="131"/>
      <c r="E43" s="132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24"/>
      <c r="Q43" s="184"/>
      <c r="R43" s="143"/>
      <c r="S43" s="143"/>
      <c r="T43" s="877"/>
      <c r="U43" s="144"/>
      <c r="V43" s="132"/>
      <c r="W43" s="124"/>
      <c r="X43" s="143"/>
      <c r="Y43" s="124"/>
      <c r="Z43" s="124"/>
      <c r="AA43" s="143"/>
      <c r="AB43" s="877"/>
    </row>
    <row r="44" spans="1:28">
      <c r="A44" s="146"/>
      <c r="B44" s="179"/>
      <c r="C44" s="124"/>
      <c r="D44" s="131"/>
      <c r="E44" s="132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24"/>
      <c r="Q44" s="184"/>
      <c r="R44" s="143"/>
      <c r="S44" s="143"/>
      <c r="T44" s="877"/>
      <c r="U44" s="144"/>
      <c r="V44" s="132"/>
      <c r="W44" s="124"/>
      <c r="X44" s="143"/>
      <c r="Y44" s="124"/>
      <c r="Z44" s="124"/>
      <c r="AA44" s="143"/>
      <c r="AB44" s="877"/>
    </row>
    <row r="45" spans="1:28">
      <c r="A45" s="146"/>
      <c r="B45" s="179"/>
      <c r="C45" s="124"/>
      <c r="D45" s="131"/>
      <c r="E45" s="132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24"/>
      <c r="Q45" s="184"/>
      <c r="R45" s="143"/>
      <c r="S45" s="143"/>
      <c r="T45" s="877"/>
      <c r="U45" s="144"/>
      <c r="V45" s="132"/>
      <c r="W45" s="124"/>
      <c r="X45" s="143"/>
      <c r="Y45" s="124"/>
      <c r="Z45" s="124"/>
      <c r="AA45" s="143"/>
      <c r="AB45" s="877"/>
    </row>
    <row r="46" spans="1:28">
      <c r="A46" s="146"/>
      <c r="B46" s="179"/>
      <c r="C46" s="124"/>
      <c r="D46" s="131"/>
      <c r="E46" s="132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24"/>
      <c r="Q46" s="184"/>
      <c r="R46" s="143"/>
      <c r="S46" s="143"/>
      <c r="T46" s="877"/>
      <c r="U46" s="144"/>
      <c r="V46" s="132"/>
      <c r="W46" s="124"/>
      <c r="X46" s="143"/>
      <c r="Y46" s="124"/>
      <c r="Z46" s="124"/>
      <c r="AA46" s="143"/>
      <c r="AB46" s="877"/>
    </row>
    <row r="47" spans="1:28">
      <c r="A47" s="146"/>
      <c r="B47" s="179"/>
      <c r="C47" s="124"/>
      <c r="D47" s="131"/>
      <c r="E47" s="132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44"/>
      <c r="V47" s="132"/>
      <c r="W47" s="124"/>
      <c r="X47" s="143"/>
      <c r="Y47" s="124"/>
      <c r="Z47" s="143"/>
      <c r="AA47" s="143"/>
      <c r="AB47" s="877"/>
    </row>
    <row r="48" spans="1:28">
      <c r="A48" s="146"/>
      <c r="B48" s="179"/>
      <c r="C48" s="124"/>
      <c r="D48" s="131"/>
      <c r="E48" s="132"/>
      <c r="F48" s="124"/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44"/>
      <c r="V48" s="132"/>
      <c r="W48" s="124"/>
      <c r="X48" s="143"/>
      <c r="Y48" s="124"/>
      <c r="Z48" s="143"/>
      <c r="AA48" s="143"/>
      <c r="AB48" s="877"/>
    </row>
    <row r="49" spans="1:28">
      <c r="A49" s="146"/>
      <c r="B49" s="179"/>
      <c r="C49" s="124"/>
      <c r="D49" s="131"/>
      <c r="E49" s="132"/>
      <c r="F49" s="124"/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32"/>
      <c r="W49" s="124"/>
      <c r="X49" s="143"/>
      <c r="Y49" s="124"/>
      <c r="Z49" s="143"/>
      <c r="AA49" s="143"/>
      <c r="AB49" s="877"/>
    </row>
    <row r="50" spans="1:28">
      <c r="A50" s="146"/>
      <c r="B50" s="179"/>
      <c r="C50" s="124"/>
      <c r="D50" s="131"/>
      <c r="E50" s="146"/>
      <c r="F50" s="124"/>
      <c r="G50" s="124"/>
      <c r="H50" s="124"/>
      <c r="I50" s="191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44"/>
      <c r="V50" s="146"/>
      <c r="W50" s="124"/>
      <c r="X50" s="143"/>
      <c r="Y50" s="124"/>
      <c r="Z50" s="143"/>
      <c r="AA50" s="143"/>
      <c r="AB50" s="877"/>
    </row>
    <row r="51" spans="1:28">
      <c r="A51" s="146"/>
      <c r="B51" s="179"/>
      <c r="C51" s="124"/>
      <c r="D51" s="131"/>
      <c r="E51" s="146"/>
      <c r="F51" s="124"/>
      <c r="G51" s="124"/>
      <c r="H51" s="124"/>
      <c r="I51" s="191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44"/>
      <c r="V51" s="146"/>
      <c r="W51" s="124"/>
      <c r="X51" s="143"/>
      <c r="Y51" s="124"/>
      <c r="Z51" s="143"/>
      <c r="AA51" s="143"/>
      <c r="AB51" s="877"/>
    </row>
    <row r="52" spans="1:28">
      <c r="A52" s="146"/>
      <c r="B52" s="179"/>
      <c r="C52" s="124"/>
      <c r="D52" s="131"/>
      <c r="E52" s="146"/>
      <c r="F52" s="124"/>
      <c r="G52" s="124"/>
      <c r="H52" s="124"/>
      <c r="I52" s="191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44"/>
      <c r="V52" s="146"/>
      <c r="W52" s="124"/>
      <c r="X52" s="143"/>
      <c r="Y52" s="124"/>
      <c r="Z52" s="143"/>
      <c r="AA52" s="143"/>
      <c r="AB52" s="877"/>
    </row>
    <row r="53" spans="1:28">
      <c r="A53" s="146"/>
      <c r="B53" s="179"/>
      <c r="C53" s="124"/>
      <c r="D53" s="131"/>
      <c r="E53" s="146"/>
      <c r="F53" s="124"/>
      <c r="G53" s="124"/>
      <c r="H53" s="124"/>
      <c r="I53" s="191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44"/>
      <c r="V53" s="146"/>
      <c r="W53" s="124"/>
      <c r="X53" s="143"/>
      <c r="Y53" s="124"/>
      <c r="Z53" s="143"/>
      <c r="AA53" s="143"/>
      <c r="AB53" s="877"/>
    </row>
    <row r="54" spans="1:28">
      <c r="A54" s="146"/>
      <c r="B54" s="179"/>
      <c r="C54" s="124"/>
      <c r="D54" s="131"/>
      <c r="E54" s="146"/>
      <c r="F54" s="124"/>
      <c r="G54" s="124"/>
      <c r="H54" s="124"/>
      <c r="I54" s="191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44"/>
      <c r="V54" s="146"/>
      <c r="W54" s="124"/>
      <c r="X54" s="143"/>
      <c r="Y54" s="124"/>
      <c r="Z54" s="143"/>
      <c r="AA54" s="143"/>
      <c r="AB54" s="877"/>
    </row>
    <row r="55" spans="1:28">
      <c r="A55" s="146"/>
      <c r="B55" s="179"/>
      <c r="C55" s="124"/>
      <c r="D55" s="131"/>
      <c r="E55" s="146"/>
      <c r="F55" s="124"/>
      <c r="G55" s="124"/>
      <c r="H55" s="124"/>
      <c r="I55" s="191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44"/>
      <c r="V55" s="146"/>
      <c r="W55" s="124"/>
      <c r="X55" s="143"/>
      <c r="Y55" s="124"/>
      <c r="Z55" s="143"/>
      <c r="AA55" s="143"/>
      <c r="AB55" s="877"/>
    </row>
    <row r="56" spans="1:28">
      <c r="A56" s="146"/>
      <c r="B56" s="179"/>
      <c r="C56" s="124"/>
      <c r="D56" s="131"/>
      <c r="E56" s="132"/>
      <c r="F56" s="124"/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44"/>
      <c r="V56" s="132"/>
      <c r="W56" s="124"/>
      <c r="X56" s="143"/>
      <c r="Y56" s="124"/>
      <c r="Z56" s="143"/>
      <c r="AA56" s="143"/>
      <c r="AB56" s="877"/>
    </row>
    <row r="57" spans="1:28">
      <c r="A57" s="339"/>
      <c r="B57" s="340" t="s">
        <v>17</v>
      </c>
      <c r="C57" s="892">
        <f t="shared" ref="C57:AB57" si="0">SUM(C15:C56)</f>
        <v>468000</v>
      </c>
      <c r="D57" s="892">
        <f t="shared" si="0"/>
        <v>468000</v>
      </c>
      <c r="E57" s="892">
        <f t="shared" si="0"/>
        <v>3</v>
      </c>
      <c r="F57" s="892">
        <f t="shared" si="0"/>
        <v>468000</v>
      </c>
      <c r="G57" s="892">
        <f t="shared" si="0"/>
        <v>0</v>
      </c>
      <c r="H57" s="892">
        <f t="shared" si="0"/>
        <v>0</v>
      </c>
      <c r="I57" s="892">
        <f t="shared" si="0"/>
        <v>156000</v>
      </c>
      <c r="J57" s="892">
        <f t="shared" si="0"/>
        <v>31200</v>
      </c>
      <c r="K57" s="892">
        <f t="shared" si="0"/>
        <v>0</v>
      </c>
      <c r="L57" s="892">
        <f t="shared" si="0"/>
        <v>124800</v>
      </c>
      <c r="M57" s="892">
        <f t="shared" si="0"/>
        <v>0</v>
      </c>
      <c r="N57" s="892">
        <f t="shared" si="0"/>
        <v>4600</v>
      </c>
      <c r="O57" s="892">
        <f t="shared" si="0"/>
        <v>0</v>
      </c>
      <c r="P57" s="892">
        <f t="shared" si="0"/>
        <v>0</v>
      </c>
      <c r="Q57" s="892">
        <f t="shared" si="0"/>
        <v>0</v>
      </c>
      <c r="R57" s="892">
        <f t="shared" si="0"/>
        <v>0</v>
      </c>
      <c r="S57" s="892">
        <f t="shared" si="0"/>
        <v>0</v>
      </c>
      <c r="T57" s="893">
        <f>W57-L57</f>
        <v>343200</v>
      </c>
      <c r="U57" s="892">
        <f t="shared" si="0"/>
        <v>468000</v>
      </c>
      <c r="V57" s="892">
        <f t="shared" si="0"/>
        <v>3</v>
      </c>
      <c r="W57" s="892">
        <f t="shared" si="0"/>
        <v>468000</v>
      </c>
      <c r="X57" s="892">
        <f>SUM(X15:X56)</f>
        <v>124800</v>
      </c>
      <c r="Y57" s="892">
        <f>SUM(Y15:Y56)</f>
        <v>4600</v>
      </c>
      <c r="Z57" s="892">
        <f t="shared" si="0"/>
        <v>0</v>
      </c>
      <c r="AA57" s="892">
        <f t="shared" si="0"/>
        <v>0</v>
      </c>
      <c r="AB57" s="892">
        <f t="shared" si="0"/>
        <v>468000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</sheetData>
  <mergeCells count="7">
    <mergeCell ref="Z8:Z12"/>
    <mergeCell ref="AA8:AA12"/>
    <mergeCell ref="AB8:AB12"/>
    <mergeCell ref="E1:F1"/>
    <mergeCell ref="D6:E6"/>
    <mergeCell ref="X8:X12"/>
    <mergeCell ref="Y8:Y12"/>
  </mergeCells>
  <phoneticPr fontId="0" type="noConversion"/>
  <conditionalFormatting sqref="U8:W9 X8:AC12 T16:T20">
    <cfRule type="cellIs" dxfId="45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AE75"/>
  <sheetViews>
    <sheetView showGridLines="0" showZeros="0" workbookViewId="0">
      <selection activeCell="A50" sqref="A50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117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832" t="s">
        <v>52</v>
      </c>
      <c r="E3" s="2149"/>
      <c r="F3" s="243" t="s">
        <v>84</v>
      </c>
      <c r="G3" s="2136" t="s">
        <v>106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45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118</v>
      </c>
      <c r="C4" s="1325"/>
      <c r="D4" s="243"/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201200365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121</v>
      </c>
      <c r="C6" s="828"/>
      <c r="D6" s="828"/>
      <c r="E6" s="831"/>
      <c r="F6" s="825"/>
      <c r="G6" s="825"/>
      <c r="H6" s="833"/>
      <c r="I6" s="834"/>
      <c r="J6" s="835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/>
      <c r="Q14" s="191"/>
      <c r="R14" s="191"/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354"/>
      <c r="D15" s="144"/>
      <c r="E15" s="190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/>
      <c r="X15" s="895"/>
      <c r="Y15" s="895"/>
      <c r="Z15" s="895"/>
      <c r="AA15" s="895"/>
      <c r="AB15" s="895"/>
    </row>
    <row r="16" spans="1:31">
      <c r="A16" s="178">
        <v>1</v>
      </c>
      <c r="B16" s="168" t="s">
        <v>122</v>
      </c>
      <c r="C16" s="124">
        <f>D16*E16</f>
        <v>360000</v>
      </c>
      <c r="D16" s="124">
        <f>300000*1.2</f>
        <v>360000</v>
      </c>
      <c r="E16" s="357">
        <v>1</v>
      </c>
      <c r="F16" s="124">
        <f>D16*E16</f>
        <v>360000</v>
      </c>
      <c r="G16" s="143">
        <v>73200</v>
      </c>
      <c r="H16" s="143" t="s">
        <v>96</v>
      </c>
      <c r="I16" s="187">
        <f>W16</f>
        <v>360000</v>
      </c>
      <c r="J16" s="143"/>
      <c r="K16" s="143"/>
      <c r="L16" s="143">
        <f>+I16-J16+K16</f>
        <v>360000</v>
      </c>
      <c r="M16" s="143"/>
      <c r="N16" s="2374">
        <f>G16</f>
        <v>73200</v>
      </c>
      <c r="O16" s="143">
        <v>1</v>
      </c>
      <c r="P16" s="124">
        <f>O16*D16</f>
        <v>360000</v>
      </c>
      <c r="Q16" s="358"/>
      <c r="R16" s="124"/>
      <c r="S16" s="143">
        <f>P16-R16</f>
        <v>360000</v>
      </c>
      <c r="T16" s="1919">
        <f>W16-L16</f>
        <v>0</v>
      </c>
      <c r="U16" s="124">
        <f>300000*1.2</f>
        <v>360000</v>
      </c>
      <c r="V16" s="357">
        <v>1</v>
      </c>
      <c r="W16" s="124">
        <f>U16*V16</f>
        <v>360000</v>
      </c>
      <c r="X16" s="143">
        <v>360000</v>
      </c>
      <c r="Y16" s="143">
        <v>73200</v>
      </c>
      <c r="Z16" s="124">
        <v>360000</v>
      </c>
      <c r="AA16" s="143"/>
      <c r="AB16" s="143">
        <v>240000</v>
      </c>
    </row>
    <row r="17" spans="1:28">
      <c r="A17" s="178"/>
      <c r="B17" s="359" t="s">
        <v>123</v>
      </c>
      <c r="C17" s="124"/>
      <c r="D17" s="143"/>
      <c r="E17" s="190"/>
      <c r="F17" s="124"/>
      <c r="G17" s="143"/>
      <c r="H17" s="143"/>
      <c r="I17" s="143"/>
      <c r="J17" s="143"/>
      <c r="K17" s="143"/>
      <c r="L17" s="143"/>
      <c r="M17" s="143"/>
      <c r="N17" s="2374"/>
      <c r="O17" s="143"/>
      <c r="P17" s="143"/>
      <c r="Q17" s="141"/>
      <c r="R17" s="124"/>
      <c r="S17" s="143">
        <f t="shared" ref="S17:S18" si="0">P17-R17</f>
        <v>0</v>
      </c>
      <c r="T17" s="143"/>
      <c r="U17" s="143"/>
      <c r="V17" s="190"/>
      <c r="W17" s="124"/>
      <c r="X17" s="143"/>
      <c r="Y17" s="143"/>
      <c r="Z17" s="143"/>
      <c r="AA17" s="143"/>
      <c r="AB17" s="143"/>
    </row>
    <row r="18" spans="1:28">
      <c r="A18" s="178">
        <v>2</v>
      </c>
      <c r="B18" s="142" t="s">
        <v>124</v>
      </c>
      <c r="C18" s="124">
        <f>D18*E18</f>
        <v>276000</v>
      </c>
      <c r="D18" s="124">
        <f>230000*1.2</f>
        <v>276000</v>
      </c>
      <c r="E18" s="190">
        <v>1</v>
      </c>
      <c r="F18" s="124">
        <f>D18*E18</f>
        <v>276000</v>
      </c>
      <c r="G18" s="2327">
        <v>68040</v>
      </c>
      <c r="H18" s="143" t="s">
        <v>403</v>
      </c>
      <c r="I18" s="187">
        <f>W18</f>
        <v>276000</v>
      </c>
      <c r="J18" s="143">
        <f>I18*0.4</f>
        <v>110400</v>
      </c>
      <c r="K18" s="143"/>
      <c r="L18" s="143">
        <f>+I18-J18+K18</f>
        <v>165600</v>
      </c>
      <c r="M18" s="143"/>
      <c r="N18" s="2374">
        <v>60000</v>
      </c>
      <c r="O18" s="143"/>
      <c r="P18" s="2377">
        <v>165600</v>
      </c>
      <c r="Q18" s="141"/>
      <c r="R18" s="143"/>
      <c r="S18" s="143">
        <f t="shared" si="0"/>
        <v>165600</v>
      </c>
      <c r="T18" s="1919">
        <f>W18-L18</f>
        <v>110400</v>
      </c>
      <c r="U18" s="124">
        <f>230000*1.2</f>
        <v>276000</v>
      </c>
      <c r="V18" s="190">
        <v>1</v>
      </c>
      <c r="W18" s="124">
        <f>U18*V18</f>
        <v>276000</v>
      </c>
      <c r="X18" s="143">
        <v>165600</v>
      </c>
      <c r="Y18" s="143">
        <v>60000</v>
      </c>
      <c r="Z18" s="1517">
        <v>165600</v>
      </c>
      <c r="AA18" s="143"/>
      <c r="AB18" s="143">
        <v>288000</v>
      </c>
    </row>
    <row r="19" spans="1:28">
      <c r="A19" s="178"/>
      <c r="B19" s="360" t="s">
        <v>123</v>
      </c>
      <c r="C19" s="124"/>
      <c r="D19" s="143"/>
      <c r="E19" s="190"/>
      <c r="F19" s="124"/>
      <c r="G19" s="143"/>
      <c r="H19" s="143"/>
      <c r="I19" s="143"/>
      <c r="J19" s="143"/>
      <c r="K19" s="143"/>
      <c r="L19" s="143"/>
      <c r="M19" s="143"/>
      <c r="N19" s="2374">
        <v>5880</v>
      </c>
      <c r="O19" s="143"/>
      <c r="P19" s="143"/>
      <c r="Q19" s="141"/>
      <c r="R19" s="143"/>
      <c r="S19" s="143"/>
      <c r="T19" s="143"/>
      <c r="U19" s="143"/>
      <c r="V19" s="190"/>
      <c r="W19" s="124"/>
      <c r="X19" s="143"/>
      <c r="Y19" s="143"/>
      <c r="Z19" s="143"/>
      <c r="AA19" s="143"/>
      <c r="AB19" s="143"/>
    </row>
    <row r="20" spans="1:28">
      <c r="A20" s="178">
        <v>3</v>
      </c>
      <c r="B20" s="179" t="s">
        <v>125</v>
      </c>
      <c r="C20" s="124">
        <f>D20*E20</f>
        <v>84000</v>
      </c>
      <c r="D20" s="143">
        <f>70000*1.2</f>
        <v>84000</v>
      </c>
      <c r="E20" s="190">
        <v>1</v>
      </c>
      <c r="F20" s="124">
        <f>D20*E20</f>
        <v>84000</v>
      </c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1"/>
      <c r="R20" s="124"/>
      <c r="S20" s="143"/>
      <c r="T20" s="1919">
        <f>W20-L20</f>
        <v>84000</v>
      </c>
      <c r="U20" s="143">
        <f>70000*1.2</f>
        <v>84000</v>
      </c>
      <c r="V20" s="190">
        <v>1</v>
      </c>
      <c r="W20" s="124">
        <f>U20*V20</f>
        <v>84000</v>
      </c>
      <c r="X20" s="143"/>
      <c r="Y20" s="143"/>
      <c r="Z20" s="143"/>
      <c r="AA20" s="143"/>
      <c r="AB20" s="143">
        <v>72000</v>
      </c>
    </row>
    <row r="21" spans="1:28" ht="12.75" customHeight="1">
      <c r="A21" s="354"/>
      <c r="B21" s="360" t="s">
        <v>123</v>
      </c>
      <c r="C21" s="124"/>
      <c r="D21" s="143"/>
      <c r="E21" s="190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143"/>
      <c r="U21" s="143"/>
      <c r="V21" s="190"/>
      <c r="W21" s="124"/>
      <c r="X21" s="143"/>
      <c r="Y21" s="143"/>
      <c r="Z21" s="143"/>
      <c r="AA21" s="143"/>
      <c r="AB21" s="143"/>
    </row>
    <row r="22" spans="1:28">
      <c r="A22" s="178"/>
      <c r="B22" s="360"/>
      <c r="C22" s="124"/>
      <c r="D22" s="143"/>
      <c r="E22" s="190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43"/>
      <c r="S22" s="143"/>
      <c r="T22" s="143"/>
      <c r="U22" s="143"/>
      <c r="V22" s="190"/>
      <c r="W22" s="124"/>
      <c r="X22" s="143"/>
      <c r="Y22" s="143"/>
      <c r="Z22" s="143"/>
      <c r="AA22" s="143"/>
      <c r="AB22" s="143"/>
    </row>
    <row r="23" spans="1:28">
      <c r="A23" s="178"/>
      <c r="B23" s="179"/>
      <c r="C23" s="124"/>
      <c r="D23" s="143"/>
      <c r="E23" s="190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>
      <c r="A24" s="178"/>
      <c r="B24" s="359"/>
      <c r="C24" s="124"/>
      <c r="D24" s="143"/>
      <c r="E24" s="190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179"/>
      <c r="C25" s="124"/>
      <c r="D25" s="143"/>
      <c r="E25" s="190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361"/>
      <c r="B26" s="362"/>
      <c r="C26" s="124"/>
      <c r="D26" s="143"/>
      <c r="E26" s="190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</row>
    <row r="27" spans="1:28">
      <c r="A27" s="178"/>
      <c r="B27" s="179"/>
      <c r="C27" s="124"/>
      <c r="D27" s="143"/>
      <c r="E27" s="190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/>
    </row>
    <row r="28" spans="1:28">
      <c r="A28" s="178"/>
      <c r="B28" s="360"/>
      <c r="C28" s="124"/>
      <c r="D28" s="143"/>
      <c r="E28" s="190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/>
    </row>
    <row r="29" spans="1:28">
      <c r="A29" s="178"/>
      <c r="B29" s="179"/>
      <c r="C29" s="124"/>
      <c r="D29" s="143"/>
      <c r="E29" s="190"/>
      <c r="F29" s="124"/>
      <c r="G29" s="124"/>
      <c r="H29" s="124"/>
      <c r="I29" s="191"/>
      <c r="J29" s="124"/>
      <c r="K29" s="124"/>
      <c r="L29" s="143"/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143"/>
      <c r="Y29" s="124"/>
      <c r="Z29" s="143"/>
      <c r="AA29" s="877"/>
      <c r="AB29" s="877"/>
    </row>
    <row r="30" spans="1:28">
      <c r="A30" s="178"/>
      <c r="B30" s="360"/>
      <c r="C30" s="124"/>
      <c r="D30" s="124"/>
      <c r="E30" s="190"/>
      <c r="F30" s="124"/>
      <c r="G30" s="124"/>
      <c r="H30" s="124"/>
      <c r="I30" s="191"/>
      <c r="J30" s="124"/>
      <c r="K30" s="124"/>
      <c r="L30" s="143"/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143"/>
      <c r="Y30" s="124"/>
      <c r="Z30" s="124"/>
      <c r="AA30" s="877"/>
      <c r="AB30" s="877"/>
    </row>
    <row r="31" spans="1:28">
      <c r="A31" s="178"/>
      <c r="B31" s="179"/>
      <c r="C31" s="124"/>
      <c r="D31" s="124"/>
      <c r="E31" s="190"/>
      <c r="F31" s="124"/>
      <c r="G31" s="124"/>
      <c r="H31" s="124"/>
      <c r="I31" s="191"/>
      <c r="J31" s="124"/>
      <c r="K31" s="124"/>
      <c r="L31" s="143"/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143"/>
      <c r="Y31" s="124"/>
      <c r="Z31" s="124"/>
      <c r="AA31" s="877"/>
      <c r="AB31" s="877"/>
    </row>
    <row r="32" spans="1:28">
      <c r="A32" s="178"/>
      <c r="B32" s="360"/>
      <c r="C32" s="124"/>
      <c r="D32" s="124"/>
      <c r="E32" s="190"/>
      <c r="F32" s="124"/>
      <c r="G32" s="124"/>
      <c r="H32" s="124"/>
      <c r="I32" s="191"/>
      <c r="J32" s="124"/>
      <c r="K32" s="124"/>
      <c r="L32" s="143"/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143"/>
      <c r="Y32" s="124"/>
      <c r="Z32" s="124"/>
      <c r="AA32" s="877"/>
      <c r="AB32" s="877"/>
    </row>
    <row r="33" spans="1:28">
      <c r="A33" s="178"/>
      <c r="B33" s="179"/>
      <c r="C33" s="124"/>
      <c r="D33" s="124"/>
      <c r="E33" s="190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143"/>
      <c r="Y33" s="124"/>
      <c r="Z33" s="124"/>
      <c r="AA33" s="877"/>
      <c r="AB33" s="877"/>
    </row>
    <row r="34" spans="1:28">
      <c r="A34" s="178"/>
      <c r="B34" s="363"/>
      <c r="C34" s="124"/>
      <c r="D34" s="124"/>
      <c r="E34" s="190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143"/>
      <c r="Y34" s="124"/>
      <c r="Z34" s="143"/>
      <c r="AA34" s="877"/>
      <c r="AB34" s="877"/>
    </row>
    <row r="35" spans="1:28">
      <c r="A35" s="178"/>
      <c r="B35" s="179"/>
      <c r="C35" s="124"/>
      <c r="D35" s="124"/>
      <c r="E35" s="190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143"/>
      <c r="Y35" s="124"/>
      <c r="Z35" s="143"/>
      <c r="AA35" s="877"/>
      <c r="AB35" s="877"/>
    </row>
    <row r="36" spans="1:28">
      <c r="A36" s="178"/>
      <c r="B36" s="179"/>
      <c r="C36" s="124"/>
      <c r="D36" s="124"/>
      <c r="E36" s="190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143"/>
      <c r="Y36" s="124"/>
      <c r="Z36" s="143"/>
      <c r="AA36" s="877"/>
      <c r="AB36" s="877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143"/>
      <c r="Y37" s="124"/>
      <c r="Z37" s="143"/>
      <c r="AA37" s="877"/>
      <c r="AB37" s="877"/>
    </row>
    <row r="38" spans="1:28">
      <c r="A38" s="178"/>
      <c r="B38" s="363"/>
      <c r="C38" s="124"/>
      <c r="D38" s="124"/>
      <c r="E38" s="357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143"/>
      <c r="Y38" s="124"/>
      <c r="Z38" s="143"/>
      <c r="AA38" s="877"/>
      <c r="AB38" s="877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143"/>
      <c r="Y39" s="124"/>
      <c r="Z39" s="143"/>
      <c r="AA39" s="877"/>
      <c r="AB39" s="877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143"/>
      <c r="Y40" s="124"/>
      <c r="Z40" s="143"/>
      <c r="AA40" s="877"/>
      <c r="AB40" s="877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143"/>
      <c r="Y41" s="124"/>
      <c r="Z41" s="143"/>
      <c r="AA41" s="877"/>
      <c r="AB41" s="877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143"/>
      <c r="Y42" s="124"/>
      <c r="Z42" s="143"/>
      <c r="AA42" s="877"/>
      <c r="AB42" s="877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143"/>
      <c r="Y43" s="124"/>
      <c r="Z43" s="143"/>
      <c r="AA43" s="877"/>
      <c r="AB43" s="877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143"/>
      <c r="Y44" s="124"/>
      <c r="Z44" s="143"/>
      <c r="AA44" s="877"/>
      <c r="AB44" s="877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143"/>
      <c r="Y45" s="124"/>
      <c r="Z45" s="143"/>
      <c r="AA45" s="877"/>
      <c r="AB45" s="877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143"/>
      <c r="Y46" s="124"/>
      <c r="Z46" s="143"/>
      <c r="AA46" s="877"/>
      <c r="AB46" s="877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143"/>
      <c r="Y47" s="124"/>
      <c r="Z47" s="143"/>
      <c r="AA47" s="877"/>
      <c r="AB47" s="877"/>
    </row>
    <row r="48" spans="1:28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143"/>
      <c r="Y48" s="124"/>
      <c r="Z48" s="143"/>
      <c r="AA48" s="877"/>
      <c r="AB48" s="877"/>
    </row>
    <row r="49" spans="1:28">
      <c r="A49" s="178"/>
      <c r="B49" s="365"/>
      <c r="C49" s="124"/>
      <c r="D49" s="124"/>
      <c r="E49" s="190"/>
      <c r="F49" s="124"/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>
        <f>+P49-R49</f>
        <v>0</v>
      </c>
      <c r="T49" s="877"/>
      <c r="U49" s="124"/>
      <c r="V49" s="190"/>
      <c r="W49" s="124"/>
      <c r="X49" s="143"/>
      <c r="Y49" s="124"/>
      <c r="Z49" s="143"/>
      <c r="AA49" s="877"/>
      <c r="AB49" s="877"/>
    </row>
    <row r="50" spans="1:28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143"/>
      <c r="Y50" s="124"/>
      <c r="Z50" s="143"/>
      <c r="AA50" s="877"/>
      <c r="AB50" s="877"/>
    </row>
    <row r="51" spans="1:28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143"/>
      <c r="Y51" s="124"/>
      <c r="Z51" s="143"/>
      <c r="AA51" s="877"/>
      <c r="AB51" s="877"/>
    </row>
    <row r="52" spans="1:28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143"/>
      <c r="Y52" s="124"/>
      <c r="Z52" s="143"/>
      <c r="AA52" s="877"/>
      <c r="AB52" s="877"/>
    </row>
    <row r="53" spans="1:28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143"/>
      <c r="Y53" s="124"/>
      <c r="Z53" s="143"/>
      <c r="AA53" s="877"/>
      <c r="AB53" s="877"/>
    </row>
    <row r="54" spans="1:28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143"/>
      <c r="Y54" s="124"/>
      <c r="Z54" s="143"/>
      <c r="AA54" s="877"/>
      <c r="AB54" s="877"/>
    </row>
    <row r="55" spans="1:28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143"/>
      <c r="Y55" s="124"/>
      <c r="Z55" s="143"/>
      <c r="AA55" s="877"/>
      <c r="AB55" s="877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>
        <f>U56*V56</f>
        <v>0</v>
      </c>
      <c r="X56" s="143"/>
      <c r="Y56" s="124"/>
      <c r="Z56" s="143"/>
      <c r="AA56" s="877"/>
      <c r="AB56" s="877"/>
    </row>
    <row r="57" spans="1:28">
      <c r="A57" s="339" t="s">
        <v>97</v>
      </c>
      <c r="B57" s="340" t="s">
        <v>17</v>
      </c>
      <c r="C57" s="900">
        <f>SUM(C16:C56)</f>
        <v>720000</v>
      </c>
      <c r="D57" s="900"/>
      <c r="E57" s="901"/>
      <c r="F57" s="900">
        <f>SUM(F16:F56)</f>
        <v>720000</v>
      </c>
      <c r="G57" s="900">
        <f t="shared" ref="G57:N57" si="1">SUM(G15:G56)</f>
        <v>141240</v>
      </c>
      <c r="H57" s="900">
        <f t="shared" si="1"/>
        <v>0</v>
      </c>
      <c r="I57" s="900">
        <f t="shared" si="1"/>
        <v>636000</v>
      </c>
      <c r="J57" s="900">
        <f t="shared" si="1"/>
        <v>110400</v>
      </c>
      <c r="K57" s="900">
        <f t="shared" si="1"/>
        <v>0</v>
      </c>
      <c r="L57" s="900">
        <f t="shared" si="1"/>
        <v>525600</v>
      </c>
      <c r="M57" s="900">
        <f t="shared" si="1"/>
        <v>0</v>
      </c>
      <c r="N57" s="900">
        <f t="shared" si="1"/>
        <v>139080</v>
      </c>
      <c r="O57" s="900"/>
      <c r="P57" s="900">
        <f>SUM(P15:P56)</f>
        <v>525600</v>
      </c>
      <c r="Q57" s="900"/>
      <c r="R57" s="900">
        <f>SUM(R15:R56)</f>
        <v>0</v>
      </c>
      <c r="S57" s="900">
        <f>SUM(S15:S56)</f>
        <v>525600</v>
      </c>
      <c r="T57" s="893">
        <f>W57-L57</f>
        <v>194400</v>
      </c>
      <c r="U57" s="900"/>
      <c r="V57" s="900"/>
      <c r="W57" s="900">
        <f>SUM(W16:W56)</f>
        <v>720000</v>
      </c>
      <c r="X57" s="900">
        <f>SUM(X16:X56)</f>
        <v>525600</v>
      </c>
      <c r="Y57" s="900">
        <f>SUM(Y16:Y56)</f>
        <v>133200</v>
      </c>
      <c r="Z57" s="900">
        <f>SUM(Z16:Z56)</f>
        <v>525600</v>
      </c>
      <c r="AA57" s="900">
        <f>SUM(AA15:AA56)</f>
        <v>0</v>
      </c>
      <c r="AB57" s="900">
        <f>SUM(AB15:AB56)</f>
        <v>600000</v>
      </c>
    </row>
    <row r="58" spans="1:28">
      <c r="A58" s="1000"/>
      <c r="B58" s="1001"/>
      <c r="C58" s="896"/>
      <c r="D58" s="896"/>
      <c r="E58" s="1002"/>
      <c r="F58" s="1003"/>
      <c r="G58" s="1003"/>
      <c r="H58" s="1003"/>
      <c r="I58" s="1003"/>
      <c r="J58" s="1003"/>
      <c r="K58" s="1003"/>
      <c r="L58" s="1003"/>
      <c r="M58" s="1003"/>
      <c r="N58" s="1003"/>
      <c r="O58" s="896"/>
      <c r="P58" s="1003"/>
      <c r="Q58" s="896"/>
      <c r="R58" s="896"/>
      <c r="S58" s="1004"/>
      <c r="T58" s="1004"/>
      <c r="U58" s="896"/>
      <c r="V58" s="896"/>
      <c r="W58" s="1003"/>
      <c r="X58" s="1004"/>
      <c r="Y58" s="1004"/>
      <c r="Z58" s="1004"/>
      <c r="AA58" s="1004"/>
      <c r="AB58" s="1004"/>
    </row>
    <row r="59" spans="1:28">
      <c r="A59" s="1000"/>
      <c r="B59" s="1001"/>
      <c r="C59" s="896"/>
      <c r="D59" s="896"/>
      <c r="E59" s="1002"/>
      <c r="F59" s="1003"/>
      <c r="G59" s="1003"/>
      <c r="H59" s="1003"/>
      <c r="I59" s="1003"/>
      <c r="J59" s="1003"/>
      <c r="K59" s="1003"/>
      <c r="L59" s="1003"/>
      <c r="M59" s="1003"/>
      <c r="N59" s="1003"/>
      <c r="O59" s="896"/>
      <c r="P59" s="1003"/>
      <c r="Q59" s="896"/>
      <c r="R59" s="896"/>
      <c r="S59" s="1004"/>
      <c r="T59" s="1004"/>
      <c r="U59" s="896"/>
      <c r="V59" s="896"/>
      <c r="W59" s="1003"/>
      <c r="X59" s="1004"/>
      <c r="Y59" s="1004"/>
      <c r="Z59" s="1004"/>
      <c r="AA59" s="1004"/>
      <c r="AB59" s="1004"/>
    </row>
    <row r="60" spans="1:28">
      <c r="A60" s="333"/>
      <c r="B60" s="333"/>
      <c r="C60" s="896"/>
      <c r="D60" s="896"/>
      <c r="E60" s="1002"/>
      <c r="F60" s="1003"/>
      <c r="G60" s="896"/>
      <c r="H60" s="896"/>
      <c r="I60" s="896"/>
      <c r="J60" s="896"/>
      <c r="K60" s="896"/>
      <c r="L60" s="896"/>
      <c r="M60" s="896"/>
      <c r="N60" s="896"/>
      <c r="O60" s="896"/>
      <c r="P60" s="896"/>
      <c r="Q60" s="1004"/>
      <c r="R60" s="896"/>
      <c r="S60" s="1004"/>
      <c r="T60" s="1004"/>
      <c r="U60" s="896"/>
      <c r="V60" s="896"/>
      <c r="W60" s="1003"/>
      <c r="X60" s="1004"/>
      <c r="Y60" s="1004"/>
      <c r="Z60" s="1004"/>
      <c r="AA60" s="1004"/>
      <c r="AB60" s="1004"/>
    </row>
    <row r="61" spans="1:28">
      <c r="A61" s="333"/>
      <c r="B61" s="333"/>
      <c r="C61" s="896"/>
      <c r="D61" s="896"/>
      <c r="E61" s="1002"/>
      <c r="F61" s="1003"/>
      <c r="G61" s="896"/>
      <c r="H61" s="896"/>
      <c r="I61" s="896"/>
      <c r="J61" s="896"/>
      <c r="K61" s="896"/>
      <c r="L61" s="896"/>
      <c r="M61" s="896"/>
      <c r="N61" s="896"/>
      <c r="O61" s="896"/>
      <c r="P61" s="896"/>
      <c r="Q61" s="1004"/>
      <c r="R61" s="896"/>
      <c r="S61" s="1004"/>
      <c r="T61" s="1004"/>
      <c r="U61" s="896"/>
      <c r="V61" s="896"/>
      <c r="W61" s="1003"/>
      <c r="X61" s="1004"/>
      <c r="Y61" s="1004"/>
      <c r="Z61" s="1004"/>
      <c r="AA61" s="1004"/>
      <c r="AB61" s="1004"/>
    </row>
    <row r="62" spans="1:28">
      <c r="A62" s="333"/>
      <c r="B62" s="333"/>
      <c r="C62" s="896"/>
      <c r="D62" s="896"/>
      <c r="E62" s="1002"/>
      <c r="F62" s="896"/>
      <c r="G62" s="896"/>
      <c r="H62" s="896"/>
      <c r="I62" s="896"/>
      <c r="J62" s="896"/>
      <c r="K62" s="896"/>
      <c r="L62" s="896"/>
      <c r="M62" s="896"/>
      <c r="N62" s="896"/>
      <c r="O62" s="896"/>
      <c r="P62" s="896">
        <v>360000</v>
      </c>
      <c r="Q62" s="1004">
        <v>0</v>
      </c>
      <c r="R62" s="896"/>
      <c r="S62" s="1004"/>
      <c r="T62" s="1004"/>
      <c r="U62" s="896"/>
      <c r="V62" s="896"/>
      <c r="W62" s="896"/>
      <c r="X62" s="1004"/>
      <c r="Y62" s="1004"/>
      <c r="Z62" s="1004"/>
      <c r="AA62" s="1004"/>
      <c r="AB62" s="1004"/>
    </row>
    <row r="63" spans="1:28">
      <c r="A63" s="333" t="s">
        <v>59</v>
      </c>
      <c r="B63" s="333"/>
      <c r="C63" s="896"/>
      <c r="D63" s="896"/>
      <c r="E63" s="1002"/>
      <c r="F63" s="1003"/>
      <c r="G63" s="896"/>
      <c r="H63" s="896"/>
      <c r="I63" s="896"/>
      <c r="J63" s="896"/>
      <c r="K63" s="896"/>
      <c r="L63" s="896"/>
      <c r="M63" s="896"/>
      <c r="N63" s="896"/>
      <c r="O63" s="896"/>
      <c r="P63" s="896"/>
      <c r="Q63" s="1004"/>
      <c r="R63" s="1004"/>
      <c r="S63" s="1004"/>
      <c r="T63" s="1004"/>
      <c r="U63" s="896"/>
      <c r="V63" s="896"/>
      <c r="W63" s="1003"/>
      <c r="X63" s="1004"/>
      <c r="Y63" s="1004"/>
      <c r="Z63" s="1004"/>
      <c r="AA63" s="1004"/>
      <c r="AB63" s="1004"/>
    </row>
    <row r="75" spans="2:2">
      <c r="B75" s="304" t="s">
        <v>126</v>
      </c>
    </row>
  </sheetData>
  <mergeCells count="6">
    <mergeCell ref="AA8:AA12"/>
    <mergeCell ref="AB8:AB12"/>
    <mergeCell ref="E1:F1"/>
    <mergeCell ref="X8:X12"/>
    <mergeCell ref="Y8:Y12"/>
    <mergeCell ref="Z8:Z12"/>
  </mergeCells>
  <phoneticPr fontId="0" type="noConversion"/>
  <conditionalFormatting sqref="U8:W9 X8:AB12 T20 T16 T18">
    <cfRule type="cellIs" dxfId="44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AE75"/>
  <sheetViews>
    <sheetView showGridLines="0" showZeros="0" topLeftCell="L1" zoomScaleNormal="100" workbookViewId="0">
      <selection activeCell="Z16" sqref="Z16:Z18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127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52</v>
      </c>
      <c r="E3" s="2149"/>
      <c r="F3" s="243" t="s">
        <v>84</v>
      </c>
      <c r="G3" s="2136" t="s">
        <v>106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45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118</v>
      </c>
      <c r="C4" s="1325"/>
      <c r="D4" s="1325"/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201200364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 t="s">
        <v>128</v>
      </c>
      <c r="C6" s="828"/>
      <c r="D6" s="828"/>
      <c r="E6" s="831"/>
      <c r="F6" s="825"/>
      <c r="G6" s="825"/>
      <c r="H6" s="833"/>
      <c r="I6" s="834"/>
      <c r="J6" s="835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830"/>
      <c r="B7" s="994"/>
      <c r="C7" s="828"/>
      <c r="D7" s="828"/>
      <c r="E7" s="831"/>
      <c r="F7" s="825"/>
      <c r="G7" s="825"/>
      <c r="H7" s="833"/>
      <c r="I7" s="834"/>
      <c r="J7" s="835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10.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1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/>
      <c r="Q14" s="191"/>
      <c r="R14" s="191"/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354"/>
      <c r="D15" s="144"/>
      <c r="E15" s="190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/>
      <c r="X15" s="895"/>
      <c r="Y15" s="895"/>
      <c r="Z15" s="895"/>
      <c r="AA15" s="895"/>
      <c r="AB15" s="895">
        <v>0</v>
      </c>
    </row>
    <row r="16" spans="1:31">
      <c r="A16" s="178">
        <v>1</v>
      </c>
      <c r="B16" s="168" t="s">
        <v>122</v>
      </c>
      <c r="C16" s="124">
        <f>D16*E16</f>
        <v>384000</v>
      </c>
      <c r="D16" s="124">
        <f>320000*1.2</f>
        <v>384000</v>
      </c>
      <c r="E16" s="357">
        <v>1</v>
      </c>
      <c r="F16" s="124">
        <f>D16*E16</f>
        <v>384000</v>
      </c>
      <c r="G16" s="143">
        <v>116400</v>
      </c>
      <c r="H16" s="143" t="s">
        <v>96</v>
      </c>
      <c r="I16" s="187">
        <f>W16</f>
        <v>384000</v>
      </c>
      <c r="J16" s="143"/>
      <c r="K16" s="143"/>
      <c r="L16" s="143">
        <f>+I16-J16+K16</f>
        <v>384000</v>
      </c>
      <c r="M16" s="143"/>
      <c r="N16" s="2374">
        <v>132000</v>
      </c>
      <c r="O16" s="143">
        <v>1</v>
      </c>
      <c r="P16" s="124">
        <f>O16*D16</f>
        <v>384000</v>
      </c>
      <c r="Q16" s="358"/>
      <c r="R16" s="124"/>
      <c r="S16" s="143">
        <f>P16-R16</f>
        <v>384000</v>
      </c>
      <c r="T16" s="143">
        <f>W16-L16</f>
        <v>0</v>
      </c>
      <c r="U16" s="124">
        <f>320000*1.2</f>
        <v>384000</v>
      </c>
      <c r="V16" s="357">
        <v>1</v>
      </c>
      <c r="W16" s="124">
        <f>U16*V16</f>
        <v>384000</v>
      </c>
      <c r="X16" s="143">
        <v>384000</v>
      </c>
      <c r="Y16" s="143">
        <v>132000</v>
      </c>
      <c r="Z16" s="143">
        <v>384000</v>
      </c>
      <c r="AA16" s="143"/>
      <c r="AB16" s="143">
        <v>240000</v>
      </c>
    </row>
    <row r="17" spans="1:28">
      <c r="A17" s="178"/>
      <c r="B17" s="359" t="s">
        <v>123</v>
      </c>
      <c r="C17" s="124"/>
      <c r="D17" s="143"/>
      <c r="E17" s="190"/>
      <c r="F17" s="124"/>
      <c r="G17" s="143"/>
      <c r="H17" s="143"/>
      <c r="I17" s="143"/>
      <c r="J17" s="143"/>
      <c r="K17" s="143"/>
      <c r="L17" s="143"/>
      <c r="M17" s="143"/>
      <c r="N17" s="2374"/>
      <c r="O17" s="143"/>
      <c r="P17" s="124">
        <f t="shared" ref="P17:P18" si="0">O17*D17</f>
        <v>0</v>
      </c>
      <c r="Q17" s="141"/>
      <c r="R17" s="124"/>
      <c r="S17" s="143"/>
      <c r="T17" s="143"/>
      <c r="U17" s="143"/>
      <c r="V17" s="190"/>
      <c r="W17" s="124"/>
      <c r="X17" s="143"/>
      <c r="Y17" s="143"/>
      <c r="Z17" s="143">
        <v>0</v>
      </c>
      <c r="AA17" s="143"/>
      <c r="AB17" s="143">
        <v>0</v>
      </c>
    </row>
    <row r="18" spans="1:28">
      <c r="A18" s="178">
        <v>2</v>
      </c>
      <c r="B18" s="142" t="s">
        <v>124</v>
      </c>
      <c r="C18" s="124">
        <f>D18*E18</f>
        <v>300000</v>
      </c>
      <c r="D18" s="124">
        <f>250000*1.2</f>
        <v>300000</v>
      </c>
      <c r="E18" s="190">
        <v>1</v>
      </c>
      <c r="F18" s="124">
        <f>D18*E18</f>
        <v>300000</v>
      </c>
      <c r="G18" s="2327">
        <v>63720</v>
      </c>
      <c r="H18" s="143" t="s">
        <v>403</v>
      </c>
      <c r="I18" s="187">
        <f>W18</f>
        <v>300000</v>
      </c>
      <c r="J18" s="143">
        <f>I18*0.4</f>
        <v>120000</v>
      </c>
      <c r="K18" s="143"/>
      <c r="L18" s="143">
        <f>+I18-J18+K18</f>
        <v>180000</v>
      </c>
      <c r="M18" s="143"/>
      <c r="N18" s="2374">
        <v>65880</v>
      </c>
      <c r="O18" s="143">
        <v>0.6</v>
      </c>
      <c r="P18" s="124">
        <f t="shared" si="0"/>
        <v>180000</v>
      </c>
      <c r="Q18" s="141"/>
      <c r="R18" s="143"/>
      <c r="S18" s="143"/>
      <c r="T18" s="143">
        <f>W18-L18</f>
        <v>120000</v>
      </c>
      <c r="U18" s="124">
        <f>250000*1.2</f>
        <v>300000</v>
      </c>
      <c r="V18" s="190">
        <v>1</v>
      </c>
      <c r="W18" s="124">
        <f>U18*V18</f>
        <v>300000</v>
      </c>
      <c r="X18" s="143">
        <v>180000</v>
      </c>
      <c r="Y18" s="143">
        <v>60000</v>
      </c>
      <c r="Z18" s="143">
        <v>180000</v>
      </c>
      <c r="AA18" s="143"/>
      <c r="AB18" s="143">
        <v>288000</v>
      </c>
    </row>
    <row r="19" spans="1:28">
      <c r="A19" s="178"/>
      <c r="B19" s="360" t="s">
        <v>123</v>
      </c>
      <c r="C19" s="124"/>
      <c r="D19" s="143"/>
      <c r="E19" s="190"/>
      <c r="F19" s="124"/>
      <c r="G19" s="143"/>
      <c r="H19" s="143"/>
      <c r="I19" s="143"/>
      <c r="J19" s="143"/>
      <c r="K19" s="143"/>
      <c r="L19" s="143"/>
      <c r="M19" s="143"/>
      <c r="N19" s="2374"/>
      <c r="O19" s="143"/>
      <c r="P19" s="143"/>
      <c r="Q19" s="141"/>
      <c r="R19" s="143"/>
      <c r="S19" s="143"/>
      <c r="T19" s="143"/>
      <c r="U19" s="143"/>
      <c r="V19" s="190"/>
      <c r="W19" s="124"/>
      <c r="X19" s="143"/>
      <c r="Y19" s="143"/>
      <c r="Z19" s="143"/>
      <c r="AA19" s="143"/>
      <c r="AB19" s="143">
        <v>0</v>
      </c>
    </row>
    <row r="20" spans="1:28">
      <c r="A20" s="178">
        <v>3</v>
      </c>
      <c r="B20" s="179" t="s">
        <v>125</v>
      </c>
      <c r="C20" s="124">
        <f>D20*E20</f>
        <v>96000</v>
      </c>
      <c r="D20" s="143">
        <f>80000*1.2</f>
        <v>96000</v>
      </c>
      <c r="E20" s="190">
        <v>1</v>
      </c>
      <c r="F20" s="124">
        <f>D20*E20</f>
        <v>96000</v>
      </c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1"/>
      <c r="R20" s="124"/>
      <c r="S20" s="143"/>
      <c r="T20" s="143">
        <f>W20-L20</f>
        <v>96000</v>
      </c>
      <c r="U20" s="143">
        <f>80000*1.2</f>
        <v>96000</v>
      </c>
      <c r="V20" s="190">
        <v>1</v>
      </c>
      <c r="W20" s="124">
        <f>U20*V20</f>
        <v>96000</v>
      </c>
      <c r="X20" s="143"/>
      <c r="Y20" s="143"/>
      <c r="Z20" s="143"/>
      <c r="AA20" s="143"/>
      <c r="AB20" s="143">
        <v>72000</v>
      </c>
    </row>
    <row r="21" spans="1:28" ht="12.75" customHeight="1">
      <c r="A21" s="354"/>
      <c r="B21" s="360" t="s">
        <v>123</v>
      </c>
      <c r="C21" s="124"/>
      <c r="D21" s="143"/>
      <c r="E21" s="190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143"/>
      <c r="U21" s="143"/>
      <c r="V21" s="190"/>
      <c r="W21" s="124"/>
      <c r="X21" s="143"/>
      <c r="Y21" s="143"/>
      <c r="Z21" s="143"/>
      <c r="AA21" s="143"/>
      <c r="AB21" s="143"/>
    </row>
    <row r="22" spans="1:28">
      <c r="A22" s="178"/>
      <c r="B22" s="360"/>
      <c r="C22" s="124"/>
      <c r="D22" s="143"/>
      <c r="E22" s="190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43"/>
      <c r="S22" s="143"/>
      <c r="T22" s="143"/>
      <c r="U22" s="143"/>
      <c r="V22" s="190"/>
      <c r="W22" s="124"/>
      <c r="X22" s="143"/>
      <c r="Y22" s="143"/>
      <c r="Z22" s="143"/>
      <c r="AA22" s="143"/>
      <c r="AB22" s="143"/>
    </row>
    <row r="23" spans="1:28">
      <c r="A23" s="178"/>
      <c r="B23" s="179"/>
      <c r="C23" s="124"/>
      <c r="D23" s="143"/>
      <c r="E23" s="190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>
      <c r="A24" s="178"/>
      <c r="B24" s="359"/>
      <c r="C24" s="124"/>
      <c r="D24" s="143"/>
      <c r="E24" s="190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179"/>
      <c r="C25" s="124"/>
      <c r="D25" s="143"/>
      <c r="E25" s="190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361"/>
      <c r="B26" s="362"/>
      <c r="C26" s="124"/>
      <c r="D26" s="143"/>
      <c r="E26" s="190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</row>
    <row r="27" spans="1:28">
      <c r="A27" s="178"/>
      <c r="B27" s="179"/>
      <c r="C27" s="124"/>
      <c r="D27" s="143"/>
      <c r="E27" s="190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>
        <v>0</v>
      </c>
    </row>
    <row r="28" spans="1:28">
      <c r="A28" s="178"/>
      <c r="B28" s="360"/>
      <c r="C28" s="124"/>
      <c r="D28" s="143"/>
      <c r="E28" s="190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>
        <v>0</v>
      </c>
    </row>
    <row r="29" spans="1:28">
      <c r="A29" s="178"/>
      <c r="B29" s="179"/>
      <c r="C29" s="124"/>
      <c r="D29" s="143"/>
      <c r="E29" s="190"/>
      <c r="F29" s="124"/>
      <c r="G29" s="124"/>
      <c r="H29" s="124"/>
      <c r="I29" s="191"/>
      <c r="J29" s="124"/>
      <c r="K29" s="124"/>
      <c r="L29" s="143"/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877"/>
      <c r="Y29" s="877"/>
      <c r="Z29" s="877"/>
      <c r="AA29" s="877"/>
      <c r="AB29" s="877"/>
    </row>
    <row r="30" spans="1:28">
      <c r="A30" s="178"/>
      <c r="B30" s="360"/>
      <c r="C30" s="124"/>
      <c r="D30" s="124"/>
      <c r="E30" s="190"/>
      <c r="F30" s="124"/>
      <c r="G30" s="124"/>
      <c r="H30" s="124"/>
      <c r="I30" s="191"/>
      <c r="J30" s="124"/>
      <c r="K30" s="124"/>
      <c r="L30" s="143"/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877"/>
      <c r="Y30" s="877"/>
      <c r="Z30" s="877"/>
      <c r="AA30" s="877"/>
      <c r="AB30" s="877"/>
    </row>
    <row r="31" spans="1:28">
      <c r="A31" s="178"/>
      <c r="B31" s="179"/>
      <c r="C31" s="124"/>
      <c r="D31" s="124"/>
      <c r="E31" s="190"/>
      <c r="F31" s="124"/>
      <c r="G31" s="124"/>
      <c r="H31" s="124"/>
      <c r="I31" s="191"/>
      <c r="J31" s="124"/>
      <c r="K31" s="124"/>
      <c r="L31" s="143"/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877"/>
      <c r="Y31" s="877"/>
      <c r="Z31" s="877"/>
      <c r="AA31" s="877"/>
      <c r="AB31" s="877"/>
    </row>
    <row r="32" spans="1:28">
      <c r="A32" s="178"/>
      <c r="B32" s="360"/>
      <c r="C32" s="124"/>
      <c r="D32" s="124"/>
      <c r="E32" s="190"/>
      <c r="F32" s="124"/>
      <c r="G32" s="124"/>
      <c r="H32" s="124"/>
      <c r="I32" s="191"/>
      <c r="J32" s="124"/>
      <c r="K32" s="124"/>
      <c r="L32" s="143"/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877"/>
      <c r="Y32" s="877"/>
      <c r="Z32" s="877"/>
      <c r="AA32" s="877"/>
      <c r="AB32" s="877"/>
    </row>
    <row r="33" spans="1:28">
      <c r="A33" s="178"/>
      <c r="B33" s="179"/>
      <c r="C33" s="124"/>
      <c r="D33" s="124"/>
      <c r="E33" s="190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877"/>
    </row>
    <row r="34" spans="1:28">
      <c r="A34" s="178"/>
      <c r="B34" s="363"/>
      <c r="C34" s="124"/>
      <c r="D34" s="124"/>
      <c r="E34" s="190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</row>
    <row r="35" spans="1:28">
      <c r="A35" s="178"/>
      <c r="B35" s="179"/>
      <c r="C35" s="124"/>
      <c r="D35" s="124"/>
      <c r="E35" s="190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</row>
    <row r="36" spans="1:28">
      <c r="A36" s="178"/>
      <c r="B36" s="179"/>
      <c r="C36" s="124"/>
      <c r="D36" s="124"/>
      <c r="E36" s="190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877"/>
      <c r="Y37" s="877"/>
      <c r="Z37" s="877"/>
      <c r="AA37" s="877"/>
      <c r="AB37" s="877"/>
    </row>
    <row r="38" spans="1:28">
      <c r="A38" s="178"/>
      <c r="B38" s="363"/>
      <c r="C38" s="124"/>
      <c r="D38" s="124"/>
      <c r="E38" s="357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877"/>
      <c r="Y38" s="877"/>
      <c r="Z38" s="877"/>
      <c r="AA38" s="877"/>
      <c r="AB38" s="877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877"/>
      <c r="Y39" s="877"/>
      <c r="Z39" s="877"/>
      <c r="AA39" s="877"/>
      <c r="AB39" s="877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</row>
    <row r="48" spans="1:28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877"/>
      <c r="Y48" s="877"/>
      <c r="Z48" s="877"/>
      <c r="AA48" s="877"/>
      <c r="AB48" s="877"/>
    </row>
    <row r="49" spans="1:28">
      <c r="A49" s="178"/>
      <c r="B49" s="365"/>
      <c r="C49" s="124"/>
      <c r="D49" s="124"/>
      <c r="E49" s="190"/>
      <c r="F49" s="124"/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24"/>
      <c r="V49" s="190"/>
      <c r="W49" s="124"/>
      <c r="X49" s="877"/>
      <c r="Y49" s="877"/>
      <c r="Z49" s="877"/>
      <c r="AA49" s="877"/>
      <c r="AB49" s="877"/>
    </row>
    <row r="50" spans="1:28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877"/>
      <c r="Y50" s="877"/>
      <c r="Z50" s="877"/>
      <c r="AA50" s="877"/>
      <c r="AB50" s="877"/>
    </row>
    <row r="51" spans="1:28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877"/>
      <c r="Y51" s="877"/>
      <c r="Z51" s="877"/>
      <c r="AA51" s="877"/>
      <c r="AB51" s="877"/>
    </row>
    <row r="52" spans="1:28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877"/>
      <c r="Y52" s="877"/>
      <c r="Z52" s="877"/>
      <c r="AA52" s="877"/>
      <c r="AB52" s="877"/>
    </row>
    <row r="53" spans="1:28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</row>
    <row r="54" spans="1:28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</row>
    <row r="55" spans="1:28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</row>
    <row r="56" spans="1:28">
      <c r="A56" s="178"/>
      <c r="B56" s="363"/>
      <c r="C56" s="124"/>
      <c r="D56" s="124"/>
      <c r="E56" s="190"/>
      <c r="F56" s="124"/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/>
      <c r="X56" s="877"/>
      <c r="Y56" s="877"/>
      <c r="Z56" s="877"/>
      <c r="AA56" s="877"/>
      <c r="AB56" s="877"/>
    </row>
    <row r="57" spans="1:28">
      <c r="A57" s="339" t="s">
        <v>97</v>
      </c>
      <c r="B57" s="340" t="s">
        <v>17</v>
      </c>
      <c r="C57" s="900">
        <f>SUM(C16:C56)</f>
        <v>780000</v>
      </c>
      <c r="D57" s="900"/>
      <c r="E57" s="901"/>
      <c r="F57" s="900">
        <f>SUM(F16:F56)</f>
        <v>780000</v>
      </c>
      <c r="G57" s="900">
        <f t="shared" ref="G57:N57" si="1">SUM(G15:G56)</f>
        <v>180120</v>
      </c>
      <c r="H57" s="900">
        <f t="shared" si="1"/>
        <v>0</v>
      </c>
      <c r="I57" s="900">
        <f t="shared" si="1"/>
        <v>684000</v>
      </c>
      <c r="J57" s="900">
        <f t="shared" si="1"/>
        <v>120000</v>
      </c>
      <c r="K57" s="900">
        <f t="shared" si="1"/>
        <v>0</v>
      </c>
      <c r="L57" s="900">
        <f t="shared" si="1"/>
        <v>564000</v>
      </c>
      <c r="M57" s="900">
        <f t="shared" si="1"/>
        <v>0</v>
      </c>
      <c r="N57" s="900">
        <f t="shared" si="1"/>
        <v>197880</v>
      </c>
      <c r="O57" s="900"/>
      <c r="P57" s="900">
        <f>SUM(P15:P56)</f>
        <v>564000</v>
      </c>
      <c r="Q57" s="900"/>
      <c r="R57" s="900">
        <f>SUM(R15:R56)</f>
        <v>0</v>
      </c>
      <c r="S57" s="900">
        <f>SUM(S15:S56)</f>
        <v>384000</v>
      </c>
      <c r="T57" s="893">
        <f>W57-L57</f>
        <v>216000</v>
      </c>
      <c r="U57" s="900"/>
      <c r="V57" s="900"/>
      <c r="W57" s="900">
        <f>SUM(W16:W56)</f>
        <v>780000</v>
      </c>
      <c r="X57" s="900">
        <f>SUM(X15:X56)</f>
        <v>564000</v>
      </c>
      <c r="Y57" s="900">
        <f>SUM(Y15:Y56)</f>
        <v>192000</v>
      </c>
      <c r="Z57" s="900">
        <f>SUM(Z15:Z56)</f>
        <v>564000</v>
      </c>
      <c r="AA57" s="900">
        <f>SUM(AA15:AA56)</f>
        <v>0</v>
      </c>
      <c r="AB57" s="900">
        <f>SUM(AB15:AB56)</f>
        <v>600000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6">
    <mergeCell ref="AA8:AA12"/>
    <mergeCell ref="AB8:AB12"/>
    <mergeCell ref="E1:F1"/>
    <mergeCell ref="X8:X12"/>
    <mergeCell ref="Y8:Y12"/>
    <mergeCell ref="Z8:Z12"/>
  </mergeCells>
  <phoneticPr fontId="0" type="noConversion"/>
  <conditionalFormatting sqref="U8:W9 X8:AB12">
    <cfRule type="cellIs" dxfId="43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AE75"/>
  <sheetViews>
    <sheetView showGridLines="0" showZeros="0" topLeftCell="M1" zoomScaleNormal="100" workbookViewId="0">
      <selection activeCell="Z23" sqref="Z23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8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1" width="11" style="192"/>
    <col min="32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</row>
    <row r="2" spans="1:31">
      <c r="A2" s="825" t="s">
        <v>49</v>
      </c>
      <c r="B2" s="306" t="s">
        <v>129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130</v>
      </c>
      <c r="E3" s="2149"/>
      <c r="F3" s="243" t="s">
        <v>84</v>
      </c>
      <c r="G3" s="2136" t="s">
        <v>106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45"/>
      <c r="V3" s="307"/>
      <c r="W3" s="307"/>
      <c r="X3" s="308"/>
      <c r="Y3" s="308"/>
      <c r="Z3" s="308"/>
      <c r="AA3" s="308"/>
      <c r="AB3" s="308"/>
    </row>
    <row r="4" spans="1:31">
      <c r="A4" s="1435" t="s">
        <v>61</v>
      </c>
      <c r="B4" s="306" t="s">
        <v>131</v>
      </c>
      <c r="C4" s="1325" t="s">
        <v>81</v>
      </c>
      <c r="D4" s="1325"/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119</v>
      </c>
      <c r="B5" s="578">
        <v>201200077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>
      <c r="A6" s="830" t="s">
        <v>120</v>
      </c>
      <c r="B6" s="306"/>
      <c r="C6" s="828"/>
      <c r="D6" s="828"/>
      <c r="E6" s="831"/>
      <c r="F6" s="825"/>
      <c r="G6" s="825"/>
      <c r="H6" s="833"/>
      <c r="I6" s="834"/>
      <c r="J6" s="835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830"/>
      <c r="B7" s="994"/>
      <c r="C7" s="828"/>
      <c r="D7" s="828"/>
      <c r="E7" s="831"/>
      <c r="F7" s="825"/>
      <c r="G7" s="825"/>
      <c r="H7" s="833"/>
      <c r="I7" s="834"/>
      <c r="J7" s="835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  <c r="AE8" s="319"/>
    </row>
    <row r="9" spans="1:31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19"/>
      <c r="AD9" s="319"/>
      <c r="AE9" s="319"/>
    </row>
    <row r="10" spans="1:31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  <c r="AE10" s="319"/>
    </row>
    <row r="11" spans="1:31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  <c r="AE11" s="319"/>
    </row>
    <row r="12" spans="1:31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876" t="s">
        <v>86</v>
      </c>
      <c r="Y13" s="876"/>
      <c r="Z13" s="876"/>
      <c r="AA13" s="876"/>
      <c r="AB13" s="876"/>
    </row>
    <row r="14" spans="1:31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1" ht="12.75" customHeight="1">
      <c r="A15" s="354"/>
      <c r="B15" s="142"/>
      <c r="C15" s="354"/>
      <c r="D15" s="144"/>
      <c r="E15" s="190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91"/>
      <c r="S15" s="191"/>
      <c r="T15" s="895"/>
      <c r="U15" s="144"/>
      <c r="V15" s="190"/>
      <c r="W15" s="124"/>
      <c r="X15" s="895"/>
      <c r="Y15" s="895"/>
      <c r="Z15" s="895"/>
      <c r="AA15" s="895"/>
      <c r="AB15" s="895"/>
    </row>
    <row r="16" spans="1:31" ht="22.5">
      <c r="A16" s="178">
        <v>1</v>
      </c>
      <c r="B16" s="168" t="s">
        <v>132</v>
      </c>
      <c r="C16" s="124">
        <f>D16*E16</f>
        <v>300000</v>
      </c>
      <c r="D16" s="124">
        <f>250000*1.2</f>
        <v>300000</v>
      </c>
      <c r="E16" s="357">
        <v>1</v>
      </c>
      <c r="F16" s="124">
        <f>D16*E16</f>
        <v>300000</v>
      </c>
      <c r="G16" s="143">
        <f>(8970+900)/0.7</f>
        <v>14100</v>
      </c>
      <c r="H16" s="143" t="s">
        <v>252</v>
      </c>
      <c r="I16" s="187">
        <f>W16</f>
        <v>300000</v>
      </c>
      <c r="J16" s="143">
        <f>I16*0.1</f>
        <v>30000</v>
      </c>
      <c r="K16" s="143"/>
      <c r="L16" s="143">
        <f>+I16-J16+K16</f>
        <v>270000</v>
      </c>
      <c r="M16" s="143"/>
      <c r="N16" s="143">
        <f>G16</f>
        <v>14100</v>
      </c>
      <c r="O16" s="143">
        <v>0.75</v>
      </c>
      <c r="P16" s="124">
        <f>O16*I16</f>
        <v>225000</v>
      </c>
      <c r="Q16" s="358"/>
      <c r="R16" s="124">
        <v>225000</v>
      </c>
      <c r="S16" s="143">
        <f>P16-R16</f>
        <v>0</v>
      </c>
      <c r="T16" s="143">
        <f>W16-L16</f>
        <v>30000</v>
      </c>
      <c r="U16" s="124">
        <f>250000*1.2</f>
        <v>300000</v>
      </c>
      <c r="V16" s="357">
        <v>1</v>
      </c>
      <c r="W16" s="124">
        <f>U16*V16</f>
        <v>300000</v>
      </c>
      <c r="X16" s="143">
        <v>270000</v>
      </c>
      <c r="Y16" s="143">
        <v>14100</v>
      </c>
      <c r="Z16" s="124">
        <v>225000</v>
      </c>
      <c r="AA16" s="143"/>
      <c r="AB16" s="143">
        <f>W16</f>
        <v>300000</v>
      </c>
    </row>
    <row r="17" spans="1:28">
      <c r="A17" s="178"/>
      <c r="B17" s="359" t="s">
        <v>123</v>
      </c>
      <c r="C17" s="124"/>
      <c r="D17" s="143"/>
      <c r="E17" s="190"/>
      <c r="F17" s="124"/>
      <c r="G17" s="143"/>
      <c r="H17" s="143"/>
      <c r="I17" s="143"/>
      <c r="J17" s="143"/>
      <c r="K17" s="143"/>
      <c r="L17" s="143"/>
      <c r="M17" s="143"/>
      <c r="N17" s="143"/>
      <c r="O17" s="143"/>
      <c r="P17" s="124">
        <f>O17*I17</f>
        <v>0</v>
      </c>
      <c r="Q17" s="141"/>
      <c r="R17" s="124"/>
      <c r="S17" s="143">
        <f>P17-R17</f>
        <v>0</v>
      </c>
      <c r="T17" s="143">
        <f>W17-L17</f>
        <v>0</v>
      </c>
      <c r="U17" s="143"/>
      <c r="V17" s="190"/>
      <c r="W17" s="124"/>
      <c r="X17" s="143"/>
      <c r="Y17" s="143"/>
      <c r="Z17" s="143">
        <v>0</v>
      </c>
      <c r="AA17" s="143"/>
      <c r="AB17" s="143"/>
    </row>
    <row r="18" spans="1:28" ht="22.5">
      <c r="A18" s="178">
        <v>2</v>
      </c>
      <c r="B18" s="142" t="s">
        <v>133</v>
      </c>
      <c r="C18" s="124">
        <f>D18*E18</f>
        <v>100800</v>
      </c>
      <c r="D18" s="124">
        <f>84000*1.2</f>
        <v>100800</v>
      </c>
      <c r="E18" s="190">
        <v>1</v>
      </c>
      <c r="F18" s="124">
        <f>D18*E18</f>
        <v>100800</v>
      </c>
      <c r="G18" s="143"/>
      <c r="H18" s="143"/>
      <c r="I18" s="187">
        <f>W18</f>
        <v>100800</v>
      </c>
      <c r="J18" s="143">
        <f>I18*0.1</f>
        <v>10080</v>
      </c>
      <c r="K18" s="143"/>
      <c r="L18" s="143">
        <f>+I18-J18+K18</f>
        <v>90720</v>
      </c>
      <c r="M18" s="143"/>
      <c r="N18" s="143"/>
      <c r="O18" s="143">
        <v>0.75</v>
      </c>
      <c r="P18" s="124">
        <f>O18*I18</f>
        <v>75600</v>
      </c>
      <c r="Q18" s="141"/>
      <c r="R18" s="143">
        <v>25200</v>
      </c>
      <c r="S18" s="143">
        <f t="shared" ref="S18:S19" si="0">P18-R18</f>
        <v>50400</v>
      </c>
      <c r="T18" s="143">
        <f>W18-L18</f>
        <v>10080</v>
      </c>
      <c r="U18" s="124">
        <f>84000*1.2</f>
        <v>100800</v>
      </c>
      <c r="V18" s="190">
        <v>1</v>
      </c>
      <c r="W18" s="124">
        <f>U18*V18</f>
        <v>100800</v>
      </c>
      <c r="X18" s="143">
        <v>90720</v>
      </c>
      <c r="Y18" s="143"/>
      <c r="Z18" s="124">
        <v>75600</v>
      </c>
      <c r="AA18" s="143"/>
      <c r="AB18" s="143">
        <f>W18</f>
        <v>100800</v>
      </c>
    </row>
    <row r="19" spans="1:28">
      <c r="A19" s="178"/>
      <c r="B19" s="360" t="s">
        <v>123</v>
      </c>
      <c r="C19" s="124"/>
      <c r="D19" s="143"/>
      <c r="E19" s="190"/>
      <c r="F19" s="124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1"/>
      <c r="R19" s="143"/>
      <c r="S19" s="143">
        <f t="shared" si="0"/>
        <v>0</v>
      </c>
      <c r="T19" s="143">
        <f>W19-L19</f>
        <v>0</v>
      </c>
      <c r="U19" s="143"/>
      <c r="V19" s="190"/>
      <c r="W19" s="124"/>
      <c r="X19" s="143"/>
      <c r="Y19" s="143"/>
      <c r="Z19" s="143"/>
      <c r="AA19" s="143"/>
      <c r="AB19" s="143"/>
    </row>
    <row r="20" spans="1:28" ht="22.5">
      <c r="A20" s="178">
        <v>3</v>
      </c>
      <c r="B20" s="179" t="s">
        <v>134</v>
      </c>
      <c r="C20" s="124">
        <f>D20*E20</f>
        <v>49200</v>
      </c>
      <c r="D20" s="143">
        <f>41000*1.2</f>
        <v>49200</v>
      </c>
      <c r="E20" s="190">
        <v>1</v>
      </c>
      <c r="F20" s="124">
        <f>D20*E20</f>
        <v>49200</v>
      </c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1"/>
      <c r="R20" s="124"/>
      <c r="S20" s="143"/>
      <c r="T20" s="143">
        <f>W20-L20</f>
        <v>49200</v>
      </c>
      <c r="U20" s="143">
        <f>41000*1.2</f>
        <v>49200</v>
      </c>
      <c r="V20" s="190">
        <v>1</v>
      </c>
      <c r="W20" s="124">
        <f>U20*V20</f>
        <v>49200</v>
      </c>
      <c r="X20" s="143"/>
      <c r="Y20" s="143"/>
      <c r="Z20" s="143"/>
      <c r="AA20" s="143"/>
      <c r="AB20" s="143">
        <f>W20</f>
        <v>49200</v>
      </c>
    </row>
    <row r="21" spans="1:28" ht="12.75" customHeight="1">
      <c r="A21" s="354"/>
      <c r="B21" s="360" t="s">
        <v>123</v>
      </c>
      <c r="C21" s="124"/>
      <c r="D21" s="143"/>
      <c r="E21" s="190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24"/>
      <c r="S21" s="143"/>
      <c r="T21" s="143"/>
      <c r="U21" s="143"/>
      <c r="V21" s="190"/>
      <c r="W21" s="124"/>
      <c r="X21" s="143"/>
      <c r="Y21" s="143"/>
      <c r="Z21" s="143"/>
      <c r="AA21" s="143"/>
      <c r="AB21" s="143"/>
    </row>
    <row r="22" spans="1:28">
      <c r="A22" s="178"/>
      <c r="B22" s="360"/>
      <c r="C22" s="124"/>
      <c r="D22" s="143"/>
      <c r="E22" s="190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43"/>
      <c r="S22" s="143"/>
      <c r="T22" s="143"/>
      <c r="U22" s="143"/>
      <c r="V22" s="190"/>
      <c r="W22" s="124"/>
      <c r="X22" s="143"/>
      <c r="Y22" s="143"/>
      <c r="Z22" s="143"/>
      <c r="AA22" s="143"/>
      <c r="AB22" s="143"/>
    </row>
    <row r="23" spans="1:28">
      <c r="A23" s="178"/>
      <c r="B23" s="179"/>
      <c r="C23" s="124"/>
      <c r="D23" s="143"/>
      <c r="E23" s="190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</row>
    <row r="24" spans="1:28">
      <c r="A24" s="178"/>
      <c r="B24" s="359"/>
      <c r="C24" s="124"/>
      <c r="D24" s="143"/>
      <c r="E24" s="190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</row>
    <row r="25" spans="1:28">
      <c r="A25" s="178"/>
      <c r="B25" s="179"/>
      <c r="C25" s="124"/>
      <c r="D25" s="143"/>
      <c r="E25" s="190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</row>
    <row r="26" spans="1:28">
      <c r="A26" s="361"/>
      <c r="B26" s="362"/>
      <c r="C26" s="124"/>
      <c r="D26" s="143"/>
      <c r="E26" s="190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84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</row>
    <row r="27" spans="1:28">
      <c r="A27" s="178"/>
      <c r="B27" s="179"/>
      <c r="C27" s="124"/>
      <c r="D27" s="143"/>
      <c r="E27" s="190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84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/>
    </row>
    <row r="28" spans="1:28">
      <c r="A28" s="178"/>
      <c r="B28" s="360"/>
      <c r="C28" s="124"/>
      <c r="D28" s="143"/>
      <c r="E28" s="190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84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/>
    </row>
    <row r="29" spans="1:28">
      <c r="A29" s="178"/>
      <c r="B29" s="179"/>
      <c r="C29" s="124"/>
      <c r="D29" s="143"/>
      <c r="E29" s="190"/>
      <c r="F29" s="124"/>
      <c r="G29" s="124"/>
      <c r="H29" s="124"/>
      <c r="I29" s="191"/>
      <c r="J29" s="124"/>
      <c r="K29" s="124"/>
      <c r="L29" s="143"/>
      <c r="M29" s="124"/>
      <c r="N29" s="124"/>
      <c r="O29" s="124"/>
      <c r="P29" s="143"/>
      <c r="Q29" s="184"/>
      <c r="R29" s="143"/>
      <c r="S29" s="143"/>
      <c r="T29" s="877"/>
      <c r="U29" s="143"/>
      <c r="V29" s="190"/>
      <c r="W29" s="124"/>
      <c r="X29" s="877"/>
      <c r="Y29" s="877"/>
      <c r="Z29" s="877"/>
      <c r="AA29" s="877"/>
      <c r="AB29" s="877"/>
    </row>
    <row r="30" spans="1:28">
      <c r="A30" s="178"/>
      <c r="B30" s="360"/>
      <c r="C30" s="124"/>
      <c r="D30" s="124"/>
      <c r="E30" s="190"/>
      <c r="F30" s="124"/>
      <c r="G30" s="124"/>
      <c r="H30" s="124"/>
      <c r="I30" s="191"/>
      <c r="J30" s="124"/>
      <c r="K30" s="124"/>
      <c r="L30" s="143"/>
      <c r="M30" s="124"/>
      <c r="N30" s="124"/>
      <c r="O30" s="124"/>
      <c r="P30" s="124"/>
      <c r="Q30" s="184"/>
      <c r="R30" s="143"/>
      <c r="S30" s="143"/>
      <c r="T30" s="877"/>
      <c r="U30" s="124"/>
      <c r="V30" s="190"/>
      <c r="W30" s="124"/>
      <c r="X30" s="877"/>
      <c r="Y30" s="877"/>
      <c r="Z30" s="877"/>
      <c r="AA30" s="877"/>
      <c r="AB30" s="877"/>
    </row>
    <row r="31" spans="1:28">
      <c r="A31" s="178"/>
      <c r="B31" s="179"/>
      <c r="C31" s="124"/>
      <c r="D31" s="124"/>
      <c r="E31" s="190"/>
      <c r="F31" s="124"/>
      <c r="G31" s="124"/>
      <c r="H31" s="124"/>
      <c r="I31" s="191"/>
      <c r="J31" s="124"/>
      <c r="K31" s="124"/>
      <c r="L31" s="143"/>
      <c r="M31" s="124"/>
      <c r="N31" s="124"/>
      <c r="O31" s="124"/>
      <c r="P31" s="124"/>
      <c r="Q31" s="184"/>
      <c r="R31" s="143"/>
      <c r="S31" s="143"/>
      <c r="T31" s="877"/>
      <c r="U31" s="124"/>
      <c r="V31" s="190"/>
      <c r="W31" s="124"/>
      <c r="X31" s="877"/>
      <c r="Y31" s="877"/>
      <c r="Z31" s="877"/>
      <c r="AA31" s="877"/>
      <c r="AB31" s="877"/>
    </row>
    <row r="32" spans="1:28">
      <c r="A32" s="178"/>
      <c r="B32" s="360"/>
      <c r="C32" s="124"/>
      <c r="D32" s="124"/>
      <c r="E32" s="190"/>
      <c r="F32" s="124"/>
      <c r="G32" s="124"/>
      <c r="H32" s="124"/>
      <c r="I32" s="191"/>
      <c r="J32" s="124"/>
      <c r="K32" s="124"/>
      <c r="L32" s="143"/>
      <c r="M32" s="124"/>
      <c r="N32" s="124"/>
      <c r="O32" s="124"/>
      <c r="P32" s="124"/>
      <c r="Q32" s="184"/>
      <c r="R32" s="143"/>
      <c r="S32" s="143"/>
      <c r="T32" s="877"/>
      <c r="U32" s="124"/>
      <c r="V32" s="190"/>
      <c r="W32" s="124"/>
      <c r="X32" s="877"/>
      <c r="Y32" s="877"/>
      <c r="Z32" s="877"/>
      <c r="AA32" s="877"/>
      <c r="AB32" s="877"/>
    </row>
    <row r="33" spans="1:28">
      <c r="A33" s="178"/>
      <c r="B33" s="179"/>
      <c r="C33" s="124"/>
      <c r="D33" s="124"/>
      <c r="E33" s="190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877"/>
    </row>
    <row r="34" spans="1:28">
      <c r="A34" s="178"/>
      <c r="B34" s="363"/>
      <c r="C34" s="124"/>
      <c r="D34" s="124"/>
      <c r="E34" s="190"/>
      <c r="F34" s="124"/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24"/>
      <c r="R34" s="143"/>
      <c r="S34" s="143"/>
      <c r="T34" s="877"/>
      <c r="U34" s="124"/>
      <c r="V34" s="190"/>
      <c r="W34" s="124"/>
      <c r="X34" s="877"/>
      <c r="Y34" s="877"/>
      <c r="Z34" s="877"/>
      <c r="AA34" s="877"/>
      <c r="AB34" s="877"/>
    </row>
    <row r="35" spans="1:28">
      <c r="A35" s="178"/>
      <c r="B35" s="179"/>
      <c r="C35" s="124"/>
      <c r="D35" s="124"/>
      <c r="E35" s="190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24"/>
      <c r="R35" s="143"/>
      <c r="S35" s="143"/>
      <c r="T35" s="877"/>
      <c r="U35" s="124"/>
      <c r="V35" s="190"/>
      <c r="W35" s="124"/>
      <c r="X35" s="877"/>
      <c r="Y35" s="877"/>
      <c r="Z35" s="877"/>
      <c r="AA35" s="877"/>
      <c r="AB35" s="877"/>
    </row>
    <row r="36" spans="1:28">
      <c r="A36" s="178"/>
      <c r="B36" s="179"/>
      <c r="C36" s="124"/>
      <c r="D36" s="124"/>
      <c r="E36" s="190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2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</row>
    <row r="37" spans="1:28">
      <c r="A37" s="178"/>
      <c r="B37" s="179"/>
      <c r="C37" s="124"/>
      <c r="D37" s="124"/>
      <c r="E37" s="357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877"/>
      <c r="U37" s="124"/>
      <c r="V37" s="357"/>
      <c r="W37" s="124"/>
      <c r="X37" s="877"/>
      <c r="Y37" s="877"/>
      <c r="Z37" s="877"/>
      <c r="AA37" s="877"/>
      <c r="AB37" s="877"/>
    </row>
    <row r="38" spans="1:28">
      <c r="A38" s="178"/>
      <c r="B38" s="363"/>
      <c r="C38" s="124"/>
      <c r="D38" s="124"/>
      <c r="E38" s="357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877"/>
      <c r="U38" s="124"/>
      <c r="V38" s="357"/>
      <c r="W38" s="124"/>
      <c r="X38" s="877"/>
      <c r="Y38" s="877"/>
      <c r="Z38" s="877"/>
      <c r="AA38" s="877"/>
      <c r="AB38" s="877"/>
    </row>
    <row r="39" spans="1:28">
      <c r="A39" s="178"/>
      <c r="B39" s="179"/>
      <c r="C39" s="124"/>
      <c r="D39" s="124"/>
      <c r="E39" s="357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877"/>
      <c r="U39" s="124"/>
      <c r="V39" s="357"/>
      <c r="W39" s="124"/>
      <c r="X39" s="877"/>
      <c r="Y39" s="877"/>
      <c r="Z39" s="877"/>
      <c r="AA39" s="877"/>
      <c r="AB39" s="877"/>
    </row>
    <row r="40" spans="1:28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</row>
    <row r="41" spans="1:28">
      <c r="A41" s="178"/>
      <c r="B41" s="179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</row>
    <row r="42" spans="1:28">
      <c r="A42" s="178"/>
      <c r="B42" s="363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</row>
    <row r="43" spans="1:28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</row>
    <row r="44" spans="1:28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</row>
    <row r="45" spans="1:28">
      <c r="A45" s="178"/>
      <c r="B45" s="179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</row>
    <row r="46" spans="1:28">
      <c r="A46" s="178"/>
      <c r="B46" s="363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</row>
    <row r="47" spans="1:28">
      <c r="A47" s="178"/>
      <c r="B47" s="179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</row>
    <row r="48" spans="1:28">
      <c r="A48" s="178"/>
      <c r="B48" s="145"/>
      <c r="C48" s="124"/>
      <c r="D48" s="124"/>
      <c r="E48" s="190"/>
      <c r="F48" s="124"/>
      <c r="G48" s="124"/>
      <c r="H48" s="124"/>
      <c r="I48" s="124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190"/>
      <c r="W48" s="124"/>
      <c r="X48" s="877"/>
      <c r="Y48" s="877"/>
      <c r="Z48" s="877"/>
      <c r="AA48" s="877"/>
      <c r="AB48" s="877"/>
    </row>
    <row r="49" spans="1:28">
      <c r="A49" s="178"/>
      <c r="B49" s="365"/>
      <c r="C49" s="124"/>
      <c r="D49" s="124"/>
      <c r="E49" s="190"/>
      <c r="F49" s="124"/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24"/>
      <c r="V49" s="190"/>
      <c r="W49" s="124"/>
      <c r="X49" s="877"/>
      <c r="Y49" s="877"/>
      <c r="Z49" s="877"/>
      <c r="AA49" s="877"/>
      <c r="AB49" s="877"/>
    </row>
    <row r="50" spans="1:28">
      <c r="A50" s="178"/>
      <c r="B50" s="366"/>
      <c r="C50" s="124"/>
      <c r="D50" s="124"/>
      <c r="E50" s="190"/>
      <c r="F50" s="124"/>
      <c r="G50" s="124"/>
      <c r="H50" s="124"/>
      <c r="I50" s="124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24"/>
      <c r="V50" s="190"/>
      <c r="W50" s="124"/>
      <c r="X50" s="877"/>
      <c r="Y50" s="877"/>
      <c r="Z50" s="877"/>
      <c r="AA50" s="877"/>
      <c r="AB50" s="877"/>
    </row>
    <row r="51" spans="1:28">
      <c r="A51" s="178"/>
      <c r="B51" s="367"/>
      <c r="C51" s="897"/>
      <c r="D51" s="898"/>
      <c r="E51" s="899"/>
      <c r="F51" s="897"/>
      <c r="G51" s="124"/>
      <c r="H51" s="124"/>
      <c r="I51" s="124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898"/>
      <c r="V51" s="899"/>
      <c r="W51" s="897"/>
      <c r="X51" s="877"/>
      <c r="Y51" s="877"/>
      <c r="Z51" s="877"/>
      <c r="AA51" s="877"/>
      <c r="AB51" s="877"/>
    </row>
    <row r="52" spans="1:28">
      <c r="A52" s="178"/>
      <c r="B52" s="168"/>
      <c r="C52" s="124"/>
      <c r="D52" s="124"/>
      <c r="E52" s="190"/>
      <c r="F52" s="124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24"/>
      <c r="V52" s="190"/>
      <c r="W52" s="124"/>
      <c r="X52" s="877"/>
      <c r="Y52" s="877"/>
      <c r="Z52" s="877"/>
      <c r="AA52" s="877"/>
      <c r="AB52" s="877"/>
    </row>
    <row r="53" spans="1:28">
      <c r="A53" s="370"/>
      <c r="B53" s="189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</row>
    <row r="54" spans="1:28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</row>
    <row r="55" spans="1:28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/>
      <c r="X56" s="877"/>
      <c r="Y56" s="877"/>
      <c r="Z56" s="877"/>
      <c r="AA56" s="877"/>
      <c r="AB56" s="877"/>
    </row>
    <row r="57" spans="1:28">
      <c r="A57" s="339" t="s">
        <v>97</v>
      </c>
      <c r="B57" s="340" t="s">
        <v>17</v>
      </c>
      <c r="C57" s="900">
        <f>SUM(C16:C56)</f>
        <v>450000</v>
      </c>
      <c r="D57" s="900"/>
      <c r="E57" s="901"/>
      <c r="F57" s="900">
        <f>SUM(F16:F56)</f>
        <v>450000</v>
      </c>
      <c r="G57" s="900">
        <f t="shared" ref="G57:N57" si="1">SUM(G15:G56)</f>
        <v>14100</v>
      </c>
      <c r="H57" s="900">
        <f t="shared" si="1"/>
        <v>0</v>
      </c>
      <c r="I57" s="900">
        <f t="shared" si="1"/>
        <v>400800</v>
      </c>
      <c r="J57" s="900">
        <f t="shared" si="1"/>
        <v>40080</v>
      </c>
      <c r="K57" s="900">
        <f t="shared" si="1"/>
        <v>0</v>
      </c>
      <c r="L57" s="900">
        <f t="shared" si="1"/>
        <v>360720</v>
      </c>
      <c r="M57" s="900">
        <f t="shared" si="1"/>
        <v>0</v>
      </c>
      <c r="N57" s="900">
        <f t="shared" si="1"/>
        <v>14100</v>
      </c>
      <c r="O57" s="900"/>
      <c r="P57" s="900">
        <f>SUM(P15:P56)</f>
        <v>300600</v>
      </c>
      <c r="Q57" s="900"/>
      <c r="R57" s="900">
        <f>SUM(R15:R56)</f>
        <v>250200</v>
      </c>
      <c r="S57" s="900">
        <f>SUM(S15:S56)</f>
        <v>50400</v>
      </c>
      <c r="T57" s="893">
        <f>W57-L57</f>
        <v>89280</v>
      </c>
      <c r="U57" s="900"/>
      <c r="V57" s="900"/>
      <c r="W57" s="900">
        <f>SUM(W16:W56)</f>
        <v>450000</v>
      </c>
      <c r="X57" s="900">
        <f>SUM(X15:X56)</f>
        <v>360720</v>
      </c>
      <c r="Y57" s="900">
        <f>SUM(Y15:Y56)</f>
        <v>14100</v>
      </c>
      <c r="Z57" s="900">
        <f>SUM(Z15:Z56)</f>
        <v>300600</v>
      </c>
      <c r="AA57" s="900">
        <f>SUM(AA15:AA56)</f>
        <v>0</v>
      </c>
      <c r="AB57" s="900">
        <f>SUM(AB15:AB56)</f>
        <v>450000</v>
      </c>
    </row>
    <row r="58" spans="1:28">
      <c r="A58" s="1000"/>
      <c r="B58" s="1001"/>
      <c r="C58" s="896"/>
      <c r="D58" s="896"/>
      <c r="E58" s="1002"/>
      <c r="F58" s="1003"/>
      <c r="G58" s="1003"/>
      <c r="H58" s="1003"/>
      <c r="I58" s="1003"/>
      <c r="J58" s="1003"/>
      <c r="K58" s="1003"/>
      <c r="L58" s="1003"/>
      <c r="M58" s="1003"/>
      <c r="N58" s="1003"/>
      <c r="O58" s="896"/>
      <c r="P58" s="1003"/>
      <c r="Q58" s="896"/>
      <c r="R58" s="896"/>
      <c r="S58" s="1004"/>
      <c r="T58" s="1004"/>
      <c r="U58" s="896"/>
      <c r="V58" s="896"/>
      <c r="W58" s="1003"/>
      <c r="X58" s="1004"/>
      <c r="Y58" s="1004"/>
      <c r="Z58" s="1004"/>
      <c r="AA58" s="1004"/>
      <c r="AB58" s="1004"/>
    </row>
    <row r="59" spans="1:28">
      <c r="A59" s="344"/>
      <c r="B59" s="342"/>
      <c r="C59" s="1005"/>
      <c r="D59" s="1005"/>
      <c r="E59" s="1006"/>
      <c r="F59" s="1007"/>
      <c r="G59" s="1007"/>
      <c r="H59" s="1007"/>
      <c r="I59" s="1007"/>
      <c r="J59" s="1007"/>
      <c r="K59" s="1007"/>
      <c r="L59" s="1007"/>
      <c r="M59" s="1007"/>
      <c r="N59" s="1007"/>
      <c r="O59" s="1005"/>
      <c r="P59" s="1007">
        <v>300600</v>
      </c>
      <c r="Q59" s="1005">
        <v>250200</v>
      </c>
      <c r="R59" s="1005"/>
      <c r="S59" s="1008"/>
      <c r="T59" s="1008"/>
      <c r="U59" s="1005"/>
      <c r="V59" s="1005"/>
      <c r="W59" s="1007"/>
      <c r="X59" s="1008"/>
      <c r="Y59" s="1008"/>
      <c r="Z59" s="1008"/>
      <c r="AA59" s="1008"/>
      <c r="AB59" s="1008"/>
    </row>
    <row r="60" spans="1:28">
      <c r="F60" s="343"/>
      <c r="R60" s="304"/>
      <c r="W60" s="343"/>
    </row>
    <row r="61" spans="1:28">
      <c r="F61" s="343"/>
      <c r="Q61" s="304">
        <f>+Q59-R57</f>
        <v>0</v>
      </c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6">
    <mergeCell ref="AA8:AA12"/>
    <mergeCell ref="AB8:AB12"/>
    <mergeCell ref="E1:F1"/>
    <mergeCell ref="X8:X12"/>
    <mergeCell ref="Y8:Y12"/>
    <mergeCell ref="Z8:Z12"/>
  </mergeCells>
  <phoneticPr fontId="0" type="noConversion"/>
  <conditionalFormatting sqref="U8:W9 X8:AB12">
    <cfRule type="cellIs" dxfId="42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H75"/>
  <sheetViews>
    <sheetView showGridLines="0" showZeros="0" topLeftCell="K1" zoomScaleNormal="100" workbookViewId="0">
      <pane ySplit="13" topLeftCell="A14" activePane="bottomLeft" state="frozen"/>
      <selection activeCell="E81" sqref="E81:P81"/>
      <selection pane="bottomLeft" activeCell="E81" sqref="E81:P81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7.375" style="346" customWidth="1"/>
    <col min="6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37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29" width="7.875" style="375" customWidth="1"/>
    <col min="30" max="30" width="7.5" style="375" customWidth="1"/>
    <col min="31" max="31" width="11" style="375"/>
    <col min="32" max="34" width="10" style="376" customWidth="1"/>
    <col min="35" max="16384" width="11" style="305"/>
  </cols>
  <sheetData>
    <row r="1" spans="1:34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  <c r="AF1" s="305"/>
      <c r="AG1" s="305"/>
      <c r="AH1" s="305"/>
    </row>
    <row r="2" spans="1:34">
      <c r="A2" s="825" t="s">
        <v>49</v>
      </c>
      <c r="B2" s="306" t="s">
        <v>135</v>
      </c>
      <c r="C2" s="826"/>
      <c r="D2" s="826"/>
      <c r="E2" s="827"/>
      <c r="F2" s="826"/>
      <c r="G2" s="826"/>
      <c r="H2" s="826"/>
      <c r="I2" s="826"/>
      <c r="J2" s="826"/>
      <c r="Q2" s="304"/>
      <c r="R2" s="304"/>
    </row>
    <row r="3" spans="1:34">
      <c r="A3" s="306" t="s">
        <v>60</v>
      </c>
      <c r="B3" s="306" t="s">
        <v>50</v>
      </c>
      <c r="C3" s="243" t="s">
        <v>66</v>
      </c>
      <c r="D3" s="243" t="s">
        <v>136</v>
      </c>
      <c r="E3" s="2149"/>
      <c r="F3" s="243" t="s">
        <v>84</v>
      </c>
      <c r="G3" s="828" t="s">
        <v>106</v>
      </c>
      <c r="H3" s="828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45"/>
      <c r="V3" s="307"/>
      <c r="W3" s="307"/>
      <c r="X3" s="308"/>
      <c r="Y3" s="308"/>
      <c r="Z3" s="308"/>
      <c r="AA3" s="308"/>
      <c r="AB3" s="308"/>
    </row>
    <row r="4" spans="1:34">
      <c r="A4" s="1435" t="s">
        <v>61</v>
      </c>
      <c r="B4" s="306" t="s">
        <v>137</v>
      </c>
      <c r="C4" s="1325" t="s">
        <v>81</v>
      </c>
      <c r="D4" s="1325" t="s">
        <v>138</v>
      </c>
      <c r="E4" s="2150"/>
      <c r="F4" s="1324"/>
      <c r="G4" s="825"/>
      <c r="H4" s="825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4">
      <c r="A5" s="830" t="s">
        <v>62</v>
      </c>
      <c r="B5" s="578">
        <v>201101296</v>
      </c>
      <c r="C5" s="828"/>
      <c r="D5" s="828"/>
      <c r="E5" s="831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4">
      <c r="A6" s="830" t="s">
        <v>51</v>
      </c>
      <c r="B6" s="306" t="s">
        <v>139</v>
      </c>
      <c r="C6" s="828"/>
      <c r="D6" s="828"/>
      <c r="E6" s="831"/>
      <c r="F6" s="825"/>
      <c r="G6" s="825"/>
      <c r="H6" s="833"/>
      <c r="I6" s="834"/>
      <c r="J6" s="835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4">
      <c r="A7" s="310"/>
      <c r="B7" s="315"/>
      <c r="C7" s="307"/>
      <c r="D7" s="307"/>
      <c r="E7" s="347"/>
      <c r="F7" s="302"/>
      <c r="G7" s="302"/>
      <c r="H7" s="312"/>
      <c r="I7" s="313"/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4" s="320" customFormat="1" ht="16.5">
      <c r="A8" s="836" t="s">
        <v>0</v>
      </c>
      <c r="B8" s="836" t="s">
        <v>1</v>
      </c>
      <c r="C8" s="837" t="s">
        <v>2</v>
      </c>
      <c r="D8" s="838" t="s">
        <v>3</v>
      </c>
      <c r="E8" s="839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77"/>
      <c r="AD8" s="377"/>
      <c r="AE8" s="377"/>
      <c r="AF8" s="378"/>
      <c r="AG8" s="378"/>
      <c r="AH8" s="378"/>
    </row>
    <row r="9" spans="1:34" s="320" customFormat="1" ht="8.25">
      <c r="A9" s="847" t="s">
        <v>9</v>
      </c>
      <c r="B9" s="848"/>
      <c r="C9" s="849"/>
      <c r="D9" s="850"/>
      <c r="E9" s="851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903"/>
      <c r="V9" s="904"/>
      <c r="W9" s="905"/>
      <c r="X9" s="2407"/>
      <c r="Y9" s="2407"/>
      <c r="Z9" s="2407"/>
      <c r="AA9" s="2407"/>
      <c r="AB9" s="2407"/>
      <c r="AC9" s="377"/>
      <c r="AD9" s="377"/>
      <c r="AE9" s="377"/>
      <c r="AF9" s="378"/>
      <c r="AG9" s="378"/>
      <c r="AH9" s="378"/>
    </row>
    <row r="10" spans="1:34" s="320" customFormat="1" ht="8.25">
      <c r="A10" s="848"/>
      <c r="B10" s="848"/>
      <c r="C10" s="849"/>
      <c r="D10" s="860" t="s">
        <v>15</v>
      </c>
      <c r="E10" s="861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77"/>
      <c r="AD10" s="377"/>
      <c r="AE10" s="377"/>
      <c r="AF10" s="378"/>
      <c r="AG10" s="378"/>
      <c r="AH10" s="378"/>
    </row>
    <row r="11" spans="1:34" s="320" customFormat="1" ht="8.25">
      <c r="A11" s="848"/>
      <c r="B11" s="848"/>
      <c r="C11" s="849"/>
      <c r="D11" s="858" t="s">
        <v>23</v>
      </c>
      <c r="E11" s="863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77"/>
      <c r="AD11" s="377"/>
      <c r="AE11" s="377"/>
      <c r="AF11" s="378"/>
      <c r="AG11" s="378"/>
      <c r="AH11" s="378"/>
    </row>
    <row r="12" spans="1:34">
      <c r="A12" s="848"/>
      <c r="B12" s="848"/>
      <c r="C12" s="849"/>
      <c r="D12" s="849"/>
      <c r="E12" s="864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4">
      <c r="A13" s="871"/>
      <c r="B13" s="871" t="s">
        <v>35</v>
      </c>
      <c r="C13" s="872" t="s">
        <v>36</v>
      </c>
      <c r="D13" s="872"/>
      <c r="E13" s="873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902" t="s">
        <v>86</v>
      </c>
      <c r="Y13" s="902"/>
      <c r="Z13" s="902"/>
      <c r="AA13" s="902"/>
      <c r="AB13" s="902"/>
    </row>
    <row r="14" spans="1:34" ht="15.75" customHeight="1">
      <c r="A14" s="330"/>
      <c r="B14" s="906"/>
      <c r="C14" s="191"/>
      <c r="D14" s="191"/>
      <c r="E14" s="519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>
        <f>O14*D14</f>
        <v>0</v>
      </c>
      <c r="Q14" s="191"/>
      <c r="R14" s="191">
        <f>Q14*D14</f>
        <v>0</v>
      </c>
      <c r="S14" s="191"/>
      <c r="T14" s="894"/>
      <c r="U14" s="191"/>
      <c r="V14" s="191"/>
      <c r="W14" s="124"/>
      <c r="X14" s="894"/>
      <c r="Y14" s="894"/>
      <c r="Z14" s="894"/>
      <c r="AA14" s="894"/>
      <c r="AB14" s="894"/>
    </row>
    <row r="15" spans="1:34" ht="12.75" customHeight="1">
      <c r="A15" s="354"/>
      <c r="B15" s="142" t="s">
        <v>140</v>
      </c>
      <c r="C15" s="145"/>
      <c r="D15" s="335"/>
      <c r="E15" s="356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24"/>
      <c r="Q15" s="188"/>
      <c r="R15" s="191"/>
      <c r="S15" s="191"/>
      <c r="T15" s="136"/>
      <c r="U15" s="335"/>
      <c r="V15" s="356"/>
      <c r="W15" s="188"/>
      <c r="X15" s="136"/>
      <c r="Y15" s="136"/>
      <c r="Z15" s="136"/>
      <c r="AA15" s="136"/>
      <c r="AB15" s="136"/>
    </row>
    <row r="16" spans="1:34" ht="22.5">
      <c r="A16" s="178">
        <v>1</v>
      </c>
      <c r="B16" s="366" t="s">
        <v>141</v>
      </c>
      <c r="C16" s="124">
        <f>D16*E16</f>
        <v>354000</v>
      </c>
      <c r="D16" s="124">
        <f>295000*1.2</f>
        <v>354000</v>
      </c>
      <c r="E16" s="357">
        <v>1</v>
      </c>
      <c r="F16" s="124">
        <f>D16*E16</f>
        <v>354000</v>
      </c>
      <c r="G16" s="147">
        <v>10914</v>
      </c>
      <c r="H16" s="143" t="s">
        <v>142</v>
      </c>
      <c r="I16" s="187">
        <f>W16</f>
        <v>282000</v>
      </c>
      <c r="J16" s="2310"/>
      <c r="K16" s="143"/>
      <c r="L16" s="143">
        <f>+I16-J16+K16</f>
        <v>282000</v>
      </c>
      <c r="M16" s="143"/>
      <c r="N16" s="143">
        <f>G16</f>
        <v>10914</v>
      </c>
      <c r="O16" s="143">
        <v>0.4</v>
      </c>
      <c r="P16" s="124">
        <f>O16*U16</f>
        <v>112800</v>
      </c>
      <c r="Q16" s="358"/>
      <c r="R16" s="124"/>
      <c r="S16" s="143"/>
      <c r="T16" s="143">
        <f>W16-L16</f>
        <v>0</v>
      </c>
      <c r="U16" s="124">
        <f>AH19*1.2</f>
        <v>282000</v>
      </c>
      <c r="V16" s="357">
        <v>1</v>
      </c>
      <c r="W16" s="124">
        <f>U16*V16</f>
        <v>282000</v>
      </c>
      <c r="X16" s="143">
        <v>253800</v>
      </c>
      <c r="Y16" s="143">
        <v>10914</v>
      </c>
      <c r="Z16" s="124">
        <v>112800</v>
      </c>
      <c r="AA16" s="143"/>
      <c r="AB16" s="143">
        <f>W16</f>
        <v>282000</v>
      </c>
    </row>
    <row r="17" spans="1:34">
      <c r="A17" s="178"/>
      <c r="B17" s="367"/>
      <c r="C17" s="124"/>
      <c r="D17" s="143"/>
      <c r="E17" s="190"/>
      <c r="F17" s="124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1"/>
      <c r="R17" s="124"/>
      <c r="S17" s="143"/>
      <c r="T17" s="143"/>
      <c r="U17" s="143"/>
      <c r="V17" s="190"/>
      <c r="W17" s="124"/>
      <c r="X17" s="143"/>
      <c r="Y17" s="143"/>
      <c r="Z17" s="143"/>
      <c r="AA17" s="143"/>
      <c r="AB17" s="143"/>
      <c r="AC17" s="2424" t="s">
        <v>143</v>
      </c>
      <c r="AD17" s="2425"/>
      <c r="AE17" s="2425"/>
      <c r="AF17" s="2151" t="s">
        <v>69</v>
      </c>
      <c r="AG17" s="2151" t="s">
        <v>144</v>
      </c>
      <c r="AH17" s="2151" t="s">
        <v>52</v>
      </c>
    </row>
    <row r="18" spans="1:34" ht="67.5">
      <c r="A18" s="178"/>
      <c r="B18" s="379" t="s">
        <v>145</v>
      </c>
      <c r="C18" s="124"/>
      <c r="D18" s="143"/>
      <c r="E18" s="190"/>
      <c r="F18" s="124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1"/>
      <c r="R18" s="124"/>
      <c r="S18" s="143"/>
      <c r="T18" s="143"/>
      <c r="U18" s="143"/>
      <c r="V18" s="190"/>
      <c r="W18" s="124"/>
      <c r="X18" s="143"/>
      <c r="Y18" s="143"/>
      <c r="Z18" s="143"/>
      <c r="AA18" s="143"/>
      <c r="AB18" s="143"/>
      <c r="AC18" s="2152">
        <v>1</v>
      </c>
      <c r="AD18" s="2153" t="s">
        <v>146</v>
      </c>
      <c r="AE18" s="2154" t="s">
        <v>141</v>
      </c>
      <c r="AF18" s="2155"/>
      <c r="AG18" s="2155"/>
      <c r="AH18" s="2155"/>
    </row>
    <row r="19" spans="1:34" ht="10.5" customHeight="1">
      <c r="A19" s="370"/>
      <c r="B19" s="371"/>
      <c r="C19" s="124"/>
      <c r="D19" s="140"/>
      <c r="E19" s="190"/>
      <c r="F19" s="124"/>
      <c r="G19" s="143"/>
      <c r="H19" s="143"/>
      <c r="I19" s="143"/>
      <c r="J19" s="143"/>
      <c r="K19" s="143"/>
      <c r="L19" s="143"/>
      <c r="M19" s="143"/>
      <c r="N19" s="143"/>
      <c r="O19" s="143"/>
      <c r="P19" s="140"/>
      <c r="Q19" s="141"/>
      <c r="R19" s="124"/>
      <c r="S19" s="143"/>
      <c r="T19" s="143"/>
      <c r="U19" s="140"/>
      <c r="V19" s="190"/>
      <c r="W19" s="124"/>
      <c r="X19" s="143"/>
      <c r="Y19" s="143"/>
      <c r="Z19" s="143"/>
      <c r="AA19" s="143"/>
      <c r="AB19" s="143"/>
      <c r="AC19" s="2153"/>
      <c r="AD19" s="2153"/>
      <c r="AE19" s="2156" t="s">
        <v>147</v>
      </c>
      <c r="AF19" s="2155">
        <v>60000</v>
      </c>
      <c r="AG19" s="2155"/>
      <c r="AH19" s="2155">
        <v>235000</v>
      </c>
    </row>
    <row r="20" spans="1:34">
      <c r="A20" s="178">
        <v>2</v>
      </c>
      <c r="B20" s="142" t="s">
        <v>148</v>
      </c>
      <c r="C20" s="124">
        <f>D20*E20</f>
        <v>60000</v>
      </c>
      <c r="D20" s="124">
        <f>2500*1.2</f>
        <v>3000</v>
      </c>
      <c r="E20" s="190">
        <v>20</v>
      </c>
      <c r="F20" s="124">
        <f>D20*E20</f>
        <v>60000</v>
      </c>
      <c r="G20" s="143"/>
      <c r="H20" s="143"/>
      <c r="I20" s="143"/>
      <c r="J20" s="143"/>
      <c r="K20" s="143"/>
      <c r="L20" s="143"/>
      <c r="M20" s="143"/>
      <c r="N20" s="143"/>
      <c r="O20" s="143"/>
      <c r="P20" s="1517"/>
      <c r="Q20" s="141"/>
      <c r="R20" s="143"/>
      <c r="S20" s="143"/>
      <c r="T20" s="143"/>
      <c r="U20" s="124"/>
      <c r="V20" s="190"/>
      <c r="W20" s="124"/>
      <c r="X20" s="143"/>
      <c r="Y20" s="143"/>
      <c r="Z20" s="143"/>
      <c r="AA20" s="143"/>
      <c r="AB20" s="143"/>
      <c r="AC20" s="2157"/>
      <c r="AD20" s="2157"/>
      <c r="AE20" s="2158"/>
      <c r="AF20" s="2155"/>
      <c r="AG20" s="2155"/>
      <c r="AH20" s="2155"/>
    </row>
    <row r="21" spans="1:34" ht="14.25" customHeight="1">
      <c r="A21" s="178"/>
      <c r="B21" s="360" t="s">
        <v>149</v>
      </c>
      <c r="C21" s="124"/>
      <c r="D21" s="143"/>
      <c r="E21" s="190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1"/>
      <c r="R21" s="143"/>
      <c r="S21" s="143"/>
      <c r="T21" s="143"/>
      <c r="U21" s="143"/>
      <c r="V21" s="190"/>
      <c r="W21" s="124"/>
      <c r="X21" s="143"/>
      <c r="Y21" s="143"/>
      <c r="Z21" s="143"/>
      <c r="AA21" s="143"/>
      <c r="AB21" s="143"/>
      <c r="AC21" s="2159"/>
      <c r="AD21" s="2159"/>
      <c r="AE21" s="2159"/>
      <c r="AF21" s="2155"/>
      <c r="AG21" s="2155"/>
      <c r="AH21" s="2155"/>
    </row>
    <row r="22" spans="1:34">
      <c r="A22" s="178"/>
      <c r="B22" s="360" t="s">
        <v>150</v>
      </c>
      <c r="C22" s="124"/>
      <c r="D22" s="143"/>
      <c r="E22" s="357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24"/>
      <c r="S22" s="143"/>
      <c r="T22" s="143"/>
      <c r="U22" s="143"/>
      <c r="V22" s="357"/>
      <c r="W22" s="124"/>
      <c r="X22" s="143"/>
      <c r="Y22" s="143"/>
      <c r="Z22" s="143"/>
      <c r="AA22" s="143"/>
      <c r="AB22" s="143"/>
      <c r="AC22" s="2424" t="s">
        <v>151</v>
      </c>
      <c r="AD22" s="2425"/>
      <c r="AE22" s="2425"/>
      <c r="AF22" s="2155"/>
      <c r="AG22" s="2155"/>
      <c r="AH22" s="2155"/>
    </row>
    <row r="23" spans="1:34" ht="12.75" customHeight="1">
      <c r="A23" s="178">
        <v>3</v>
      </c>
      <c r="B23" s="179" t="s">
        <v>152</v>
      </c>
      <c r="C23" s="124">
        <f>D23*E23</f>
        <v>18000</v>
      </c>
      <c r="D23" s="143">
        <f>5000*1.2</f>
        <v>6000</v>
      </c>
      <c r="E23" s="190">
        <v>3</v>
      </c>
      <c r="F23" s="124">
        <f>D23*E23</f>
        <v>18000</v>
      </c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24"/>
      <c r="S23" s="143"/>
      <c r="T23" s="143"/>
      <c r="U23" s="143"/>
      <c r="V23" s="190"/>
      <c r="W23" s="124"/>
      <c r="X23" s="143"/>
      <c r="Y23" s="143"/>
      <c r="Z23" s="143"/>
      <c r="AA23" s="143"/>
      <c r="AB23" s="143"/>
      <c r="AC23" s="2160"/>
      <c r="AD23" s="2160"/>
      <c r="AE23" s="2161"/>
      <c r="AF23" s="2155"/>
      <c r="AG23" s="2155"/>
      <c r="AH23" s="2155"/>
    </row>
    <row r="24" spans="1:34" ht="12.75" customHeight="1">
      <c r="A24" s="354"/>
      <c r="B24" s="360" t="s">
        <v>149</v>
      </c>
      <c r="C24" s="124"/>
      <c r="D24" s="143"/>
      <c r="E24" s="190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24"/>
      <c r="S24" s="143"/>
      <c r="T24" s="143"/>
      <c r="U24" s="143"/>
      <c r="V24" s="190"/>
      <c r="W24" s="124"/>
      <c r="X24" s="143"/>
      <c r="Y24" s="143"/>
      <c r="Z24" s="143"/>
      <c r="AA24" s="143"/>
      <c r="AB24" s="143"/>
      <c r="AC24" s="2160">
        <v>2</v>
      </c>
      <c r="AD24" s="2162" t="s">
        <v>153</v>
      </c>
      <c r="AE24" s="2163" t="s">
        <v>154</v>
      </c>
      <c r="AF24" s="2155">
        <v>50000</v>
      </c>
      <c r="AG24" s="2155"/>
      <c r="AH24" s="2155"/>
    </row>
    <row r="25" spans="1:34" ht="30">
      <c r="A25" s="178"/>
      <c r="B25" s="360" t="s">
        <v>150</v>
      </c>
      <c r="C25" s="124"/>
      <c r="D25" s="143"/>
      <c r="E25" s="190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43"/>
      <c r="S25" s="143"/>
      <c r="T25" s="143"/>
      <c r="U25" s="143"/>
      <c r="V25" s="190"/>
      <c r="W25" s="124"/>
      <c r="X25" s="143"/>
      <c r="Y25" s="143"/>
      <c r="Z25" s="143"/>
      <c r="AA25" s="143"/>
      <c r="AB25" s="143"/>
      <c r="AC25" s="2160"/>
      <c r="AD25" s="2160"/>
      <c r="AE25" s="2156" t="s">
        <v>155</v>
      </c>
      <c r="AF25" s="2155"/>
      <c r="AG25" s="2155"/>
      <c r="AH25" s="2155"/>
    </row>
    <row r="26" spans="1:34" ht="45">
      <c r="A26" s="178">
        <v>4</v>
      </c>
      <c r="B26" s="179" t="s">
        <v>156</v>
      </c>
      <c r="C26" s="124">
        <f>D26*E26</f>
        <v>444000</v>
      </c>
      <c r="D26" s="143">
        <f>370000*1.2</f>
        <v>444000</v>
      </c>
      <c r="E26" s="190">
        <v>1</v>
      </c>
      <c r="F26" s="124">
        <f>D26*E26</f>
        <v>444000</v>
      </c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1"/>
      <c r="R26" s="143"/>
      <c r="S26" s="143"/>
      <c r="T26" s="143"/>
      <c r="U26" s="143"/>
      <c r="V26" s="190"/>
      <c r="W26" s="124"/>
      <c r="X26" s="143"/>
      <c r="Y26" s="143"/>
      <c r="Z26" s="143"/>
      <c r="AA26" s="143"/>
      <c r="AB26" s="143"/>
      <c r="AC26" s="2164"/>
      <c r="AD26" s="2164"/>
      <c r="AE26" s="2165" t="s">
        <v>157</v>
      </c>
      <c r="AF26" s="2155"/>
      <c r="AG26" s="2155"/>
      <c r="AH26" s="2155"/>
    </row>
    <row r="27" spans="1:34" ht="15">
      <c r="A27" s="178"/>
      <c r="B27" s="359" t="s">
        <v>123</v>
      </c>
      <c r="C27" s="124"/>
      <c r="D27" s="143"/>
      <c r="E27" s="190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43"/>
      <c r="S27" s="143"/>
      <c r="T27" s="143"/>
      <c r="U27" s="143"/>
      <c r="V27" s="190"/>
      <c r="W27" s="124"/>
      <c r="X27" s="143"/>
      <c r="Y27" s="143"/>
      <c r="Z27" s="143"/>
      <c r="AA27" s="143"/>
      <c r="AB27" s="143"/>
      <c r="AC27" s="2160"/>
      <c r="AD27" s="2166"/>
      <c r="AE27" s="2161"/>
      <c r="AF27" s="2155"/>
      <c r="AG27" s="2155"/>
      <c r="AH27" s="2155"/>
    </row>
    <row r="28" spans="1:34" ht="43.5">
      <c r="A28" s="178">
        <v>5</v>
      </c>
      <c r="B28" s="179" t="s">
        <v>158</v>
      </c>
      <c r="C28" s="124">
        <f>D28*E28</f>
        <v>216000</v>
      </c>
      <c r="D28" s="143">
        <f>60000*1.2</f>
        <v>72000</v>
      </c>
      <c r="E28" s="190">
        <v>3</v>
      </c>
      <c r="F28" s="124">
        <f>D28*E28</f>
        <v>216000</v>
      </c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43"/>
      <c r="S28" s="143"/>
      <c r="T28" s="143"/>
      <c r="U28" s="143"/>
      <c r="V28" s="190"/>
      <c r="W28" s="124"/>
      <c r="X28" s="143"/>
      <c r="Y28" s="143"/>
      <c r="Z28" s="143"/>
      <c r="AA28" s="143"/>
      <c r="AB28" s="143"/>
      <c r="AC28" s="2160">
        <v>3</v>
      </c>
      <c r="AD28" s="2162" t="s">
        <v>153</v>
      </c>
      <c r="AE28" s="2156" t="s">
        <v>361</v>
      </c>
      <c r="AF28" s="2155">
        <v>15000</v>
      </c>
      <c r="AG28" s="2155"/>
      <c r="AH28" s="2155"/>
    </row>
    <row r="29" spans="1:34" ht="30">
      <c r="A29" s="361"/>
      <c r="B29" s="362" t="s">
        <v>159</v>
      </c>
      <c r="C29" s="124"/>
      <c r="D29" s="143"/>
      <c r="E29" s="190"/>
      <c r="F29" s="124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84"/>
      <c r="R29" s="143"/>
      <c r="S29" s="143"/>
      <c r="T29" s="143"/>
      <c r="U29" s="143"/>
      <c r="V29" s="190"/>
      <c r="W29" s="124"/>
      <c r="X29" s="143"/>
      <c r="Y29" s="143"/>
      <c r="Z29" s="143"/>
      <c r="AA29" s="143"/>
      <c r="AB29" s="143"/>
      <c r="AC29" s="2160"/>
      <c r="AD29" s="2160"/>
      <c r="AE29" s="2156" t="s">
        <v>160</v>
      </c>
      <c r="AF29" s="2155"/>
      <c r="AG29" s="2155"/>
      <c r="AH29" s="2155"/>
    </row>
    <row r="30" spans="1:34" ht="45">
      <c r="A30" s="178">
        <v>6</v>
      </c>
      <c r="B30" s="179" t="s">
        <v>161</v>
      </c>
      <c r="C30" s="124">
        <f>D30*E30</f>
        <v>180000</v>
      </c>
      <c r="D30" s="143">
        <f>50000*1.2</f>
        <v>60000</v>
      </c>
      <c r="E30" s="190">
        <v>3</v>
      </c>
      <c r="F30" s="124">
        <f>D30*E30</f>
        <v>180000</v>
      </c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84"/>
      <c r="R30" s="143"/>
      <c r="S30" s="143"/>
      <c r="T30" s="143"/>
      <c r="U30" s="143"/>
      <c r="V30" s="190"/>
      <c r="W30" s="124"/>
      <c r="X30" s="143"/>
      <c r="Y30" s="143"/>
      <c r="Z30" s="143"/>
      <c r="AA30" s="143"/>
      <c r="AB30" s="143"/>
      <c r="AC30" s="2164"/>
      <c r="AD30" s="2164"/>
      <c r="AE30" s="2167" t="s">
        <v>162</v>
      </c>
      <c r="AF30" s="2155"/>
      <c r="AG30" s="2155"/>
      <c r="AH30" s="2155"/>
    </row>
    <row r="31" spans="1:34" ht="15">
      <c r="A31" s="178"/>
      <c r="B31" s="360" t="s">
        <v>159</v>
      </c>
      <c r="C31" s="124"/>
      <c r="D31" s="143"/>
      <c r="E31" s="190"/>
      <c r="F31" s="124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84"/>
      <c r="R31" s="143"/>
      <c r="S31" s="143"/>
      <c r="T31" s="143"/>
      <c r="U31" s="143"/>
      <c r="V31" s="190"/>
      <c r="W31" s="124"/>
      <c r="X31" s="143"/>
      <c r="Y31" s="143"/>
      <c r="Z31" s="143"/>
      <c r="AA31" s="143"/>
      <c r="AB31" s="143"/>
      <c r="AC31" s="2160"/>
      <c r="AD31" s="2160"/>
      <c r="AE31" s="2161"/>
      <c r="AF31" s="2155"/>
      <c r="AG31" s="2155"/>
      <c r="AH31" s="2155"/>
    </row>
    <row r="32" spans="1:34" ht="30">
      <c r="A32" s="178">
        <v>7</v>
      </c>
      <c r="B32" s="179" t="s">
        <v>163</v>
      </c>
      <c r="C32" s="124">
        <f>D32*E32</f>
        <v>12000</v>
      </c>
      <c r="D32" s="143">
        <f>10000*1.2</f>
        <v>12000</v>
      </c>
      <c r="E32" s="190">
        <v>1</v>
      </c>
      <c r="F32" s="124">
        <f>D32*E32</f>
        <v>12000</v>
      </c>
      <c r="G32" s="124"/>
      <c r="H32" s="124"/>
      <c r="I32" s="191"/>
      <c r="J32" s="124"/>
      <c r="K32" s="124"/>
      <c r="L32" s="143"/>
      <c r="M32" s="124"/>
      <c r="N32" s="124"/>
      <c r="O32" s="124"/>
      <c r="P32" s="143"/>
      <c r="Q32" s="184"/>
      <c r="R32" s="143"/>
      <c r="S32" s="143"/>
      <c r="T32" s="877"/>
      <c r="U32" s="143"/>
      <c r="V32" s="190"/>
      <c r="W32" s="124"/>
      <c r="X32" s="877"/>
      <c r="Y32" s="877"/>
      <c r="Z32" s="877"/>
      <c r="AA32" s="877"/>
      <c r="AB32" s="143"/>
      <c r="AC32" s="2160">
        <v>4</v>
      </c>
      <c r="AD32" s="2162" t="s">
        <v>153</v>
      </c>
      <c r="AE32" s="2154" t="s">
        <v>156</v>
      </c>
      <c r="AF32" s="2155">
        <v>100000</v>
      </c>
      <c r="AG32" s="2155">
        <v>270000</v>
      </c>
      <c r="AH32" s="2155"/>
    </row>
    <row r="33" spans="1:34" ht="45">
      <c r="A33" s="178"/>
      <c r="B33" s="360" t="s">
        <v>164</v>
      </c>
      <c r="C33" s="124"/>
      <c r="D33" s="124"/>
      <c r="E33" s="190"/>
      <c r="F33" s="124"/>
      <c r="G33" s="124"/>
      <c r="H33" s="124"/>
      <c r="I33" s="191"/>
      <c r="J33" s="124"/>
      <c r="K33" s="124"/>
      <c r="L33" s="143"/>
      <c r="M33" s="124"/>
      <c r="N33" s="124"/>
      <c r="O33" s="124"/>
      <c r="P33" s="124"/>
      <c r="Q33" s="184"/>
      <c r="R33" s="143"/>
      <c r="S33" s="143"/>
      <c r="T33" s="877"/>
      <c r="U33" s="124"/>
      <c r="V33" s="190"/>
      <c r="W33" s="124"/>
      <c r="X33" s="877"/>
      <c r="Y33" s="877"/>
      <c r="Z33" s="877"/>
      <c r="AA33" s="877"/>
      <c r="AB33" s="143"/>
      <c r="AC33" s="2164"/>
      <c r="AD33" s="2168"/>
      <c r="AE33" s="2165" t="s">
        <v>165</v>
      </c>
      <c r="AF33" s="2155"/>
      <c r="AG33" s="2155"/>
      <c r="AH33" s="2155"/>
    </row>
    <row r="34" spans="1:34" ht="15">
      <c r="A34" s="178">
        <v>8</v>
      </c>
      <c r="B34" s="179" t="s">
        <v>166</v>
      </c>
      <c r="C34" s="124">
        <f>D34*E34</f>
        <v>72000</v>
      </c>
      <c r="D34" s="124">
        <f>60000*1.2</f>
        <v>72000</v>
      </c>
      <c r="E34" s="190">
        <v>1</v>
      </c>
      <c r="F34" s="124">
        <f>D34*E34</f>
        <v>72000</v>
      </c>
      <c r="G34" s="124"/>
      <c r="H34" s="124"/>
      <c r="I34" s="191"/>
      <c r="J34" s="124"/>
      <c r="K34" s="124"/>
      <c r="L34" s="143"/>
      <c r="M34" s="124"/>
      <c r="N34" s="124"/>
      <c r="O34" s="124"/>
      <c r="P34" s="124"/>
      <c r="Q34" s="184"/>
      <c r="R34" s="143"/>
      <c r="S34" s="143"/>
      <c r="T34" s="877"/>
      <c r="U34" s="124"/>
      <c r="V34" s="380"/>
      <c r="W34" s="124"/>
      <c r="X34" s="877"/>
      <c r="Y34" s="877"/>
      <c r="Z34" s="877"/>
      <c r="AA34" s="877"/>
      <c r="AB34" s="143"/>
      <c r="AC34" s="2160"/>
      <c r="AD34" s="2166"/>
      <c r="AE34" s="2156"/>
      <c r="AF34" s="2155"/>
      <c r="AG34" s="2155"/>
      <c r="AH34" s="2155"/>
    </row>
    <row r="35" spans="1:34" ht="42.75">
      <c r="A35" s="178"/>
      <c r="B35" s="360" t="s">
        <v>123</v>
      </c>
      <c r="C35" s="124"/>
      <c r="D35" s="124"/>
      <c r="E35" s="190"/>
      <c r="F35" s="124"/>
      <c r="G35" s="124"/>
      <c r="H35" s="124"/>
      <c r="I35" s="191"/>
      <c r="J35" s="124"/>
      <c r="K35" s="124"/>
      <c r="L35" s="143"/>
      <c r="M35" s="124"/>
      <c r="N35" s="124"/>
      <c r="O35" s="124"/>
      <c r="P35" s="124"/>
      <c r="Q35" s="184"/>
      <c r="R35" s="143"/>
      <c r="S35" s="143"/>
      <c r="T35" s="877"/>
      <c r="U35" s="124"/>
      <c r="V35" s="380"/>
      <c r="W35" s="124"/>
      <c r="X35" s="877"/>
      <c r="Y35" s="877"/>
      <c r="Z35" s="877"/>
      <c r="AA35" s="877"/>
      <c r="AB35" s="877"/>
      <c r="AC35" s="2160">
        <v>5</v>
      </c>
      <c r="AD35" s="2162" t="s">
        <v>153</v>
      </c>
      <c r="AE35" s="2154" t="s">
        <v>167</v>
      </c>
      <c r="AF35" s="2155">
        <v>180000</v>
      </c>
      <c r="AG35" s="2155"/>
      <c r="AH35" s="2155"/>
    </row>
    <row r="36" spans="1:34" ht="45">
      <c r="A36" s="178"/>
      <c r="B36" s="179"/>
      <c r="C36" s="124"/>
      <c r="D36" s="124"/>
      <c r="E36" s="190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24"/>
      <c r="V36" s="190"/>
      <c r="W36" s="124"/>
      <c r="X36" s="877"/>
      <c r="Y36" s="877"/>
      <c r="Z36" s="877"/>
      <c r="AA36" s="877"/>
      <c r="AB36" s="877"/>
      <c r="AC36" s="2164"/>
      <c r="AD36" s="2164"/>
      <c r="AE36" s="2167" t="s">
        <v>162</v>
      </c>
      <c r="AF36" s="2155"/>
      <c r="AG36" s="2155"/>
      <c r="AH36" s="2155"/>
    </row>
    <row r="37" spans="1:34" ht="42.75">
      <c r="A37" s="178"/>
      <c r="B37" s="363"/>
      <c r="C37" s="124"/>
      <c r="D37" s="124"/>
      <c r="E37" s="190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43"/>
      <c r="Q37" s="124"/>
      <c r="R37" s="143"/>
      <c r="S37" s="143"/>
      <c r="T37" s="877"/>
      <c r="U37" s="124"/>
      <c r="V37" s="190"/>
      <c r="W37" s="124"/>
      <c r="X37" s="877"/>
      <c r="Y37" s="877"/>
      <c r="Z37" s="877"/>
      <c r="AA37" s="877"/>
      <c r="AB37" s="877"/>
      <c r="AC37" s="2160">
        <v>6</v>
      </c>
      <c r="AD37" s="2162" t="s">
        <v>153</v>
      </c>
      <c r="AE37" s="2154" t="s">
        <v>168</v>
      </c>
      <c r="AF37" s="2155">
        <v>150000</v>
      </c>
      <c r="AG37" s="2155"/>
      <c r="AH37" s="2155"/>
    </row>
    <row r="38" spans="1:34" ht="45">
      <c r="A38" s="178"/>
      <c r="B38" s="179"/>
      <c r="C38" s="124"/>
      <c r="D38" s="124"/>
      <c r="E38" s="190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43"/>
      <c r="Q38" s="124"/>
      <c r="R38" s="143"/>
      <c r="S38" s="143"/>
      <c r="T38" s="877"/>
      <c r="U38" s="124"/>
      <c r="V38" s="190"/>
      <c r="W38" s="124"/>
      <c r="X38" s="877"/>
      <c r="Y38" s="877"/>
      <c r="Z38" s="877"/>
      <c r="AA38" s="877"/>
      <c r="AB38" s="877"/>
      <c r="AC38" s="2164"/>
      <c r="AD38" s="2169"/>
      <c r="AE38" s="2167" t="s">
        <v>162</v>
      </c>
      <c r="AF38" s="2155"/>
      <c r="AG38" s="2155"/>
      <c r="AH38" s="2155"/>
    </row>
    <row r="39" spans="1:34" ht="15">
      <c r="A39" s="178"/>
      <c r="B39" s="179"/>
      <c r="C39" s="124"/>
      <c r="D39" s="124"/>
      <c r="E39" s="190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43"/>
      <c r="Q39" s="124"/>
      <c r="R39" s="143"/>
      <c r="S39" s="143"/>
      <c r="T39" s="877"/>
      <c r="U39" s="124"/>
      <c r="V39" s="190"/>
      <c r="W39" s="124"/>
      <c r="X39" s="877"/>
      <c r="Y39" s="877"/>
      <c r="Z39" s="877"/>
      <c r="AA39" s="877"/>
      <c r="AB39" s="877"/>
      <c r="AC39" s="2160"/>
      <c r="AD39" s="2170"/>
      <c r="AE39" s="2171"/>
      <c r="AF39" s="2155"/>
      <c r="AG39" s="2155"/>
      <c r="AH39" s="2155"/>
    </row>
    <row r="40" spans="1:34" ht="57">
      <c r="A40" s="178"/>
      <c r="B40" s="179"/>
      <c r="C40" s="124"/>
      <c r="D40" s="124"/>
      <c r="E40" s="357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357"/>
      <c r="W40" s="124"/>
      <c r="X40" s="877"/>
      <c r="Y40" s="877"/>
      <c r="Z40" s="877"/>
      <c r="AA40" s="877"/>
      <c r="AB40" s="877"/>
      <c r="AC40" s="2160">
        <v>7</v>
      </c>
      <c r="AD40" s="2162" t="s">
        <v>153</v>
      </c>
      <c r="AE40" s="2154" t="s">
        <v>169</v>
      </c>
      <c r="AF40" s="2155">
        <v>10000</v>
      </c>
      <c r="AG40" s="2155"/>
      <c r="AH40" s="2155"/>
    </row>
    <row r="41" spans="1:34" ht="45">
      <c r="A41" s="178"/>
      <c r="B41" s="363"/>
      <c r="C41" s="124"/>
      <c r="D41" s="124"/>
      <c r="E41" s="357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357"/>
      <c r="W41" s="124"/>
      <c r="X41" s="877"/>
      <c r="Y41" s="877"/>
      <c r="Z41" s="877"/>
      <c r="AA41" s="877"/>
      <c r="AB41" s="877"/>
      <c r="AC41" s="2164"/>
      <c r="AD41" s="2169"/>
      <c r="AE41" s="2165" t="s">
        <v>165</v>
      </c>
      <c r="AF41" s="2155"/>
      <c r="AG41" s="2155"/>
      <c r="AH41" s="2155"/>
    </row>
    <row r="42" spans="1:34" ht="15">
      <c r="A42" s="178"/>
      <c r="B42" s="179"/>
      <c r="C42" s="124"/>
      <c r="D42" s="124"/>
      <c r="E42" s="357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357"/>
      <c r="W42" s="124"/>
      <c r="X42" s="877"/>
      <c r="Y42" s="877"/>
      <c r="Z42" s="877"/>
      <c r="AA42" s="877"/>
      <c r="AB42" s="877"/>
      <c r="AC42" s="2160"/>
      <c r="AD42" s="2170"/>
      <c r="AE42" s="2171"/>
      <c r="AF42" s="2155"/>
      <c r="AG42" s="2155"/>
      <c r="AH42" s="2155"/>
    </row>
    <row r="43" spans="1:34" ht="30">
      <c r="A43" s="178"/>
      <c r="B43" s="179"/>
      <c r="C43" s="124"/>
      <c r="D43" s="124"/>
      <c r="E43" s="357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357"/>
      <c r="W43" s="124"/>
      <c r="X43" s="877"/>
      <c r="Y43" s="877"/>
      <c r="Z43" s="877"/>
      <c r="AA43" s="877"/>
      <c r="AB43" s="877"/>
      <c r="AC43" s="2160">
        <v>8</v>
      </c>
      <c r="AD43" s="2162" t="s">
        <v>153</v>
      </c>
      <c r="AE43" s="2154" t="s">
        <v>166</v>
      </c>
      <c r="AF43" s="2155">
        <v>30000</v>
      </c>
      <c r="AG43" s="2155">
        <v>30000</v>
      </c>
      <c r="AH43" s="2155"/>
    </row>
    <row r="44" spans="1:34" ht="45">
      <c r="A44" s="178"/>
      <c r="B44" s="179"/>
      <c r="C44" s="124"/>
      <c r="D44" s="124"/>
      <c r="E44" s="357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357"/>
      <c r="W44" s="124"/>
      <c r="X44" s="877"/>
      <c r="Y44" s="877"/>
      <c r="Z44" s="877"/>
      <c r="AA44" s="877"/>
      <c r="AB44" s="877"/>
      <c r="AC44" s="2164"/>
      <c r="AD44" s="2169"/>
      <c r="AE44" s="2165" t="s">
        <v>165</v>
      </c>
      <c r="AF44" s="2155"/>
      <c r="AG44" s="2155"/>
      <c r="AH44" s="2155"/>
    </row>
    <row r="45" spans="1:34" ht="28.5">
      <c r="A45" s="178"/>
      <c r="B45" s="363"/>
      <c r="C45" s="124"/>
      <c r="D45" s="124"/>
      <c r="E45" s="357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357"/>
      <c r="W45" s="124"/>
      <c r="X45" s="877"/>
      <c r="Y45" s="877"/>
      <c r="Z45" s="877"/>
      <c r="AA45" s="877"/>
      <c r="AB45" s="877"/>
      <c r="AC45" s="2172"/>
      <c r="AD45" s="2173"/>
      <c r="AE45" s="2174" t="s">
        <v>170</v>
      </c>
      <c r="AF45" s="2155">
        <v>595000</v>
      </c>
      <c r="AG45" s="2155">
        <v>300000</v>
      </c>
      <c r="AH45" s="2155">
        <v>235000</v>
      </c>
    </row>
    <row r="46" spans="1:34">
      <c r="A46" s="178"/>
      <c r="B46" s="179"/>
      <c r="C46" s="124"/>
      <c r="D46" s="124"/>
      <c r="E46" s="357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357"/>
      <c r="W46" s="124"/>
      <c r="X46" s="877"/>
      <c r="Y46" s="877"/>
      <c r="Z46" s="877"/>
      <c r="AA46" s="877"/>
      <c r="AB46" s="877"/>
    </row>
    <row r="47" spans="1:34">
      <c r="A47" s="178"/>
      <c r="B47" s="363"/>
      <c r="C47" s="124"/>
      <c r="D47" s="124"/>
      <c r="E47" s="357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357"/>
      <c r="W47" s="124"/>
      <c r="X47" s="877"/>
      <c r="Y47" s="877"/>
      <c r="Z47" s="877"/>
      <c r="AA47" s="877"/>
      <c r="AB47" s="877"/>
    </row>
    <row r="48" spans="1:34">
      <c r="A48" s="178"/>
      <c r="B48" s="179"/>
      <c r="C48" s="124"/>
      <c r="D48" s="124"/>
      <c r="E48" s="357"/>
      <c r="F48" s="124"/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357"/>
      <c r="W48" s="124"/>
      <c r="X48" s="877"/>
      <c r="Y48" s="877"/>
      <c r="Z48" s="877"/>
      <c r="AA48" s="877"/>
      <c r="AB48" s="877"/>
    </row>
    <row r="49" spans="1:28">
      <c r="A49" s="178"/>
      <c r="B49" s="145"/>
      <c r="C49" s="124"/>
      <c r="D49" s="124"/>
      <c r="E49" s="190"/>
      <c r="F49" s="124"/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24"/>
      <c r="V49" s="190"/>
      <c r="W49" s="124"/>
      <c r="X49" s="877"/>
      <c r="Y49" s="877"/>
      <c r="Z49" s="877"/>
      <c r="AA49" s="877"/>
      <c r="AB49" s="877"/>
    </row>
    <row r="50" spans="1:28">
      <c r="A50" s="178"/>
      <c r="B50" s="365"/>
      <c r="C50" s="124"/>
      <c r="D50" s="124"/>
      <c r="E50" s="190"/>
      <c r="F50" s="124"/>
      <c r="G50" s="124"/>
      <c r="H50" s="124"/>
      <c r="I50" s="124"/>
      <c r="J50" s="124"/>
      <c r="K50" s="124"/>
      <c r="L50" s="143"/>
      <c r="M50" s="124"/>
      <c r="N50" s="124"/>
      <c r="O50" s="124"/>
      <c r="P50" s="143">
        <f>O50*D50</f>
        <v>0</v>
      </c>
      <c r="Q50" s="124"/>
      <c r="R50" s="143">
        <f>Q50*D50</f>
        <v>0</v>
      </c>
      <c r="S50" s="143">
        <f>+P50-R50</f>
        <v>0</v>
      </c>
      <c r="T50" s="877"/>
      <c r="U50" s="124"/>
      <c r="V50" s="190"/>
      <c r="W50" s="124"/>
      <c r="X50" s="877"/>
      <c r="Y50" s="877"/>
      <c r="Z50" s="877"/>
      <c r="AA50" s="877"/>
      <c r="AB50" s="877"/>
    </row>
    <row r="51" spans="1:28">
      <c r="A51" s="178"/>
      <c r="B51" s="366"/>
      <c r="C51" s="124"/>
      <c r="D51" s="124"/>
      <c r="E51" s="190"/>
      <c r="F51" s="124"/>
      <c r="G51" s="124"/>
      <c r="H51" s="124"/>
      <c r="I51" s="124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24"/>
      <c r="V51" s="190"/>
      <c r="W51" s="124"/>
      <c r="X51" s="877"/>
      <c r="Y51" s="877"/>
      <c r="Z51" s="877"/>
      <c r="AA51" s="877"/>
      <c r="AB51" s="877"/>
    </row>
    <row r="52" spans="1:28">
      <c r="A52" s="178"/>
      <c r="B52" s="367"/>
      <c r="C52" s="897"/>
      <c r="D52" s="898"/>
      <c r="E52" s="899"/>
      <c r="F52" s="897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898"/>
      <c r="V52" s="899"/>
      <c r="W52" s="897"/>
      <c r="X52" s="877"/>
      <c r="Y52" s="877"/>
      <c r="Z52" s="877"/>
      <c r="AA52" s="877"/>
      <c r="AB52" s="877"/>
    </row>
    <row r="53" spans="1:28">
      <c r="A53" s="178"/>
      <c r="B53" s="168"/>
      <c r="C53" s="124"/>
      <c r="D53" s="124"/>
      <c r="E53" s="190"/>
      <c r="F53" s="124"/>
      <c r="G53" s="124"/>
      <c r="H53" s="124"/>
      <c r="I53" s="124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24"/>
      <c r="V53" s="190"/>
      <c r="W53" s="124"/>
      <c r="X53" s="877"/>
      <c r="Y53" s="877"/>
      <c r="Z53" s="877"/>
      <c r="AA53" s="877"/>
      <c r="AB53" s="877"/>
    </row>
    <row r="54" spans="1:28">
      <c r="A54" s="370"/>
      <c r="B54" s="371"/>
      <c r="C54" s="124"/>
      <c r="D54" s="124"/>
      <c r="E54" s="190"/>
      <c r="F54" s="124"/>
      <c r="G54" s="124"/>
      <c r="H54" s="124"/>
      <c r="I54" s="124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24"/>
      <c r="V54" s="190"/>
      <c r="W54" s="124"/>
      <c r="X54" s="877"/>
      <c r="Y54" s="877"/>
      <c r="Z54" s="877"/>
      <c r="AA54" s="877"/>
      <c r="AB54" s="877"/>
    </row>
    <row r="55" spans="1:28">
      <c r="A55" s="178"/>
      <c r="B55" s="142"/>
      <c r="C55" s="124"/>
      <c r="D55" s="124"/>
      <c r="E55" s="190"/>
      <c r="F55" s="124"/>
      <c r="G55" s="124"/>
      <c r="H55" s="124"/>
      <c r="I55" s="124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24"/>
      <c r="V55" s="190"/>
      <c r="W55" s="124"/>
      <c r="X55" s="877"/>
      <c r="Y55" s="877"/>
      <c r="Z55" s="877"/>
      <c r="AA55" s="877"/>
      <c r="AB55" s="877"/>
    </row>
    <row r="56" spans="1:28">
      <c r="A56" s="178"/>
      <c r="B56" s="363"/>
      <c r="C56" s="124">
        <f>D56*E56</f>
        <v>0</v>
      </c>
      <c r="D56" s="124"/>
      <c r="E56" s="190"/>
      <c r="F56" s="124">
        <f>D56*E56</f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24"/>
      <c r="V56" s="190"/>
      <c r="W56" s="124"/>
      <c r="X56" s="877"/>
      <c r="Y56" s="877"/>
      <c r="Z56" s="877"/>
      <c r="AA56" s="877"/>
      <c r="AB56" s="877"/>
    </row>
    <row r="57" spans="1:28">
      <c r="A57" s="339" t="s">
        <v>97</v>
      </c>
      <c r="B57" s="340" t="s">
        <v>17</v>
      </c>
      <c r="C57" s="900">
        <f>SUM(C16:C56)</f>
        <v>1356000</v>
      </c>
      <c r="D57" s="900"/>
      <c r="E57" s="901"/>
      <c r="F57" s="900">
        <f>SUM(F16:F56)</f>
        <v>1356000</v>
      </c>
      <c r="G57" s="900">
        <f t="shared" ref="G57:N57" si="0">SUM(G15:G56)</f>
        <v>10914</v>
      </c>
      <c r="H57" s="900">
        <f t="shared" si="0"/>
        <v>0</v>
      </c>
      <c r="I57" s="900">
        <f t="shared" si="0"/>
        <v>282000</v>
      </c>
      <c r="J57" s="900">
        <f t="shared" si="0"/>
        <v>0</v>
      </c>
      <c r="K57" s="900">
        <f t="shared" si="0"/>
        <v>0</v>
      </c>
      <c r="L57" s="900">
        <f t="shared" si="0"/>
        <v>282000</v>
      </c>
      <c r="M57" s="900">
        <f t="shared" si="0"/>
        <v>0</v>
      </c>
      <c r="N57" s="900">
        <f t="shared" si="0"/>
        <v>10914</v>
      </c>
      <c r="O57" s="900"/>
      <c r="P57" s="900">
        <f>SUM(P15:P56)</f>
        <v>112800</v>
      </c>
      <c r="Q57" s="900"/>
      <c r="R57" s="900">
        <f>SUM(R15:R56)</f>
        <v>0</v>
      </c>
      <c r="S57" s="900">
        <f>SUM(S15:S56)</f>
        <v>0</v>
      </c>
      <c r="T57" s="893">
        <f>W57-L57</f>
        <v>0</v>
      </c>
      <c r="U57" s="900"/>
      <c r="V57" s="900"/>
      <c r="W57" s="900">
        <f>SUM(W16:W56)</f>
        <v>282000</v>
      </c>
      <c r="X57" s="900">
        <f>SUM(X15:X56)</f>
        <v>253800</v>
      </c>
      <c r="Y57" s="900">
        <f>SUM(Y15:Y56)</f>
        <v>10914</v>
      </c>
      <c r="Z57" s="900">
        <f>SUM(Z15:Z56)</f>
        <v>112800</v>
      </c>
      <c r="AA57" s="900">
        <f>SUM(AA15:AA56)</f>
        <v>0</v>
      </c>
      <c r="AB57" s="900">
        <f>SUM(AB15:AB56)</f>
        <v>282000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  <row r="75" spans="2:2">
      <c r="B75" s="304" t="s">
        <v>126</v>
      </c>
    </row>
  </sheetData>
  <mergeCells count="8">
    <mergeCell ref="AA8:AA12"/>
    <mergeCell ref="AB8:AB12"/>
    <mergeCell ref="AC17:AE17"/>
    <mergeCell ref="AC22:AE22"/>
    <mergeCell ref="E1:F1"/>
    <mergeCell ref="X8:X12"/>
    <mergeCell ref="Y8:Y12"/>
    <mergeCell ref="Z8:Z12"/>
  </mergeCells>
  <phoneticPr fontId="0" type="noConversion"/>
  <conditionalFormatting sqref="U8:W9 X8:AB12">
    <cfRule type="cellIs" dxfId="41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9"/>
  <dimension ref="A1:AE55"/>
  <sheetViews>
    <sheetView showGridLines="0" showZeros="0" topLeftCell="L1" zoomScaleNormal="100" workbookViewId="0">
      <selection activeCell="Z16" sqref="Z16:Z19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8.12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507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506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201101061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505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67" t="s">
        <v>86</v>
      </c>
      <c r="Y13" s="967"/>
      <c r="Z13" s="967"/>
      <c r="AA13" s="967"/>
      <c r="AB13" s="967"/>
    </row>
    <row r="14" spans="1:31">
      <c r="A14" s="723"/>
      <c r="B14" s="728"/>
      <c r="C14" s="724"/>
      <c r="D14" s="727"/>
      <c r="E14" s="723"/>
      <c r="F14" s="726"/>
      <c r="G14" s="726"/>
      <c r="H14" s="726"/>
      <c r="I14" s="726"/>
      <c r="J14" s="726"/>
      <c r="K14" s="726"/>
      <c r="L14" s="726"/>
      <c r="M14" s="726"/>
      <c r="N14" s="726"/>
      <c r="O14" s="724"/>
      <c r="P14" s="726"/>
      <c r="Q14" s="724"/>
      <c r="R14" s="724"/>
      <c r="S14" s="725"/>
      <c r="T14" s="722"/>
      <c r="U14" s="724"/>
      <c r="V14" s="723"/>
      <c r="W14" s="726"/>
      <c r="X14" s="722"/>
      <c r="Y14" s="722"/>
      <c r="Z14" s="722"/>
      <c r="AA14" s="722"/>
      <c r="AB14" s="722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102000</v>
      </c>
      <c r="D16" s="699">
        <f>85000*1.2</f>
        <v>102000</v>
      </c>
      <c r="E16" s="700">
        <v>1</v>
      </c>
      <c r="F16" s="699">
        <f>D16*E16</f>
        <v>102000</v>
      </c>
      <c r="G16" s="699"/>
      <c r="H16" s="699"/>
      <c r="I16" s="699">
        <f>U16</f>
        <v>102000</v>
      </c>
      <c r="J16" s="699">
        <v>0</v>
      </c>
      <c r="K16" s="699"/>
      <c r="L16" s="699">
        <f>+I16-J16+K16</f>
        <v>102000</v>
      </c>
      <c r="M16" s="699"/>
      <c r="N16" s="699">
        <f>G16</f>
        <v>0</v>
      </c>
      <c r="O16" s="699">
        <v>1</v>
      </c>
      <c r="P16" s="699">
        <f>O16*U16</f>
        <v>102000</v>
      </c>
      <c r="Q16" s="699"/>
      <c r="R16" s="706">
        <v>102000</v>
      </c>
      <c r="S16" s="706"/>
      <c r="T16" s="986">
        <f>W16-L16</f>
        <v>0</v>
      </c>
      <c r="U16" s="699">
        <f>85000*1.2</f>
        <v>102000</v>
      </c>
      <c r="V16" s="700">
        <v>1</v>
      </c>
      <c r="W16" s="699">
        <f>U16*V16</f>
        <v>102000</v>
      </c>
      <c r="X16" s="986">
        <v>102000</v>
      </c>
      <c r="Y16" s="986"/>
      <c r="Z16" s="986">
        <v>102000</v>
      </c>
      <c r="AA16" s="986"/>
      <c r="AB16" s="703">
        <v>102000</v>
      </c>
    </row>
    <row r="17" spans="1:31" hidden="1">
      <c r="A17" s="976"/>
      <c r="B17" s="720"/>
      <c r="C17" s="699"/>
      <c r="D17" s="699"/>
      <c r="E17" s="700"/>
      <c r="F17" s="699"/>
      <c r="G17" s="699"/>
      <c r="H17" s="699"/>
      <c r="I17" s="699"/>
      <c r="J17" s="699"/>
      <c r="K17" s="699"/>
      <c r="L17" s="699">
        <f>+I17-J17+K17</f>
        <v>0</v>
      </c>
      <c r="M17" s="699"/>
      <c r="N17" s="699"/>
      <c r="O17" s="699"/>
      <c r="P17" s="699">
        <f>O17*U17</f>
        <v>0</v>
      </c>
      <c r="Q17" s="699"/>
      <c r="R17" s="706"/>
      <c r="S17" s="706"/>
      <c r="T17" s="986">
        <f>W17-L17</f>
        <v>0</v>
      </c>
      <c r="U17" s="699"/>
      <c r="V17" s="700"/>
      <c r="W17" s="699"/>
      <c r="X17" s="987">
        <v>0</v>
      </c>
      <c r="Y17" s="987"/>
      <c r="Z17" s="987">
        <v>0</v>
      </c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/>
      <c r="H18" s="699"/>
      <c r="I18" s="699"/>
      <c r="J18" s="699"/>
      <c r="K18" s="699"/>
      <c r="L18" s="699">
        <f>+I18-J18+K18</f>
        <v>0</v>
      </c>
      <c r="M18" s="699"/>
      <c r="N18" s="699"/>
      <c r="O18" s="699"/>
      <c r="P18" s="699">
        <f>O18*U18</f>
        <v>0</v>
      </c>
      <c r="Q18" s="699"/>
      <c r="R18" s="706"/>
      <c r="S18" s="706"/>
      <c r="T18" s="986">
        <f>W18-L18</f>
        <v>0</v>
      </c>
      <c r="U18" s="699"/>
      <c r="V18" s="700"/>
      <c r="W18" s="699"/>
      <c r="X18" s="987">
        <v>0</v>
      </c>
      <c r="Y18" s="987"/>
      <c r="Z18" s="987">
        <v>0</v>
      </c>
      <c r="AA18" s="987"/>
      <c r="AB18" s="10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0">D19*E19</f>
        <v>132000</v>
      </c>
      <c r="D19" s="699">
        <f>110000*1.2</f>
        <v>132000</v>
      </c>
      <c r="E19" s="700">
        <v>1</v>
      </c>
      <c r="F19" s="699">
        <f t="shared" ref="F19:F48" si="1">D19*E19</f>
        <v>132000</v>
      </c>
      <c r="G19" s="702">
        <v>30000</v>
      </c>
      <c r="H19" s="702" t="s">
        <v>104</v>
      </c>
      <c r="I19" s="699">
        <f>U19</f>
        <v>132000</v>
      </c>
      <c r="J19" s="702"/>
      <c r="K19" s="702"/>
      <c r="L19" s="699">
        <f>+I19-J19+K19</f>
        <v>132000</v>
      </c>
      <c r="M19" s="702"/>
      <c r="N19" s="702">
        <f>G19</f>
        <v>30000</v>
      </c>
      <c r="O19" s="702">
        <v>1</v>
      </c>
      <c r="P19" s="699">
        <f>O19*U19</f>
        <v>132000</v>
      </c>
      <c r="Q19" s="711"/>
      <c r="R19" s="699">
        <f>29400+73200</f>
        <v>102600</v>
      </c>
      <c r="S19" s="702"/>
      <c r="T19" s="986">
        <f>W19-L19</f>
        <v>0</v>
      </c>
      <c r="U19" s="699">
        <f>110000*1.2</f>
        <v>132000</v>
      </c>
      <c r="V19" s="700">
        <v>1</v>
      </c>
      <c r="W19" s="699">
        <f t="shared" ref="W19:W44" si="2">U19*V19</f>
        <v>132000</v>
      </c>
      <c r="X19" s="702">
        <v>132000</v>
      </c>
      <c r="Y19" s="702">
        <v>30000</v>
      </c>
      <c r="Z19" s="702">
        <v>132000</v>
      </c>
      <c r="AA19" s="702"/>
      <c r="AB19" s="703">
        <v>132000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0"/>
        <v>60000</v>
      </c>
      <c r="D20" s="699">
        <f>50000*1.2</f>
        <v>60000</v>
      </c>
      <c r="E20" s="700">
        <v>1</v>
      </c>
      <c r="F20" s="699">
        <f t="shared" si="1"/>
        <v>60000</v>
      </c>
      <c r="G20" s="702"/>
      <c r="H20" s="702"/>
      <c r="I20" s="699">
        <f>U20</f>
        <v>60000</v>
      </c>
      <c r="J20" s="702"/>
      <c r="K20" s="702"/>
      <c r="L20" s="699">
        <f>+I20-J20+K20</f>
        <v>60000</v>
      </c>
      <c r="M20" s="702"/>
      <c r="N20" s="702"/>
      <c r="O20" s="702"/>
      <c r="P20" s="699"/>
      <c r="Q20" s="711"/>
      <c r="R20" s="702"/>
      <c r="S20" s="702"/>
      <c r="T20" s="1504">
        <f>W20-L20</f>
        <v>0</v>
      </c>
      <c r="U20" s="699">
        <f>50000*1.2</f>
        <v>60000</v>
      </c>
      <c r="V20" s="700">
        <v>1</v>
      </c>
      <c r="W20" s="699">
        <f t="shared" si="2"/>
        <v>60000</v>
      </c>
      <c r="X20" s="702">
        <v>48000</v>
      </c>
      <c r="Y20" s="702"/>
      <c r="Z20" s="702"/>
      <c r="AA20" s="702"/>
      <c r="AB20" s="703">
        <v>60000</v>
      </c>
      <c r="AC20" s="686"/>
      <c r="AD20" s="686"/>
      <c r="AE20" s="686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2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2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2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2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2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2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2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2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2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2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2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/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>U46*V46</f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>U47*V47</f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>U48*V48</f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294000</v>
      </c>
      <c r="D49" s="990"/>
      <c r="E49" s="990"/>
      <c r="F49" s="990">
        <f>SUM(F15:F48)</f>
        <v>294000</v>
      </c>
      <c r="G49" s="990">
        <f>SUM(G16:G48)</f>
        <v>30000</v>
      </c>
      <c r="H49" s="990">
        <f>SUM(H16:H48)</f>
        <v>0</v>
      </c>
      <c r="I49" s="990">
        <f>SUM(I17:I48)</f>
        <v>192000</v>
      </c>
      <c r="J49" s="990">
        <f>SUM(J16:J48)</f>
        <v>0</v>
      </c>
      <c r="K49" s="990">
        <f>SUM(K16:K48)</f>
        <v>0</v>
      </c>
      <c r="L49" s="990">
        <f>SUM(L16:L48)</f>
        <v>294000</v>
      </c>
      <c r="M49" s="990">
        <f>SUM(M16:M48)</f>
        <v>0</v>
      </c>
      <c r="N49" s="990">
        <f>SUM(N16:N48)</f>
        <v>30000</v>
      </c>
      <c r="O49" s="990"/>
      <c r="P49" s="990">
        <f>SUM(P16:P48)</f>
        <v>234000</v>
      </c>
      <c r="Q49" s="990">
        <f>SUM(Q16:Q48)</f>
        <v>0</v>
      </c>
      <c r="R49" s="990">
        <f>SUM(R16:R48)</f>
        <v>204600</v>
      </c>
      <c r="S49" s="990">
        <f>SUM(S16:S48)</f>
        <v>0</v>
      </c>
      <c r="T49" s="991">
        <f>W49-L49</f>
        <v>0</v>
      </c>
      <c r="U49" s="990"/>
      <c r="V49" s="990"/>
      <c r="W49" s="990">
        <f>SUM(W14:W48)</f>
        <v>294000</v>
      </c>
      <c r="X49" s="990">
        <f>SUM(X16:X48)</f>
        <v>282000</v>
      </c>
      <c r="Y49" s="990">
        <f>SUM(Y16:Y48)</f>
        <v>30000</v>
      </c>
      <c r="Z49" s="990">
        <f>SUM(Z16:Z48)</f>
        <v>234000</v>
      </c>
      <c r="AA49" s="990">
        <f>SUM(AA16:AA48)</f>
        <v>0</v>
      </c>
      <c r="AB49" s="990">
        <f>SUM(AB16:AB48)</f>
        <v>294000</v>
      </c>
      <c r="AC49" s="686"/>
      <c r="AD49" s="686"/>
      <c r="AE49" s="686"/>
    </row>
    <row r="50" spans="1:31">
      <c r="A50" s="692"/>
      <c r="B50" s="690"/>
      <c r="F50" s="689"/>
      <c r="G50" s="689"/>
      <c r="H50" s="689"/>
      <c r="I50" s="689"/>
      <c r="J50" s="689"/>
      <c r="K50" s="689"/>
      <c r="L50" s="689"/>
      <c r="M50" s="689"/>
      <c r="N50" s="689"/>
      <c r="P50" s="689"/>
      <c r="Q50" s="688"/>
      <c r="R50" s="688"/>
      <c r="W50" s="689"/>
      <c r="AC50" s="686"/>
      <c r="AD50" s="686"/>
      <c r="AE50" s="686"/>
    </row>
    <row r="51" spans="1:31">
      <c r="A51" s="691"/>
      <c r="B51" s="690"/>
      <c r="F51" s="689"/>
      <c r="G51" s="689"/>
      <c r="H51" s="689"/>
      <c r="I51" s="689"/>
      <c r="J51" s="689"/>
      <c r="K51" s="689"/>
      <c r="L51" s="689"/>
      <c r="M51" s="689"/>
      <c r="N51" s="689"/>
      <c r="P51" s="689"/>
      <c r="Q51" s="688"/>
      <c r="R51" s="688"/>
      <c r="W51" s="689"/>
      <c r="AC51" s="686"/>
      <c r="AD51" s="686"/>
      <c r="AE51" s="686"/>
    </row>
    <row r="52" spans="1:31">
      <c r="F52" s="689"/>
      <c r="R52" s="688"/>
      <c r="W52" s="689"/>
      <c r="AC52" s="686"/>
      <c r="AD52" s="686"/>
      <c r="AE52" s="686"/>
    </row>
    <row r="53" spans="1:31">
      <c r="F53" s="689"/>
      <c r="Q53" s="688"/>
      <c r="R53" s="688"/>
      <c r="W53" s="689"/>
      <c r="AC53" s="686"/>
      <c r="AD53" s="686"/>
      <c r="AE53" s="686"/>
    </row>
    <row r="54" spans="1:31"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40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7"/>
  <dimension ref="A1:AE55"/>
  <sheetViews>
    <sheetView showGridLines="0" showZeros="0" topLeftCell="K1" zoomScaleNormal="100" workbookViewId="0">
      <selection activeCell="Z16" sqref="Z16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509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102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201100884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508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972"/>
      <c r="B14" s="728"/>
      <c r="C14" s="706"/>
      <c r="D14" s="973"/>
      <c r="E14" s="972"/>
      <c r="F14" s="699"/>
      <c r="G14" s="699"/>
      <c r="H14" s="699"/>
      <c r="I14" s="699"/>
      <c r="J14" s="699"/>
      <c r="K14" s="699"/>
      <c r="L14" s="699"/>
      <c r="M14" s="699"/>
      <c r="N14" s="699"/>
      <c r="O14" s="706"/>
      <c r="P14" s="699"/>
      <c r="Q14" s="706"/>
      <c r="R14" s="706"/>
      <c r="S14" s="974"/>
      <c r="T14" s="975"/>
      <c r="U14" s="706"/>
      <c r="V14" s="972"/>
      <c r="W14" s="699"/>
      <c r="X14" s="975"/>
      <c r="Y14" s="975"/>
      <c r="Z14" s="975"/>
      <c r="AA14" s="975"/>
      <c r="AB14" s="975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210000</v>
      </c>
      <c r="D16" s="699">
        <f>175000*1.2</f>
        <v>210000</v>
      </c>
      <c r="E16" s="700">
        <v>1</v>
      </c>
      <c r="F16" s="699">
        <f>D16*E16</f>
        <v>210000</v>
      </c>
      <c r="G16" s="699">
        <v>7200</v>
      </c>
      <c r="H16" s="699" t="s">
        <v>104</v>
      </c>
      <c r="I16" s="988">
        <f>W16</f>
        <v>210000</v>
      </c>
      <c r="J16" s="699"/>
      <c r="K16" s="699">
        <v>0</v>
      </c>
      <c r="L16" s="699">
        <f>+I16-J16+K16</f>
        <v>210000</v>
      </c>
      <c r="M16" s="699"/>
      <c r="N16" s="699">
        <f>G16</f>
        <v>7200</v>
      </c>
      <c r="O16" s="2343"/>
      <c r="P16" s="2343">
        <v>210000</v>
      </c>
      <c r="Q16" s="2343"/>
      <c r="R16" s="2344">
        <v>211595.07</v>
      </c>
      <c r="S16" s="706"/>
      <c r="T16" s="986">
        <f>W16-L16</f>
        <v>0</v>
      </c>
      <c r="U16" s="699">
        <f>175000*1.2</f>
        <v>210000</v>
      </c>
      <c r="V16" s="700">
        <v>1</v>
      </c>
      <c r="W16" s="699">
        <f>U16*V16</f>
        <v>210000</v>
      </c>
      <c r="X16" s="1504">
        <v>210000</v>
      </c>
      <c r="Y16" s="986">
        <v>7200</v>
      </c>
      <c r="Z16" s="986">
        <v>210000</v>
      </c>
      <c r="AA16" s="986"/>
      <c r="AB16" s="703">
        <v>210000</v>
      </c>
    </row>
    <row r="17" spans="1:31" hidden="1">
      <c r="A17" s="976"/>
      <c r="B17" s="720"/>
      <c r="C17" s="699"/>
      <c r="D17" s="699"/>
      <c r="E17" s="700"/>
      <c r="F17" s="699"/>
      <c r="G17" s="699"/>
      <c r="H17" s="699"/>
      <c r="I17" s="988">
        <f t="shared" ref="I17:I18" si="0">W17</f>
        <v>0</v>
      </c>
      <c r="J17" s="699"/>
      <c r="K17" s="699"/>
      <c r="L17" s="699">
        <f>+I17-J17+K17</f>
        <v>0</v>
      </c>
      <c r="M17" s="699"/>
      <c r="N17" s="699"/>
      <c r="O17" s="699"/>
      <c r="P17" s="699"/>
      <c r="Q17" s="699"/>
      <c r="R17" s="706"/>
      <c r="S17" s="706"/>
      <c r="T17" s="986">
        <f>W17-L17</f>
        <v>0</v>
      </c>
      <c r="U17" s="699"/>
      <c r="V17" s="700"/>
      <c r="W17" s="699"/>
      <c r="X17" s="1504">
        <v>0</v>
      </c>
      <c r="Y17" s="987"/>
      <c r="Z17" s="987"/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/>
      <c r="H18" s="699"/>
      <c r="I18" s="988">
        <f t="shared" si="0"/>
        <v>0</v>
      </c>
      <c r="J18" s="699"/>
      <c r="K18" s="699"/>
      <c r="L18" s="699">
        <f>+I18-J18+K18</f>
        <v>0</v>
      </c>
      <c r="M18" s="699"/>
      <c r="N18" s="699"/>
      <c r="O18" s="699"/>
      <c r="P18" s="699"/>
      <c r="Q18" s="699"/>
      <c r="R18" s="706"/>
      <c r="S18" s="706"/>
      <c r="T18" s="986">
        <f>W18-L18</f>
        <v>0</v>
      </c>
      <c r="U18" s="699"/>
      <c r="V18" s="700"/>
      <c r="W18" s="699"/>
      <c r="X18" s="1504">
        <v>0</v>
      </c>
      <c r="Y18" s="987"/>
      <c r="Z18" s="987"/>
      <c r="AA18" s="987"/>
      <c r="AB18" s="10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1">D19*E19</f>
        <v>252000</v>
      </c>
      <c r="D19" s="699">
        <f>210000*1.2</f>
        <v>252000</v>
      </c>
      <c r="E19" s="700">
        <v>1</v>
      </c>
      <c r="F19" s="699">
        <f t="shared" ref="F19:F48" si="2">D19*E19</f>
        <v>252000</v>
      </c>
      <c r="G19" s="702"/>
      <c r="H19" s="702"/>
      <c r="I19" s="988">
        <f>W19*0.5</f>
        <v>126000</v>
      </c>
      <c r="J19" s="702"/>
      <c r="K19" s="702"/>
      <c r="L19" s="699">
        <f>+I19-J19+K19</f>
        <v>126000</v>
      </c>
      <c r="M19" s="702"/>
      <c r="N19" s="2370">
        <v>60720</v>
      </c>
      <c r="O19" s="702"/>
      <c r="P19" s="717"/>
      <c r="Q19" s="711"/>
      <c r="R19" s="699"/>
      <c r="S19" s="702"/>
      <c r="T19" s="1504">
        <f>W19-L19</f>
        <v>126000</v>
      </c>
      <c r="U19" s="699">
        <f>210000*1.2</f>
        <v>252000</v>
      </c>
      <c r="V19" s="700">
        <v>1</v>
      </c>
      <c r="W19" s="699">
        <f t="shared" ref="W19:W48" si="3">U19*V19</f>
        <v>252000</v>
      </c>
      <c r="X19" s="1507">
        <v>50400</v>
      </c>
      <c r="Y19" s="702"/>
      <c r="Z19" s="702"/>
      <c r="AA19" s="702"/>
      <c r="AB19" s="703">
        <v>252000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1"/>
        <v>90000</v>
      </c>
      <c r="D20" s="699">
        <f>75000*1.2</f>
        <v>90000</v>
      </c>
      <c r="E20" s="700">
        <v>1</v>
      </c>
      <c r="F20" s="699">
        <f t="shared" si="2"/>
        <v>90000</v>
      </c>
      <c r="G20" s="702"/>
      <c r="H20" s="702"/>
      <c r="I20" s="702"/>
      <c r="J20" s="702"/>
      <c r="K20" s="702"/>
      <c r="L20" s="699">
        <f>+I20-J20+K20</f>
        <v>0</v>
      </c>
      <c r="M20" s="702"/>
      <c r="N20" s="702"/>
      <c r="O20" s="702"/>
      <c r="P20" s="699"/>
      <c r="Q20" s="711"/>
      <c r="R20" s="702"/>
      <c r="S20" s="702"/>
      <c r="T20" s="1504">
        <f>W20-L20</f>
        <v>90000</v>
      </c>
      <c r="U20" s="699">
        <f>75000*1.2</f>
        <v>90000</v>
      </c>
      <c r="V20" s="700">
        <v>1</v>
      </c>
      <c r="W20" s="699">
        <f t="shared" si="3"/>
        <v>90000</v>
      </c>
      <c r="X20" s="702"/>
      <c r="Y20" s="702"/>
      <c r="Z20" s="702"/>
      <c r="AA20" s="702"/>
      <c r="AB20" s="703">
        <v>90000</v>
      </c>
      <c r="AC20" s="686"/>
      <c r="AD20" s="686"/>
      <c r="AE20" s="686"/>
    </row>
    <row r="21" spans="1:31">
      <c r="A21" s="705"/>
      <c r="B21" s="715"/>
      <c r="C21" s="699">
        <f t="shared" si="1"/>
        <v>0</v>
      </c>
      <c r="D21" s="703"/>
      <c r="E21" s="700"/>
      <c r="F21" s="699">
        <f t="shared" si="2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3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1"/>
        <v>0</v>
      </c>
      <c r="D22" s="703"/>
      <c r="E22" s="700"/>
      <c r="F22" s="699">
        <f t="shared" si="2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3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1"/>
        <v>0</v>
      </c>
      <c r="D23" s="703"/>
      <c r="E23" s="705"/>
      <c r="F23" s="699">
        <f t="shared" si="2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3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1"/>
        <v>0</v>
      </c>
      <c r="D24" s="703"/>
      <c r="E24" s="700"/>
      <c r="F24" s="699">
        <f t="shared" si="2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3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1"/>
        <v>0</v>
      </c>
      <c r="D25" s="703"/>
      <c r="E25" s="700"/>
      <c r="F25" s="699">
        <f t="shared" si="2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3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1"/>
        <v>0</v>
      </c>
      <c r="D26" s="703"/>
      <c r="E26" s="700"/>
      <c r="F26" s="699">
        <f t="shared" si="2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3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1"/>
        <v>0</v>
      </c>
      <c r="D27" s="703"/>
      <c r="E27" s="700"/>
      <c r="F27" s="699">
        <f t="shared" si="2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3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1"/>
        <v>0</v>
      </c>
      <c r="D28" s="703"/>
      <c r="E28" s="700"/>
      <c r="F28" s="699">
        <f t="shared" si="2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3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1"/>
        <v>0</v>
      </c>
      <c r="D29" s="703"/>
      <c r="E29" s="700"/>
      <c r="F29" s="699">
        <f t="shared" si="2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3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1"/>
        <v>0</v>
      </c>
      <c r="D30" s="703"/>
      <c r="E30" s="700"/>
      <c r="F30" s="699">
        <f t="shared" si="2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3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1"/>
        <v>0</v>
      </c>
      <c r="D31" s="703"/>
      <c r="E31" s="700"/>
      <c r="F31" s="699">
        <f t="shared" si="2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3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1"/>
        <v>0</v>
      </c>
      <c r="D32" s="703"/>
      <c r="E32" s="700"/>
      <c r="F32" s="699">
        <f t="shared" si="2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3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1"/>
        <v>0</v>
      </c>
      <c r="D33" s="703"/>
      <c r="E33" s="700"/>
      <c r="F33" s="699">
        <f t="shared" si="2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3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1"/>
        <v>0</v>
      </c>
      <c r="D34" s="703"/>
      <c r="E34" s="700"/>
      <c r="F34" s="699">
        <f t="shared" si="2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3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1"/>
        <v>0</v>
      </c>
      <c r="D35" s="703"/>
      <c r="E35" s="700"/>
      <c r="F35" s="699">
        <f t="shared" si="2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3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1"/>
        <v>0</v>
      </c>
      <c r="D36" s="703"/>
      <c r="E36" s="700"/>
      <c r="F36" s="699">
        <f t="shared" si="2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3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1"/>
        <v>0</v>
      </c>
      <c r="D37" s="703"/>
      <c r="E37" s="700"/>
      <c r="F37" s="699">
        <f t="shared" si="2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3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1"/>
        <v>0</v>
      </c>
      <c r="D38" s="703"/>
      <c r="E38" s="700"/>
      <c r="F38" s="699">
        <f t="shared" si="2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3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1"/>
        <v>0</v>
      </c>
      <c r="D39" s="703"/>
      <c r="E39" s="700"/>
      <c r="F39" s="699">
        <f t="shared" si="2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3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1"/>
        <v>0</v>
      </c>
      <c r="D40" s="703"/>
      <c r="E40" s="700"/>
      <c r="F40" s="699">
        <f t="shared" si="2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3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1"/>
        <v>0</v>
      </c>
      <c r="D41" s="703"/>
      <c r="E41" s="700"/>
      <c r="F41" s="699">
        <f t="shared" si="2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3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1"/>
        <v>0</v>
      </c>
      <c r="D42" s="703"/>
      <c r="E42" s="705"/>
      <c r="F42" s="699">
        <f t="shared" si="2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3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1"/>
        <v>0</v>
      </c>
      <c r="D43" s="703"/>
      <c r="E43" s="705"/>
      <c r="F43" s="699">
        <f t="shared" si="2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3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1"/>
        <v>0</v>
      </c>
      <c r="D44" s="703"/>
      <c r="E44" s="705"/>
      <c r="F44" s="699">
        <f t="shared" si="2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3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1"/>
        <v>0</v>
      </c>
      <c r="D45" s="703"/>
      <c r="E45" s="705"/>
      <c r="F45" s="699">
        <f t="shared" si="2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3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1"/>
        <v>0</v>
      </c>
      <c r="D46" s="703"/>
      <c r="E46" s="705"/>
      <c r="F46" s="699">
        <f t="shared" si="2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3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1"/>
        <v>0</v>
      </c>
      <c r="D47" s="703"/>
      <c r="E47" s="705"/>
      <c r="F47" s="699">
        <f t="shared" si="2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3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1"/>
        <v>0</v>
      </c>
      <c r="D48" s="703"/>
      <c r="E48" s="700"/>
      <c r="F48" s="699">
        <f t="shared" si="2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3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552000</v>
      </c>
      <c r="D49" s="990"/>
      <c r="E49" s="990"/>
      <c r="F49" s="990">
        <f>SUM(F15:F48)</f>
        <v>552000</v>
      </c>
      <c r="G49" s="990">
        <f>SUM(G16:G48)</f>
        <v>7200</v>
      </c>
      <c r="H49" s="990">
        <f>SUM(H16:H48)</f>
        <v>0</v>
      </c>
      <c r="I49" s="990">
        <f>SUM(I17:I48)</f>
        <v>126000</v>
      </c>
      <c r="J49" s="990">
        <f>SUM(J16:J48)</f>
        <v>0</v>
      </c>
      <c r="K49" s="990">
        <f>SUM(K16:K48)</f>
        <v>0</v>
      </c>
      <c r="L49" s="990">
        <f>SUM(L16:L48)</f>
        <v>336000</v>
      </c>
      <c r="M49" s="990">
        <f>SUM(M16:M48)</f>
        <v>0</v>
      </c>
      <c r="N49" s="990">
        <f>SUM(N16:N48)</f>
        <v>67920</v>
      </c>
      <c r="O49" s="990"/>
      <c r="P49" s="990">
        <f>SUM(P16:P48)</f>
        <v>210000</v>
      </c>
      <c r="Q49" s="990"/>
      <c r="R49" s="990">
        <f>SUM(R19:R19)</f>
        <v>0</v>
      </c>
      <c r="S49" s="990">
        <f>SUM(S16:S48)</f>
        <v>0</v>
      </c>
      <c r="T49" s="991">
        <f>W49-L49</f>
        <v>216000</v>
      </c>
      <c r="U49" s="990"/>
      <c r="V49" s="990"/>
      <c r="W49" s="990">
        <f>SUM(W14:W48)</f>
        <v>552000</v>
      </c>
      <c r="X49" s="990">
        <f>SUM(X16:X48)</f>
        <v>260400</v>
      </c>
      <c r="Y49" s="990">
        <f>SUM(Y16:Y48)</f>
        <v>7200</v>
      </c>
      <c r="Z49" s="990">
        <f>SUM(Z16:Z48)</f>
        <v>210000</v>
      </c>
      <c r="AA49" s="990">
        <f>SUM(AA16:AA48)</f>
        <v>0</v>
      </c>
      <c r="AB49" s="990">
        <f>SUM(AB16:AB48)</f>
        <v>552000</v>
      </c>
      <c r="AC49" s="686"/>
      <c r="AD49" s="686"/>
      <c r="AE49" s="686"/>
    </row>
    <row r="50" spans="1:31">
      <c r="A50" s="692"/>
      <c r="B50" s="690"/>
      <c r="F50" s="689"/>
      <c r="G50" s="689"/>
      <c r="H50" s="689"/>
      <c r="I50" s="689"/>
      <c r="J50" s="689"/>
      <c r="K50" s="689"/>
      <c r="L50" s="689"/>
      <c r="M50" s="689"/>
      <c r="N50" s="689"/>
      <c r="P50" s="689"/>
      <c r="Q50" s="688"/>
      <c r="R50" s="688"/>
      <c r="W50" s="689"/>
      <c r="AC50" s="686"/>
      <c r="AD50" s="686"/>
      <c r="AE50" s="686"/>
    </row>
    <row r="51" spans="1:31">
      <c r="A51" s="691"/>
      <c r="B51" s="690"/>
      <c r="F51" s="689"/>
      <c r="G51" s="689"/>
      <c r="H51" s="689"/>
      <c r="I51" s="689"/>
      <c r="J51" s="689"/>
      <c r="K51" s="689"/>
      <c r="L51" s="689"/>
      <c r="M51" s="689"/>
      <c r="N51" s="689"/>
      <c r="P51" s="689"/>
      <c r="Q51" s="688"/>
      <c r="R51" s="688"/>
      <c r="W51" s="689"/>
      <c r="AC51" s="686"/>
      <c r="AD51" s="686"/>
      <c r="AE51" s="686"/>
    </row>
    <row r="52" spans="1:31">
      <c r="F52" s="689"/>
      <c r="R52" s="688"/>
      <c r="W52" s="689"/>
      <c r="AC52" s="686"/>
      <c r="AD52" s="686"/>
      <c r="AE52" s="686"/>
    </row>
    <row r="53" spans="1:31">
      <c r="F53" s="689"/>
      <c r="R53" s="688"/>
      <c r="W53" s="689"/>
      <c r="AC53" s="686"/>
      <c r="AD53" s="686"/>
      <c r="AE53" s="686"/>
    </row>
    <row r="54" spans="1:31"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9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1"/>
  <dimension ref="A1:AE55"/>
  <sheetViews>
    <sheetView showGridLines="0" showZeros="0" topLeftCell="K1" zoomScaleNormal="100" workbookViewId="0">
      <selection activeCell="E81" sqref="E81:P81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511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102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201100883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510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10.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735"/>
      <c r="V9" s="734"/>
      <c r="W9" s="733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723"/>
      <c r="B14" s="728"/>
      <c r="C14" s="724"/>
      <c r="D14" s="727"/>
      <c r="E14" s="723"/>
      <c r="F14" s="726"/>
      <c r="G14" s="726"/>
      <c r="H14" s="726"/>
      <c r="I14" s="726"/>
      <c r="J14" s="726"/>
      <c r="K14" s="726"/>
      <c r="L14" s="726"/>
      <c r="M14" s="726"/>
      <c r="N14" s="726"/>
      <c r="O14" s="724"/>
      <c r="P14" s="726"/>
      <c r="Q14" s="724"/>
      <c r="R14" s="724"/>
      <c r="S14" s="725"/>
      <c r="T14" s="722"/>
      <c r="U14" s="724"/>
      <c r="V14" s="723"/>
      <c r="W14" s="726"/>
      <c r="X14" s="722"/>
      <c r="Y14" s="722"/>
      <c r="Z14" s="722"/>
      <c r="AA14" s="722"/>
      <c r="AB14" s="722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42" customHeight="1">
      <c r="A16" s="700">
        <v>1</v>
      </c>
      <c r="B16" s="718" t="s">
        <v>100</v>
      </c>
      <c r="C16" s="699">
        <f>D16*E16</f>
        <v>72000</v>
      </c>
      <c r="D16" s="699">
        <f>60000*1.2</f>
        <v>72000</v>
      </c>
      <c r="E16" s="700">
        <v>1</v>
      </c>
      <c r="F16" s="699">
        <f>D16*E16</f>
        <v>72000</v>
      </c>
      <c r="G16" s="699"/>
      <c r="H16" s="699"/>
      <c r="I16" s="699">
        <f>W16</f>
        <v>72000</v>
      </c>
      <c r="J16" s="699"/>
      <c r="K16" s="699"/>
      <c r="L16" s="699">
        <f>+I16-J16+K16</f>
        <v>72000</v>
      </c>
      <c r="M16" s="699"/>
      <c r="N16" s="699">
        <f>G16</f>
        <v>0</v>
      </c>
      <c r="O16" s="699"/>
      <c r="P16" s="699"/>
      <c r="Q16" s="699"/>
      <c r="R16" s="706"/>
      <c r="S16" s="706"/>
      <c r="T16" s="986">
        <f>W16-L16</f>
        <v>0</v>
      </c>
      <c r="U16" s="699">
        <f>60000*1.2</f>
        <v>72000</v>
      </c>
      <c r="V16" s="700">
        <v>1</v>
      </c>
      <c r="W16" s="699">
        <f>U16*V16</f>
        <v>72000</v>
      </c>
      <c r="X16" s="986">
        <v>50400</v>
      </c>
      <c r="Y16" s="986"/>
      <c r="Z16" s="986"/>
      <c r="AA16" s="986"/>
      <c r="AB16" s="703">
        <v>72000</v>
      </c>
    </row>
    <row r="17" spans="1:31" hidden="1">
      <c r="A17" s="976"/>
      <c r="B17" s="720"/>
      <c r="C17" s="699"/>
      <c r="D17" s="699"/>
      <c r="E17" s="700"/>
      <c r="F17" s="699"/>
      <c r="G17" s="699"/>
      <c r="H17" s="699"/>
      <c r="I17" s="699"/>
      <c r="J17" s="699"/>
      <c r="K17" s="699"/>
      <c r="L17" s="699">
        <f>+I17-J17+K17</f>
        <v>0</v>
      </c>
      <c r="M17" s="699"/>
      <c r="N17" s="699"/>
      <c r="O17" s="699"/>
      <c r="P17" s="699"/>
      <c r="Q17" s="699"/>
      <c r="R17" s="706"/>
      <c r="S17" s="706"/>
      <c r="T17" s="986">
        <f>W17-L17</f>
        <v>0</v>
      </c>
      <c r="U17" s="699"/>
      <c r="V17" s="700"/>
      <c r="W17" s="699"/>
      <c r="X17" s="987"/>
      <c r="Y17" s="987"/>
      <c r="Z17" s="987"/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/>
      <c r="H18" s="699"/>
      <c r="I18" s="699"/>
      <c r="J18" s="699"/>
      <c r="K18" s="699"/>
      <c r="L18" s="699">
        <f>+I18-J18+K18</f>
        <v>0</v>
      </c>
      <c r="M18" s="699"/>
      <c r="N18" s="699"/>
      <c r="O18" s="699"/>
      <c r="P18" s="699"/>
      <c r="Q18" s="699"/>
      <c r="R18" s="706"/>
      <c r="S18" s="706"/>
      <c r="T18" s="986">
        <f>W18-L18</f>
        <v>0</v>
      </c>
      <c r="U18" s="699"/>
      <c r="V18" s="700"/>
      <c r="W18" s="699"/>
      <c r="X18" s="987"/>
      <c r="Y18" s="987"/>
      <c r="Z18" s="987"/>
      <c r="AA18" s="987"/>
      <c r="AB18" s="1010"/>
      <c r="AC18" s="686"/>
      <c r="AD18" s="686"/>
      <c r="AE18" s="686"/>
    </row>
    <row r="19" spans="1:31" ht="36" customHeight="1">
      <c r="A19" s="978">
        <v>2</v>
      </c>
      <c r="B19" s="718" t="s">
        <v>101</v>
      </c>
      <c r="C19" s="699">
        <f t="shared" ref="C19:C48" si="0">D19*E19</f>
        <v>84000</v>
      </c>
      <c r="D19" s="699">
        <f>70000*1.2</f>
        <v>84000</v>
      </c>
      <c r="E19" s="700">
        <v>1</v>
      </c>
      <c r="F19" s="699">
        <f t="shared" ref="F19:F48" si="1">D19*E19</f>
        <v>84000</v>
      </c>
      <c r="G19" s="702"/>
      <c r="H19" s="702"/>
      <c r="I19" s="699"/>
      <c r="J19" s="702"/>
      <c r="K19" s="702"/>
      <c r="L19" s="699">
        <f>+I19-J19+K19</f>
        <v>0</v>
      </c>
      <c r="M19" s="702"/>
      <c r="N19" s="702">
        <f>500/1300*G19</f>
        <v>0</v>
      </c>
      <c r="O19" s="702"/>
      <c r="P19" s="717"/>
      <c r="Q19" s="711"/>
      <c r="R19" s="699"/>
      <c r="S19" s="702"/>
      <c r="T19" s="1504">
        <f>W19-L19</f>
        <v>84000</v>
      </c>
      <c r="U19" s="699">
        <f>70000*1.2</f>
        <v>84000</v>
      </c>
      <c r="V19" s="700">
        <v>1</v>
      </c>
      <c r="W19" s="699">
        <f t="shared" ref="W19:W48" si="2">U19*V19</f>
        <v>84000</v>
      </c>
      <c r="X19" s="702"/>
      <c r="Y19" s="702"/>
      <c r="Z19" s="702"/>
      <c r="AA19" s="702"/>
      <c r="AB19" s="703">
        <v>84000</v>
      </c>
      <c r="AC19" s="686"/>
      <c r="AD19" s="686"/>
      <c r="AE19" s="686"/>
    </row>
    <row r="20" spans="1:31" ht="26.25" customHeight="1">
      <c r="A20" s="705">
        <v>3</v>
      </c>
      <c r="B20" s="715" t="s">
        <v>90</v>
      </c>
      <c r="C20" s="699">
        <f t="shared" si="0"/>
        <v>48000</v>
      </c>
      <c r="D20" s="699">
        <f>40000*1.2</f>
        <v>48000</v>
      </c>
      <c r="E20" s="700">
        <v>1</v>
      </c>
      <c r="F20" s="699">
        <f t="shared" si="1"/>
        <v>48000</v>
      </c>
      <c r="G20" s="702"/>
      <c r="H20" s="702"/>
      <c r="I20" s="702"/>
      <c r="J20" s="702"/>
      <c r="K20" s="702"/>
      <c r="L20" s="699">
        <f>+I20-J20+K20</f>
        <v>0</v>
      </c>
      <c r="M20" s="702"/>
      <c r="N20" s="702"/>
      <c r="O20" s="702"/>
      <c r="P20" s="699"/>
      <c r="Q20" s="711"/>
      <c r="R20" s="702"/>
      <c r="S20" s="702"/>
      <c r="T20" s="1504">
        <f>W20-L20</f>
        <v>48000</v>
      </c>
      <c r="U20" s="699">
        <f>40000*1.2</f>
        <v>48000</v>
      </c>
      <c r="V20" s="700">
        <v>1</v>
      </c>
      <c r="W20" s="699">
        <f t="shared" si="2"/>
        <v>48000</v>
      </c>
      <c r="X20" s="702"/>
      <c r="Y20" s="702"/>
      <c r="Z20" s="702"/>
      <c r="AA20" s="702"/>
      <c r="AB20" s="703">
        <v>48000</v>
      </c>
      <c r="AC20" s="686"/>
      <c r="AD20" s="686"/>
      <c r="AE20" s="686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2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2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2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2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2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2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2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2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2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2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2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2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2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2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2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204000</v>
      </c>
      <c r="D49" s="990"/>
      <c r="E49" s="990"/>
      <c r="F49" s="990">
        <f>SUM(F15:F48)</f>
        <v>204000</v>
      </c>
      <c r="G49" s="990">
        <f>SUM(G16:G48)</f>
        <v>0</v>
      </c>
      <c r="H49" s="990">
        <f>SUM(H16:H48)</f>
        <v>0</v>
      </c>
      <c r="I49" s="990">
        <f>SUM(I17:I48)</f>
        <v>0</v>
      </c>
      <c r="J49" s="990">
        <f>SUM(J16:J48)</f>
        <v>0</v>
      </c>
      <c r="K49" s="990">
        <f>SUM(K16:K48)</f>
        <v>0</v>
      </c>
      <c r="L49" s="990">
        <f>SUM(L16:L48)</f>
        <v>72000</v>
      </c>
      <c r="M49" s="990">
        <f>SUM(M16:M48)</f>
        <v>0</v>
      </c>
      <c r="N49" s="990">
        <f>SUM(N16:N48)</f>
        <v>0</v>
      </c>
      <c r="O49" s="990"/>
      <c r="P49" s="990"/>
      <c r="Q49" s="990"/>
      <c r="R49" s="990">
        <f>SUM(R19:R19)</f>
        <v>0</v>
      </c>
      <c r="S49" s="990">
        <f>SUM(S16:S48)</f>
        <v>0</v>
      </c>
      <c r="T49" s="991">
        <f>W49-L49</f>
        <v>132000</v>
      </c>
      <c r="U49" s="990"/>
      <c r="V49" s="990"/>
      <c r="W49" s="990">
        <f>SUM(W14:W48)</f>
        <v>204000</v>
      </c>
      <c r="X49" s="990">
        <f>SUM(X16:X48)</f>
        <v>50400</v>
      </c>
      <c r="Y49" s="990">
        <f>SUM(Y16:Y48)</f>
        <v>0</v>
      </c>
      <c r="Z49" s="990">
        <f>SUM(Z16:Z48)</f>
        <v>0</v>
      </c>
      <c r="AA49" s="990">
        <f>SUM(AA16:AA48)</f>
        <v>0</v>
      </c>
      <c r="AB49" s="990">
        <f>SUM(AB16:AB48)</f>
        <v>204000</v>
      </c>
      <c r="AC49" s="686"/>
      <c r="AD49" s="686"/>
      <c r="AE49" s="686"/>
    </row>
    <row r="50" spans="1:31">
      <c r="A50" s="692"/>
      <c r="B50" s="690"/>
      <c r="F50" s="689"/>
      <c r="G50" s="689"/>
      <c r="H50" s="689"/>
      <c r="I50" s="689"/>
      <c r="J50" s="689"/>
      <c r="K50" s="689"/>
      <c r="L50" s="689"/>
      <c r="M50" s="689"/>
      <c r="N50" s="689"/>
      <c r="P50" s="689"/>
      <c r="Q50" s="688"/>
      <c r="R50" s="688"/>
      <c r="W50" s="689"/>
      <c r="AC50" s="686"/>
      <c r="AD50" s="686"/>
      <c r="AE50" s="686"/>
    </row>
    <row r="51" spans="1:31">
      <c r="A51" s="691"/>
      <c r="B51" s="690"/>
      <c r="F51" s="689"/>
      <c r="G51" s="689"/>
      <c r="H51" s="689"/>
      <c r="I51" s="689"/>
      <c r="J51" s="689"/>
      <c r="K51" s="689"/>
      <c r="L51" s="689"/>
      <c r="M51" s="689"/>
      <c r="N51" s="689"/>
      <c r="P51" s="689"/>
      <c r="Q51" s="688"/>
      <c r="R51" s="688"/>
      <c r="W51" s="689"/>
      <c r="AC51" s="686"/>
      <c r="AD51" s="686"/>
      <c r="AE51" s="686"/>
    </row>
    <row r="52" spans="1:31">
      <c r="F52" s="689"/>
      <c r="R52" s="688"/>
      <c r="W52" s="689"/>
      <c r="AC52" s="686"/>
      <c r="AD52" s="686"/>
      <c r="AE52" s="686"/>
    </row>
    <row r="53" spans="1:31">
      <c r="F53" s="689"/>
      <c r="R53" s="688"/>
      <c r="W53" s="689"/>
      <c r="AC53" s="686"/>
      <c r="AD53" s="686"/>
      <c r="AE53" s="686"/>
    </row>
    <row r="54" spans="1:31"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8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8"/>
  <dimension ref="A1:AE63"/>
  <sheetViews>
    <sheetView showGridLines="0" showZeros="0" topLeftCell="J1" zoomScaleNormal="100" workbookViewId="0">
      <selection activeCell="E81" sqref="E81:P81"/>
    </sheetView>
  </sheetViews>
  <sheetFormatPr baseColWidth="10" defaultRowHeight="12.75"/>
  <cols>
    <col min="1" max="1" width="10.25" style="247" customWidth="1"/>
    <col min="2" max="2" width="35.375" style="247" customWidth="1"/>
    <col min="3" max="3" width="10.125" style="247" customWidth="1"/>
    <col min="4" max="4" width="10.375" style="247" customWidth="1"/>
    <col min="5" max="5" width="4.875" style="247" customWidth="1"/>
    <col min="6" max="9" width="10.25" style="247" customWidth="1"/>
    <col min="10" max="10" width="12" style="247" customWidth="1"/>
    <col min="11" max="11" width="10.25" style="247" customWidth="1"/>
    <col min="12" max="12" width="9" style="247" customWidth="1"/>
    <col min="13" max="13" width="9.75" style="247" customWidth="1"/>
    <col min="14" max="14" width="8.75" style="247" customWidth="1"/>
    <col min="15" max="15" width="6.5" style="247" customWidth="1"/>
    <col min="16" max="16" width="11" style="247"/>
    <col min="17" max="17" width="5.875" style="231" customWidth="1"/>
    <col min="18" max="19" width="11" style="231"/>
    <col min="20" max="20" width="10.875" style="231" customWidth="1"/>
    <col min="21" max="21" width="9" style="247" customWidth="1"/>
    <col min="22" max="22" width="4.875" style="247" customWidth="1"/>
    <col min="23" max="23" width="10.25" style="247" customWidth="1"/>
    <col min="24" max="28" width="10.875" style="231" customWidth="1"/>
    <col min="29" max="31" width="11" style="231"/>
    <col min="32" max="16384" width="11" style="232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11" t="s">
        <v>49</v>
      </c>
      <c r="B2" s="243" t="s">
        <v>171</v>
      </c>
      <c r="C2" s="243"/>
      <c r="D2" s="243"/>
      <c r="E2" s="243"/>
      <c r="F2" s="243"/>
      <c r="G2" s="243"/>
      <c r="H2" s="246"/>
      <c r="I2" s="246"/>
      <c r="J2" s="1012"/>
      <c r="K2" s="1012"/>
      <c r="Q2" s="247"/>
      <c r="R2" s="247"/>
    </row>
    <row r="3" spans="1:31">
      <c r="A3" s="1013" t="s">
        <v>60</v>
      </c>
      <c r="B3" s="1013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106</v>
      </c>
      <c r="H3" s="1014"/>
      <c r="I3" s="1014"/>
      <c r="J3" s="1014"/>
      <c r="K3" s="1014"/>
      <c r="L3" s="249"/>
      <c r="M3" s="249"/>
      <c r="N3" s="249"/>
      <c r="O3" s="249"/>
      <c r="P3" s="249"/>
      <c r="Q3" s="249"/>
      <c r="R3" s="249"/>
      <c r="S3" s="250"/>
      <c r="T3" s="250"/>
      <c r="U3" s="248"/>
      <c r="V3" s="249"/>
      <c r="W3" s="249"/>
      <c r="X3" s="250"/>
      <c r="Y3" s="250"/>
      <c r="Z3" s="250"/>
      <c r="AA3" s="250"/>
      <c r="AB3" s="250"/>
    </row>
    <row r="4" spans="1:31">
      <c r="A4" s="1118" t="s">
        <v>61</v>
      </c>
      <c r="B4" s="246" t="s">
        <v>102</v>
      </c>
      <c r="C4" s="2144" t="s">
        <v>81</v>
      </c>
      <c r="D4" s="2144"/>
      <c r="E4" s="2144"/>
      <c r="F4" s="2145"/>
      <c r="G4" s="2145"/>
      <c r="H4" s="1011"/>
      <c r="I4" s="1011"/>
      <c r="J4" s="1011"/>
      <c r="K4" s="1011"/>
      <c r="L4" s="245"/>
      <c r="M4" s="245"/>
      <c r="N4" s="245"/>
      <c r="O4" s="249"/>
      <c r="P4" s="245"/>
      <c r="Q4" s="249"/>
      <c r="R4" s="249"/>
      <c r="S4" s="250"/>
      <c r="T4" s="250"/>
      <c r="U4" s="249"/>
      <c r="V4" s="249"/>
      <c r="W4" s="245"/>
      <c r="X4" s="250"/>
      <c r="Y4" s="250"/>
      <c r="Z4" s="250"/>
      <c r="AA4" s="250"/>
      <c r="AB4" s="250"/>
    </row>
    <row r="5" spans="1:31">
      <c r="A5" s="1016" t="s">
        <v>62</v>
      </c>
      <c r="B5" s="253">
        <v>201100882</v>
      </c>
      <c r="C5" s="1014"/>
      <c r="D5" s="1014"/>
      <c r="E5" s="1014"/>
      <c r="F5" s="1011"/>
      <c r="G5" s="1011"/>
      <c r="H5" s="1012"/>
      <c r="I5" s="1012"/>
      <c r="J5" s="1011"/>
      <c r="K5" s="1017"/>
      <c r="L5" s="245"/>
      <c r="M5" s="245"/>
      <c r="N5" s="245"/>
      <c r="O5" s="249"/>
      <c r="P5" s="245"/>
      <c r="Q5" s="249"/>
      <c r="R5" s="249"/>
      <c r="S5" s="245"/>
      <c r="T5" s="250"/>
      <c r="U5" s="249"/>
      <c r="V5" s="249"/>
      <c r="W5" s="245"/>
      <c r="X5" s="250"/>
      <c r="Y5" s="250"/>
      <c r="Z5" s="250"/>
      <c r="AA5" s="250"/>
      <c r="AB5" s="250"/>
    </row>
    <row r="6" spans="1:31" ht="15.75">
      <c r="A6" s="1016" t="s">
        <v>51</v>
      </c>
      <c r="B6" s="244" t="s">
        <v>172</v>
      </c>
      <c r="C6" s="1014"/>
      <c r="D6" s="2426"/>
      <c r="E6" s="2426"/>
      <c r="F6" s="1011"/>
      <c r="G6" s="1011"/>
      <c r="H6" s="1018"/>
      <c r="I6" s="1019"/>
      <c r="J6" s="1020"/>
      <c r="K6" s="1015"/>
      <c r="L6" s="251"/>
      <c r="M6" s="250"/>
      <c r="N6" s="231"/>
      <c r="O6" s="231"/>
      <c r="P6" s="231"/>
      <c r="Q6" s="250"/>
      <c r="R6" s="249"/>
      <c r="S6" s="250"/>
      <c r="T6" s="250"/>
      <c r="U6" s="249"/>
      <c r="V6" s="249"/>
      <c r="W6" s="245"/>
      <c r="X6" s="250"/>
      <c r="Y6" s="250"/>
      <c r="Z6" s="250"/>
      <c r="AA6" s="250"/>
      <c r="AB6" s="250"/>
    </row>
    <row r="7" spans="1:31">
      <c r="A7" s="252"/>
      <c r="B7" s="257"/>
      <c r="C7" s="249"/>
      <c r="D7" s="249"/>
      <c r="E7" s="249"/>
      <c r="F7" s="245"/>
      <c r="G7" s="245"/>
      <c r="H7" s="254"/>
      <c r="I7" s="255"/>
      <c r="J7" s="256"/>
      <c r="K7" s="251"/>
      <c r="L7" s="251"/>
      <c r="M7" s="250"/>
      <c r="N7" s="231"/>
      <c r="O7" s="231"/>
      <c r="P7" s="231"/>
      <c r="Q7" s="250"/>
      <c r="R7" s="249"/>
      <c r="S7" s="250"/>
      <c r="T7" s="250"/>
      <c r="U7" s="249"/>
      <c r="V7" s="249"/>
      <c r="W7" s="245"/>
      <c r="X7" s="250"/>
      <c r="Y7" s="250"/>
      <c r="Z7" s="250"/>
      <c r="AA7" s="250"/>
      <c r="AB7" s="250"/>
    </row>
    <row r="8" spans="1:31" s="259" customFormat="1" ht="16.5">
      <c r="A8" s="1021" t="s">
        <v>0</v>
      </c>
      <c r="B8" s="1021" t="s">
        <v>1</v>
      </c>
      <c r="C8" s="1022" t="s">
        <v>2</v>
      </c>
      <c r="D8" s="1023" t="s">
        <v>3</v>
      </c>
      <c r="E8" s="1024"/>
      <c r="F8" s="1025"/>
      <c r="G8" s="1026" t="s">
        <v>4</v>
      </c>
      <c r="H8" s="1027"/>
      <c r="I8" s="1026" t="s">
        <v>5</v>
      </c>
      <c r="J8" s="1027"/>
      <c r="K8" s="1028" t="s">
        <v>6</v>
      </c>
      <c r="L8" s="1028"/>
      <c r="M8" s="1028"/>
      <c r="N8" s="1028"/>
      <c r="O8" s="1024" t="s">
        <v>7</v>
      </c>
      <c r="P8" s="1025"/>
      <c r="Q8" s="1024" t="s">
        <v>8</v>
      </c>
      <c r="R8" s="1025"/>
      <c r="S8" s="1029"/>
      <c r="T8" s="1030"/>
      <c r="U8" s="1031" t="s">
        <v>82</v>
      </c>
      <c r="V8" s="1032"/>
      <c r="W8" s="1033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27" t="s">
        <v>64</v>
      </c>
      <c r="AC8" s="258"/>
      <c r="AD8" s="258"/>
      <c r="AE8" s="258"/>
    </row>
    <row r="9" spans="1:31" s="259" customFormat="1" ht="10.5">
      <c r="A9" s="1034" t="s">
        <v>9</v>
      </c>
      <c r="B9" s="1035"/>
      <c r="C9" s="1036"/>
      <c r="D9" s="1037"/>
      <c r="E9" s="1038"/>
      <c r="F9" s="1039"/>
      <c r="G9" s="1040"/>
      <c r="H9" s="1041"/>
      <c r="I9" s="1040" t="s">
        <v>10</v>
      </c>
      <c r="J9" s="1040"/>
      <c r="K9" s="1042" t="s">
        <v>11</v>
      </c>
      <c r="L9" s="1042"/>
      <c r="M9" s="1042"/>
      <c r="N9" s="1042" t="s">
        <v>12</v>
      </c>
      <c r="O9" s="1038"/>
      <c r="P9" s="1039"/>
      <c r="Q9" s="1038"/>
      <c r="R9" s="1043"/>
      <c r="S9" s="1044" t="s">
        <v>13</v>
      </c>
      <c r="T9" s="1045" t="s">
        <v>14</v>
      </c>
      <c r="U9" s="223"/>
      <c r="V9" s="224"/>
      <c r="W9" s="225"/>
      <c r="X9" s="2428"/>
      <c r="Y9" s="2428"/>
      <c r="Z9" s="2428"/>
      <c r="AA9" s="2428"/>
      <c r="AB9" s="2428"/>
      <c r="AC9" s="258"/>
      <c r="AD9" s="258"/>
      <c r="AE9" s="258"/>
    </row>
    <row r="10" spans="1:31" s="259" customFormat="1" ht="8.25">
      <c r="A10" s="1035"/>
      <c r="B10" s="1035"/>
      <c r="C10" s="1036"/>
      <c r="D10" s="1046" t="s">
        <v>15</v>
      </c>
      <c r="E10" s="1046" t="s">
        <v>16</v>
      </c>
      <c r="F10" s="1028" t="s">
        <v>17</v>
      </c>
      <c r="G10" s="1040"/>
      <c r="H10" s="1041"/>
      <c r="I10" s="1040"/>
      <c r="J10" s="1040"/>
      <c r="K10" s="1047" t="s">
        <v>18</v>
      </c>
      <c r="L10" s="1047" t="s">
        <v>17</v>
      </c>
      <c r="M10" s="1047" t="s">
        <v>19</v>
      </c>
      <c r="N10" s="1047" t="s">
        <v>20</v>
      </c>
      <c r="O10" s="1046" t="s">
        <v>16</v>
      </c>
      <c r="P10" s="1028" t="s">
        <v>17</v>
      </c>
      <c r="Q10" s="1046" t="s">
        <v>16</v>
      </c>
      <c r="R10" s="1028" t="s">
        <v>17</v>
      </c>
      <c r="S10" s="1044" t="s">
        <v>21</v>
      </c>
      <c r="T10" s="1045" t="s">
        <v>22</v>
      </c>
      <c r="U10" s="1046" t="s">
        <v>15</v>
      </c>
      <c r="V10" s="1046" t="s">
        <v>16</v>
      </c>
      <c r="W10" s="1028" t="s">
        <v>17</v>
      </c>
      <c r="X10" s="2428"/>
      <c r="Y10" s="2428"/>
      <c r="Z10" s="2428"/>
      <c r="AA10" s="2428"/>
      <c r="AB10" s="2428"/>
      <c r="AC10" s="258"/>
      <c r="AD10" s="258"/>
      <c r="AE10" s="258"/>
    </row>
    <row r="11" spans="1:31" s="259" customFormat="1" ht="8.25">
      <c r="A11" s="1035"/>
      <c r="B11" s="1035"/>
      <c r="C11" s="1036"/>
      <c r="D11" s="1044" t="s">
        <v>23</v>
      </c>
      <c r="E11" s="1044"/>
      <c r="F11" s="1042" t="s">
        <v>23</v>
      </c>
      <c r="G11" s="1028" t="s">
        <v>24</v>
      </c>
      <c r="H11" s="1028" t="s">
        <v>25</v>
      </c>
      <c r="I11" s="1028" t="s">
        <v>26</v>
      </c>
      <c r="J11" s="1028" t="s">
        <v>27</v>
      </c>
      <c r="K11" s="1042" t="s">
        <v>28</v>
      </c>
      <c r="L11" s="1042" t="s">
        <v>29</v>
      </c>
      <c r="M11" s="1042" t="s">
        <v>30</v>
      </c>
      <c r="N11" s="1042" t="s">
        <v>31</v>
      </c>
      <c r="O11" s="1044"/>
      <c r="P11" s="1042" t="s">
        <v>23</v>
      </c>
      <c r="Q11" s="1044"/>
      <c r="R11" s="1042" t="s">
        <v>23</v>
      </c>
      <c r="S11" s="1036"/>
      <c r="T11" s="1045" t="s">
        <v>32</v>
      </c>
      <c r="U11" s="1044" t="s">
        <v>23</v>
      </c>
      <c r="V11" s="1044"/>
      <c r="W11" s="1042" t="s">
        <v>23</v>
      </c>
      <c r="X11" s="2428"/>
      <c r="Y11" s="2428"/>
      <c r="Z11" s="2428"/>
      <c r="AA11" s="2428"/>
      <c r="AB11" s="2428"/>
      <c r="AC11" s="258"/>
      <c r="AD11" s="258"/>
      <c r="AE11" s="258"/>
    </row>
    <row r="12" spans="1:31">
      <c r="A12" s="1035"/>
      <c r="B12" s="1035"/>
      <c r="C12" s="1036"/>
      <c r="D12" s="1036"/>
      <c r="E12" s="1036"/>
      <c r="F12" s="1048"/>
      <c r="G12" s="1048"/>
      <c r="H12" s="1048"/>
      <c r="I12" s="1048"/>
      <c r="J12" s="1042" t="s">
        <v>33</v>
      </c>
      <c r="K12" s="1042" t="s">
        <v>34</v>
      </c>
      <c r="L12" s="1042"/>
      <c r="M12" s="1042"/>
      <c r="N12" s="1042"/>
      <c r="O12" s="1036"/>
      <c r="P12" s="1048"/>
      <c r="Q12" s="1036"/>
      <c r="R12" s="1048"/>
      <c r="S12" s="1049"/>
      <c r="T12" s="1050"/>
      <c r="U12" s="1036"/>
      <c r="V12" s="1036"/>
      <c r="W12" s="1048"/>
      <c r="X12" s="2428"/>
      <c r="Y12" s="2428"/>
      <c r="Z12" s="2428"/>
      <c r="AA12" s="2428"/>
      <c r="AB12" s="2428"/>
    </row>
    <row r="13" spans="1:31">
      <c r="A13" s="1051"/>
      <c r="B13" s="1051" t="s">
        <v>35</v>
      </c>
      <c r="C13" s="1052" t="s">
        <v>36</v>
      </c>
      <c r="D13" s="1052"/>
      <c r="E13" s="1052"/>
      <c r="F13" s="1053" t="s">
        <v>37</v>
      </c>
      <c r="G13" s="1053" t="s">
        <v>38</v>
      </c>
      <c r="H13" s="1053" t="s">
        <v>39</v>
      </c>
      <c r="I13" s="1053" t="s">
        <v>40</v>
      </c>
      <c r="J13" s="1053" t="s">
        <v>41</v>
      </c>
      <c r="K13" s="1053" t="s">
        <v>42</v>
      </c>
      <c r="L13" s="1053" t="s">
        <v>43</v>
      </c>
      <c r="M13" s="1053" t="s">
        <v>44</v>
      </c>
      <c r="N13" s="1053" t="s">
        <v>45</v>
      </c>
      <c r="O13" s="1052"/>
      <c r="P13" s="1053" t="s">
        <v>37</v>
      </c>
      <c r="Q13" s="1052" t="s">
        <v>46</v>
      </c>
      <c r="R13" s="1052"/>
      <c r="S13" s="1054" t="s">
        <v>47</v>
      </c>
      <c r="T13" s="1055" t="s">
        <v>48</v>
      </c>
      <c r="U13" s="1052"/>
      <c r="V13" s="1052"/>
      <c r="W13" s="1053" t="s">
        <v>37</v>
      </c>
      <c r="X13" s="1056" t="s">
        <v>86</v>
      </c>
      <c r="Y13" s="1056"/>
      <c r="Z13" s="1056"/>
      <c r="AA13" s="1056"/>
      <c r="AB13" s="1056"/>
    </row>
    <row r="14" spans="1:31">
      <c r="A14" s="264"/>
      <c r="B14" s="265"/>
      <c r="C14" s="261"/>
      <c r="D14" s="266"/>
      <c r="E14" s="264"/>
      <c r="F14" s="260"/>
      <c r="G14" s="260"/>
      <c r="H14" s="260"/>
      <c r="I14" s="260"/>
      <c r="J14" s="260"/>
      <c r="K14" s="260"/>
      <c r="L14" s="260"/>
      <c r="M14" s="260"/>
      <c r="N14" s="260"/>
      <c r="O14" s="261"/>
      <c r="P14" s="260"/>
      <c r="Q14" s="261"/>
      <c r="R14" s="261"/>
      <c r="S14" s="267"/>
      <c r="T14" s="262"/>
      <c r="U14" s="261"/>
      <c r="V14" s="264"/>
      <c r="W14" s="260"/>
      <c r="X14" s="262"/>
      <c r="Y14" s="262"/>
      <c r="Z14" s="262"/>
      <c r="AA14" s="262"/>
      <c r="AB14" s="262"/>
    </row>
    <row r="15" spans="1:31" ht="13.5" customHeight="1">
      <c r="A15" s="1057"/>
      <c r="B15" s="265"/>
      <c r="C15" s="226">
        <f>D15*E15</f>
        <v>0</v>
      </c>
      <c r="D15" s="1058"/>
      <c r="E15" s="1057"/>
      <c r="F15" s="226">
        <f>D15*E15</f>
        <v>0</v>
      </c>
      <c r="G15" s="226"/>
      <c r="H15" s="226"/>
      <c r="I15" s="226"/>
      <c r="J15" s="226"/>
      <c r="K15" s="226"/>
      <c r="L15" s="226"/>
      <c r="M15" s="226"/>
      <c r="N15" s="226"/>
      <c r="O15" s="230"/>
      <c r="P15" s="226"/>
      <c r="Q15" s="230"/>
      <c r="R15" s="230"/>
      <c r="S15" s="1059"/>
      <c r="T15" s="1060"/>
      <c r="U15" s="230"/>
      <c r="V15" s="1057"/>
      <c r="W15" s="226">
        <f>U15*V15</f>
        <v>0</v>
      </c>
      <c r="X15" s="1060"/>
      <c r="Y15" s="1060"/>
      <c r="Z15" s="1060"/>
      <c r="AA15" s="1060"/>
      <c r="AB15" s="1060"/>
    </row>
    <row r="16" spans="1:31" ht="37.5" customHeight="1">
      <c r="A16" s="229">
        <v>1</v>
      </c>
      <c r="B16" s="227" t="s">
        <v>100</v>
      </c>
      <c r="C16" s="226">
        <f>D16*E16</f>
        <v>90000</v>
      </c>
      <c r="D16" s="226">
        <f>75000*1.2</f>
        <v>90000</v>
      </c>
      <c r="E16" s="229">
        <v>1</v>
      </c>
      <c r="F16" s="226">
        <f>D16*E16</f>
        <v>90000</v>
      </c>
      <c r="G16" s="226"/>
      <c r="H16" s="226"/>
      <c r="I16" s="226">
        <f>+W16</f>
        <v>90000</v>
      </c>
      <c r="J16" s="226"/>
      <c r="K16" s="226"/>
      <c r="L16" s="226">
        <f>+I16-J16+K16</f>
        <v>90000</v>
      </c>
      <c r="M16" s="226"/>
      <c r="N16" s="226">
        <f>G16</f>
        <v>0</v>
      </c>
      <c r="O16" s="226"/>
      <c r="P16" s="226"/>
      <c r="Q16" s="226"/>
      <c r="R16" s="230"/>
      <c r="S16" s="230"/>
      <c r="T16" s="577">
        <f>W16-L16</f>
        <v>0</v>
      </c>
      <c r="U16" s="226">
        <f>75000*1.2</f>
        <v>90000</v>
      </c>
      <c r="V16" s="229">
        <v>1</v>
      </c>
      <c r="W16" s="226">
        <f>U16*V16</f>
        <v>90000</v>
      </c>
      <c r="X16" s="226">
        <v>72000</v>
      </c>
      <c r="Y16" s="577"/>
      <c r="Z16" s="577"/>
      <c r="AA16" s="577"/>
      <c r="AB16" s="228">
        <v>90000</v>
      </c>
    </row>
    <row r="17" spans="1:28" hidden="1">
      <c r="A17" s="1061"/>
      <c r="B17" s="268"/>
      <c r="C17" s="226"/>
      <c r="D17" s="226"/>
      <c r="E17" s="229"/>
      <c r="F17" s="226"/>
      <c r="G17" s="226"/>
      <c r="H17" s="226"/>
      <c r="I17" s="226"/>
      <c r="J17" s="226"/>
      <c r="K17" s="226"/>
      <c r="L17" s="226">
        <f>+I17-J17+K17</f>
        <v>0</v>
      </c>
      <c r="M17" s="226"/>
      <c r="N17" s="226"/>
      <c r="O17" s="226"/>
      <c r="P17" s="226"/>
      <c r="Q17" s="226"/>
      <c r="R17" s="230"/>
      <c r="S17" s="230"/>
      <c r="T17" s="577">
        <f>W17-L17</f>
        <v>0</v>
      </c>
      <c r="U17" s="226"/>
      <c r="V17" s="229"/>
      <c r="W17" s="226"/>
      <c r="X17" s="1064"/>
      <c r="Y17" s="1064"/>
      <c r="Z17" s="1064"/>
      <c r="AA17" s="1064"/>
      <c r="AB17" s="1065"/>
    </row>
    <row r="18" spans="1:28" hidden="1">
      <c r="A18" s="1062"/>
      <c r="B18" s="268"/>
      <c r="C18" s="226"/>
      <c r="D18" s="226"/>
      <c r="E18" s="229"/>
      <c r="F18" s="226"/>
      <c r="G18" s="226"/>
      <c r="H18" s="226"/>
      <c r="I18" s="226"/>
      <c r="J18" s="226"/>
      <c r="K18" s="226"/>
      <c r="L18" s="226">
        <f>+I18-J18+K18</f>
        <v>0</v>
      </c>
      <c r="M18" s="226"/>
      <c r="N18" s="226"/>
      <c r="O18" s="226"/>
      <c r="P18" s="226"/>
      <c r="Q18" s="226"/>
      <c r="R18" s="230"/>
      <c r="S18" s="230"/>
      <c r="T18" s="577">
        <f>W18-L18</f>
        <v>0</v>
      </c>
      <c r="U18" s="226"/>
      <c r="V18" s="229"/>
      <c r="W18" s="226"/>
      <c r="X18" s="1064"/>
      <c r="Y18" s="1064"/>
      <c r="Z18" s="1064"/>
      <c r="AA18" s="1064"/>
      <c r="AB18" s="1065"/>
    </row>
    <row r="19" spans="1:28" ht="29.25" customHeight="1">
      <c r="A19" s="1063">
        <v>2</v>
      </c>
      <c r="B19" s="227" t="s">
        <v>101</v>
      </c>
      <c r="C19" s="226">
        <f t="shared" ref="C19:C36" si="0">D19*E19</f>
        <v>126000</v>
      </c>
      <c r="D19" s="226">
        <f>105000*1.2</f>
        <v>126000</v>
      </c>
      <c r="E19" s="229">
        <v>1</v>
      </c>
      <c r="F19" s="226">
        <f t="shared" ref="F19:F36" si="1">D19*E19</f>
        <v>126000</v>
      </c>
      <c r="G19" s="236"/>
      <c r="H19" s="236"/>
      <c r="I19" s="226"/>
      <c r="J19" s="236"/>
      <c r="K19" s="236"/>
      <c r="L19" s="226">
        <f>+I19-J19+K19</f>
        <v>0</v>
      </c>
      <c r="M19" s="236"/>
      <c r="N19" s="236">
        <f>500/1300*G19</f>
        <v>0</v>
      </c>
      <c r="O19" s="236"/>
      <c r="P19" s="233"/>
      <c r="Q19" s="234"/>
      <c r="R19" s="226"/>
      <c r="S19" s="236"/>
      <c r="T19" s="577">
        <f>W19-L19</f>
        <v>126000</v>
      </c>
      <c r="U19" s="226">
        <f>105000*1.2</f>
        <v>126000</v>
      </c>
      <c r="V19" s="229">
        <v>1</v>
      </c>
      <c r="W19" s="226">
        <f t="shared" ref="W19:W36" si="2">U19*V19</f>
        <v>126000</v>
      </c>
      <c r="X19" s="236"/>
      <c r="Y19" s="236"/>
      <c r="Z19" s="236"/>
      <c r="AA19" s="236"/>
      <c r="AB19" s="228">
        <v>126000</v>
      </c>
    </row>
    <row r="20" spans="1:28" ht="21.75" customHeight="1">
      <c r="A20" s="239">
        <v>3</v>
      </c>
      <c r="B20" s="235" t="s">
        <v>90</v>
      </c>
      <c r="C20" s="226">
        <f t="shared" si="0"/>
        <v>60000</v>
      </c>
      <c r="D20" s="226">
        <f>50000*1.2</f>
        <v>60000</v>
      </c>
      <c r="E20" s="229">
        <v>1</v>
      </c>
      <c r="F20" s="226">
        <f t="shared" si="1"/>
        <v>60000</v>
      </c>
      <c r="G20" s="236"/>
      <c r="H20" s="236"/>
      <c r="I20" s="236"/>
      <c r="J20" s="236"/>
      <c r="K20" s="236"/>
      <c r="L20" s="226">
        <f>+I20-J20+K20</f>
        <v>0</v>
      </c>
      <c r="M20" s="236"/>
      <c r="N20" s="236"/>
      <c r="O20" s="236"/>
      <c r="P20" s="226"/>
      <c r="Q20" s="234"/>
      <c r="R20" s="236"/>
      <c r="S20" s="236"/>
      <c r="T20" s="577">
        <f>W20-L20</f>
        <v>60000</v>
      </c>
      <c r="U20" s="226">
        <f>50000*1.2</f>
        <v>60000</v>
      </c>
      <c r="V20" s="229">
        <v>1</v>
      </c>
      <c r="W20" s="226">
        <f t="shared" si="2"/>
        <v>60000</v>
      </c>
      <c r="X20" s="236"/>
      <c r="Y20" s="236"/>
      <c r="Z20" s="236"/>
      <c r="AA20" s="236"/>
      <c r="AB20" s="228">
        <v>60000</v>
      </c>
    </row>
    <row r="21" spans="1:28">
      <c r="A21" s="239"/>
      <c r="B21" s="235"/>
      <c r="C21" s="226">
        <f t="shared" si="0"/>
        <v>0</v>
      </c>
      <c r="D21" s="228"/>
      <c r="E21" s="229"/>
      <c r="F21" s="226">
        <f t="shared" si="1"/>
        <v>0</v>
      </c>
      <c r="G21" s="236"/>
      <c r="H21" s="236"/>
      <c r="I21" s="236"/>
      <c r="J21" s="236"/>
      <c r="K21" s="236"/>
      <c r="L21" s="236"/>
      <c r="M21" s="236"/>
      <c r="N21" s="236"/>
      <c r="O21" s="236"/>
      <c r="P21" s="226"/>
      <c r="Q21" s="234"/>
      <c r="R21" s="236"/>
      <c r="S21" s="236"/>
      <c r="T21" s="236"/>
      <c r="U21" s="228"/>
      <c r="V21" s="229"/>
      <c r="W21" s="226">
        <f t="shared" si="2"/>
        <v>0</v>
      </c>
      <c r="X21" s="236"/>
      <c r="Y21" s="236"/>
      <c r="Z21" s="236"/>
      <c r="AA21" s="236"/>
      <c r="AB21" s="236"/>
    </row>
    <row r="22" spans="1:28">
      <c r="A22" s="229"/>
      <c r="B22" s="237"/>
      <c r="C22" s="226">
        <f t="shared" si="0"/>
        <v>0</v>
      </c>
      <c r="D22" s="228"/>
      <c r="E22" s="229"/>
      <c r="F22" s="226">
        <f t="shared" si="1"/>
        <v>0</v>
      </c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4"/>
      <c r="R22" s="236"/>
      <c r="S22" s="236"/>
      <c r="T22" s="236"/>
      <c r="U22" s="238"/>
      <c r="V22" s="229"/>
      <c r="W22" s="226">
        <f t="shared" si="2"/>
        <v>0</v>
      </c>
      <c r="X22" s="236"/>
      <c r="Y22" s="236"/>
      <c r="Z22" s="236"/>
      <c r="AA22" s="236"/>
      <c r="AB22" s="236"/>
    </row>
    <row r="23" spans="1:28" hidden="1">
      <c r="A23" s="229"/>
      <c r="B23" s="237"/>
      <c r="C23" s="226">
        <f t="shared" si="0"/>
        <v>0</v>
      </c>
      <c r="D23" s="228"/>
      <c r="E23" s="239"/>
      <c r="F23" s="226">
        <f t="shared" si="1"/>
        <v>0</v>
      </c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40"/>
      <c r="R23" s="226"/>
      <c r="S23" s="236"/>
      <c r="T23" s="236"/>
      <c r="U23" s="238"/>
      <c r="V23" s="239"/>
      <c r="W23" s="226">
        <f t="shared" si="2"/>
        <v>0</v>
      </c>
      <c r="X23" s="236"/>
      <c r="Y23" s="236"/>
      <c r="Z23" s="236"/>
      <c r="AA23" s="236"/>
      <c r="AB23" s="236"/>
    </row>
    <row r="24" spans="1:28" ht="0.75" hidden="1" customHeight="1">
      <c r="A24" s="1061"/>
      <c r="B24" s="269"/>
      <c r="C24" s="226">
        <f t="shared" si="0"/>
        <v>0</v>
      </c>
      <c r="D24" s="228"/>
      <c r="E24" s="229"/>
      <c r="F24" s="226">
        <f t="shared" si="1"/>
        <v>0</v>
      </c>
      <c r="G24" s="236"/>
      <c r="H24" s="236"/>
      <c r="I24" s="236"/>
      <c r="J24" s="236"/>
      <c r="K24" s="236"/>
      <c r="L24" s="236"/>
      <c r="M24" s="236"/>
      <c r="N24" s="236"/>
      <c r="O24" s="236"/>
      <c r="P24" s="226"/>
      <c r="Q24" s="234"/>
      <c r="R24" s="226"/>
      <c r="S24" s="236">
        <f>+P24-R24</f>
        <v>0</v>
      </c>
      <c r="T24" s="236"/>
      <c r="U24" s="238"/>
      <c r="V24" s="229"/>
      <c r="W24" s="226">
        <f t="shared" si="2"/>
        <v>0</v>
      </c>
      <c r="X24" s="236"/>
      <c r="Y24" s="236"/>
      <c r="Z24" s="236"/>
      <c r="AA24" s="236"/>
      <c r="AB24" s="236"/>
    </row>
    <row r="25" spans="1:28" hidden="1">
      <c r="A25" s="1061"/>
      <c r="B25" s="237"/>
      <c r="C25" s="226">
        <f t="shared" si="0"/>
        <v>0</v>
      </c>
      <c r="D25" s="228"/>
      <c r="E25" s="229"/>
      <c r="F25" s="226">
        <f t="shared" si="1"/>
        <v>0</v>
      </c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4"/>
      <c r="R25" s="226"/>
      <c r="S25" s="236">
        <f>+P25-R25</f>
        <v>0</v>
      </c>
      <c r="T25" s="236"/>
      <c r="U25" s="238"/>
      <c r="V25" s="229"/>
      <c r="W25" s="226">
        <f t="shared" si="2"/>
        <v>0</v>
      </c>
      <c r="X25" s="236"/>
      <c r="Y25" s="236"/>
      <c r="Z25" s="236"/>
      <c r="AA25" s="236"/>
      <c r="AB25" s="236"/>
    </row>
    <row r="26" spans="1:28">
      <c r="A26" s="229"/>
      <c r="B26" s="270"/>
      <c r="C26" s="226">
        <f t="shared" si="0"/>
        <v>0</v>
      </c>
      <c r="D26" s="228"/>
      <c r="E26" s="229"/>
      <c r="F26" s="226">
        <f t="shared" si="1"/>
        <v>0</v>
      </c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4"/>
      <c r="R26" s="226"/>
      <c r="S26" s="236"/>
      <c r="T26" s="236"/>
      <c r="U26" s="238"/>
      <c r="V26" s="229"/>
      <c r="W26" s="226">
        <f t="shared" si="2"/>
        <v>0</v>
      </c>
      <c r="X26" s="236"/>
      <c r="Y26" s="236"/>
      <c r="Z26" s="236"/>
      <c r="AA26" s="236"/>
      <c r="AB26" s="236"/>
    </row>
    <row r="27" spans="1:28" ht="12" customHeight="1">
      <c r="A27" s="239"/>
      <c r="B27" s="271"/>
      <c r="C27" s="226">
        <f t="shared" si="0"/>
        <v>0</v>
      </c>
      <c r="D27" s="228"/>
      <c r="E27" s="229"/>
      <c r="F27" s="226">
        <f t="shared" si="1"/>
        <v>0</v>
      </c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4"/>
      <c r="R27" s="236"/>
      <c r="S27" s="236"/>
      <c r="T27" s="236"/>
      <c r="U27" s="238"/>
      <c r="V27" s="229"/>
      <c r="W27" s="226">
        <f t="shared" si="2"/>
        <v>0</v>
      </c>
      <c r="X27" s="236"/>
      <c r="Y27" s="236"/>
      <c r="Z27" s="236"/>
      <c r="AA27" s="236"/>
      <c r="AB27" s="236"/>
    </row>
    <row r="28" spans="1:28">
      <c r="A28" s="239"/>
      <c r="B28" s="271"/>
      <c r="C28" s="226">
        <f t="shared" si="0"/>
        <v>0</v>
      </c>
      <c r="D28" s="228"/>
      <c r="E28" s="229"/>
      <c r="F28" s="226">
        <f t="shared" si="1"/>
        <v>0</v>
      </c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4"/>
      <c r="R28" s="236"/>
      <c r="S28" s="236"/>
      <c r="T28" s="236"/>
      <c r="U28" s="238"/>
      <c r="V28" s="229"/>
      <c r="W28" s="226">
        <f t="shared" si="2"/>
        <v>0</v>
      </c>
      <c r="X28" s="236"/>
      <c r="Y28" s="236"/>
      <c r="Z28" s="236"/>
      <c r="AA28" s="236"/>
      <c r="AB28" s="236"/>
    </row>
    <row r="29" spans="1:28">
      <c r="A29" s="239"/>
      <c r="B29" s="271"/>
      <c r="C29" s="226">
        <f t="shared" si="0"/>
        <v>0</v>
      </c>
      <c r="D29" s="228"/>
      <c r="E29" s="229"/>
      <c r="F29" s="226">
        <f t="shared" si="1"/>
        <v>0</v>
      </c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4"/>
      <c r="R29" s="236"/>
      <c r="S29" s="236"/>
      <c r="T29" s="236"/>
      <c r="U29" s="238"/>
      <c r="V29" s="229"/>
      <c r="W29" s="226">
        <f t="shared" si="2"/>
        <v>0</v>
      </c>
      <c r="X29" s="236"/>
      <c r="Y29" s="236"/>
      <c r="Z29" s="236"/>
      <c r="AA29" s="236"/>
      <c r="AB29" s="236"/>
    </row>
    <row r="30" spans="1:28">
      <c r="A30" s="239"/>
      <c r="B30" s="271"/>
      <c r="C30" s="226">
        <f t="shared" si="0"/>
        <v>0</v>
      </c>
      <c r="D30" s="228"/>
      <c r="E30" s="229"/>
      <c r="F30" s="226">
        <f t="shared" si="1"/>
        <v>0</v>
      </c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4"/>
      <c r="R30" s="236"/>
      <c r="S30" s="236"/>
      <c r="T30" s="236"/>
      <c r="U30" s="238"/>
      <c r="V30" s="229"/>
      <c r="W30" s="226">
        <f t="shared" si="2"/>
        <v>0</v>
      </c>
      <c r="X30" s="236"/>
      <c r="Y30" s="236"/>
      <c r="Z30" s="236"/>
      <c r="AA30" s="236"/>
      <c r="AB30" s="236"/>
    </row>
    <row r="31" spans="1:28">
      <c r="A31" s="239"/>
      <c r="B31" s="272"/>
      <c r="C31" s="226">
        <f t="shared" si="0"/>
        <v>0</v>
      </c>
      <c r="D31" s="228"/>
      <c r="E31" s="229"/>
      <c r="F31" s="226">
        <f t="shared" si="1"/>
        <v>0</v>
      </c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73"/>
      <c r="R31" s="236"/>
      <c r="S31" s="236"/>
      <c r="T31" s="236"/>
      <c r="U31" s="238"/>
      <c r="V31" s="229"/>
      <c r="W31" s="226">
        <f t="shared" si="2"/>
        <v>0</v>
      </c>
      <c r="X31" s="236"/>
      <c r="Y31" s="236"/>
      <c r="Z31" s="236"/>
      <c r="AA31" s="236"/>
      <c r="AB31" s="236"/>
    </row>
    <row r="32" spans="1:28">
      <c r="A32" s="229"/>
      <c r="B32" s="270"/>
      <c r="C32" s="226">
        <f t="shared" si="0"/>
        <v>0</v>
      </c>
      <c r="D32" s="228"/>
      <c r="E32" s="229"/>
      <c r="F32" s="226">
        <f t="shared" si="1"/>
        <v>0</v>
      </c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73"/>
      <c r="R32" s="236"/>
      <c r="S32" s="236"/>
      <c r="T32" s="236"/>
      <c r="U32" s="238"/>
      <c r="V32" s="229"/>
      <c r="W32" s="226">
        <f t="shared" si="2"/>
        <v>0</v>
      </c>
      <c r="X32" s="236"/>
      <c r="Y32" s="236"/>
      <c r="Z32" s="236"/>
      <c r="AA32" s="236"/>
      <c r="AB32" s="236">
        <v>0</v>
      </c>
    </row>
    <row r="33" spans="1:28" ht="0.75" hidden="1" customHeight="1">
      <c r="A33" s="239"/>
      <c r="B33" s="271"/>
      <c r="C33" s="226">
        <f t="shared" si="0"/>
        <v>0</v>
      </c>
      <c r="D33" s="228"/>
      <c r="E33" s="229"/>
      <c r="F33" s="226">
        <f t="shared" si="1"/>
        <v>0</v>
      </c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73"/>
      <c r="R33" s="236"/>
      <c r="S33" s="236"/>
      <c r="T33" s="236"/>
      <c r="U33" s="238"/>
      <c r="V33" s="229"/>
      <c r="W33" s="226">
        <f t="shared" si="2"/>
        <v>0</v>
      </c>
      <c r="X33" s="236"/>
      <c r="Y33" s="236"/>
      <c r="Z33" s="236"/>
      <c r="AA33" s="236"/>
      <c r="AB33" s="236">
        <v>0</v>
      </c>
    </row>
    <row r="34" spans="1:28" ht="0.75" hidden="1" customHeight="1">
      <c r="A34" s="239"/>
      <c r="B34" s="271"/>
      <c r="C34" s="226">
        <f t="shared" si="0"/>
        <v>0</v>
      </c>
      <c r="D34" s="228"/>
      <c r="E34" s="229"/>
      <c r="F34" s="226">
        <f t="shared" si="1"/>
        <v>0</v>
      </c>
      <c r="G34" s="226"/>
      <c r="H34" s="226"/>
      <c r="I34" s="230"/>
      <c r="J34" s="226"/>
      <c r="K34" s="226"/>
      <c r="L34" s="236"/>
      <c r="M34" s="226"/>
      <c r="N34" s="226"/>
      <c r="O34" s="226"/>
      <c r="P34" s="236"/>
      <c r="Q34" s="273"/>
      <c r="R34" s="236"/>
      <c r="S34" s="236"/>
      <c r="T34" s="1064"/>
      <c r="U34" s="238"/>
      <c r="V34" s="229"/>
      <c r="W34" s="226">
        <f t="shared" si="2"/>
        <v>0</v>
      </c>
      <c r="X34" s="1064"/>
      <c r="Y34" s="1064"/>
      <c r="Z34" s="1064"/>
      <c r="AA34" s="1064"/>
      <c r="AB34" s="1064"/>
    </row>
    <row r="35" spans="1:28">
      <c r="A35" s="239"/>
      <c r="B35" s="271"/>
      <c r="C35" s="226">
        <f t="shared" si="0"/>
        <v>0</v>
      </c>
      <c r="D35" s="228"/>
      <c r="E35" s="229"/>
      <c r="F35" s="226">
        <f t="shared" si="1"/>
        <v>0</v>
      </c>
      <c r="G35" s="226"/>
      <c r="H35" s="226"/>
      <c r="I35" s="230"/>
      <c r="J35" s="226"/>
      <c r="K35" s="226"/>
      <c r="L35" s="236"/>
      <c r="M35" s="226"/>
      <c r="N35" s="226"/>
      <c r="O35" s="226"/>
      <c r="P35" s="226"/>
      <c r="Q35" s="273"/>
      <c r="R35" s="236"/>
      <c r="S35" s="236"/>
      <c r="T35" s="1064"/>
      <c r="U35" s="238"/>
      <c r="V35" s="229"/>
      <c r="W35" s="226">
        <f t="shared" si="2"/>
        <v>0</v>
      </c>
      <c r="X35" s="1064"/>
      <c r="Y35" s="1064"/>
      <c r="Z35" s="1064"/>
      <c r="AA35" s="1064"/>
      <c r="AB35" s="1064"/>
    </row>
    <row r="36" spans="1:28">
      <c r="A36" s="239"/>
      <c r="B36" s="271"/>
      <c r="C36" s="226">
        <f t="shared" si="0"/>
        <v>0</v>
      </c>
      <c r="D36" s="228"/>
      <c r="E36" s="229"/>
      <c r="F36" s="226">
        <f t="shared" si="1"/>
        <v>0</v>
      </c>
      <c r="G36" s="226"/>
      <c r="H36" s="226"/>
      <c r="I36" s="230"/>
      <c r="J36" s="226"/>
      <c r="K36" s="226"/>
      <c r="L36" s="236"/>
      <c r="M36" s="226"/>
      <c r="N36" s="226"/>
      <c r="O36" s="226"/>
      <c r="P36" s="226"/>
      <c r="Q36" s="273"/>
      <c r="R36" s="236"/>
      <c r="S36" s="236"/>
      <c r="T36" s="1064"/>
      <c r="U36" s="238"/>
      <c r="V36" s="229"/>
      <c r="W36" s="226">
        <f t="shared" si="2"/>
        <v>0</v>
      </c>
      <c r="X36" s="1064"/>
      <c r="Y36" s="1064"/>
      <c r="Z36" s="1064"/>
      <c r="AA36" s="1064"/>
      <c r="AB36" s="1064"/>
    </row>
    <row r="37" spans="1:28">
      <c r="A37" s="239"/>
      <c r="B37" s="271"/>
      <c r="C37" s="226"/>
      <c r="D37" s="228"/>
      <c r="E37" s="229"/>
      <c r="F37" s="226"/>
      <c r="G37" s="226"/>
      <c r="H37" s="226"/>
      <c r="I37" s="230"/>
      <c r="J37" s="226"/>
      <c r="K37" s="226"/>
      <c r="L37" s="236"/>
      <c r="M37" s="226"/>
      <c r="N37" s="226"/>
      <c r="O37" s="226"/>
      <c r="P37" s="226"/>
      <c r="Q37" s="273"/>
      <c r="R37" s="236"/>
      <c r="S37" s="236"/>
      <c r="T37" s="1064"/>
      <c r="U37" s="238"/>
      <c r="V37" s="229"/>
      <c r="W37" s="226"/>
      <c r="X37" s="1064"/>
      <c r="Y37" s="1064"/>
      <c r="Z37" s="1064"/>
      <c r="AA37" s="1064"/>
      <c r="AB37" s="1064"/>
    </row>
    <row r="38" spans="1:28">
      <c r="A38" s="239"/>
      <c r="B38" s="271"/>
      <c r="C38" s="226"/>
      <c r="D38" s="228"/>
      <c r="E38" s="229"/>
      <c r="F38" s="226"/>
      <c r="G38" s="226"/>
      <c r="H38" s="226"/>
      <c r="I38" s="230"/>
      <c r="J38" s="226"/>
      <c r="K38" s="226"/>
      <c r="L38" s="236"/>
      <c r="M38" s="226"/>
      <c r="N38" s="226"/>
      <c r="O38" s="226"/>
      <c r="P38" s="226"/>
      <c r="Q38" s="273"/>
      <c r="R38" s="236"/>
      <c r="S38" s="236"/>
      <c r="T38" s="1064"/>
      <c r="U38" s="238"/>
      <c r="V38" s="229"/>
      <c r="W38" s="226"/>
      <c r="X38" s="1064"/>
      <c r="Y38" s="1064"/>
      <c r="Z38" s="1064"/>
      <c r="AA38" s="1064"/>
      <c r="AB38" s="1064"/>
    </row>
    <row r="39" spans="1:28">
      <c r="A39" s="239"/>
      <c r="B39" s="271"/>
      <c r="C39" s="226"/>
      <c r="D39" s="228"/>
      <c r="E39" s="229"/>
      <c r="F39" s="226"/>
      <c r="G39" s="226"/>
      <c r="H39" s="226"/>
      <c r="I39" s="230"/>
      <c r="J39" s="226"/>
      <c r="K39" s="226"/>
      <c r="L39" s="236"/>
      <c r="M39" s="226"/>
      <c r="N39" s="226"/>
      <c r="O39" s="226"/>
      <c r="P39" s="226"/>
      <c r="Q39" s="273"/>
      <c r="R39" s="236"/>
      <c r="S39" s="236"/>
      <c r="T39" s="1064"/>
      <c r="U39" s="238"/>
      <c r="V39" s="229"/>
      <c r="W39" s="226"/>
      <c r="X39" s="1064"/>
      <c r="Y39" s="1064"/>
      <c r="Z39" s="1064"/>
      <c r="AA39" s="1064"/>
      <c r="AB39" s="1064"/>
    </row>
    <row r="40" spans="1:28">
      <c r="A40" s="239"/>
      <c r="B40" s="271"/>
      <c r="C40" s="226"/>
      <c r="D40" s="228"/>
      <c r="E40" s="229"/>
      <c r="F40" s="226"/>
      <c r="G40" s="226"/>
      <c r="H40" s="226"/>
      <c r="I40" s="230"/>
      <c r="J40" s="226"/>
      <c r="K40" s="226"/>
      <c r="L40" s="236"/>
      <c r="M40" s="226"/>
      <c r="N40" s="226"/>
      <c r="O40" s="226"/>
      <c r="P40" s="226"/>
      <c r="Q40" s="273"/>
      <c r="R40" s="236"/>
      <c r="S40" s="236"/>
      <c r="T40" s="1064"/>
      <c r="U40" s="238"/>
      <c r="V40" s="229"/>
      <c r="W40" s="226"/>
      <c r="X40" s="1064"/>
      <c r="Y40" s="1064"/>
      <c r="Z40" s="1064"/>
      <c r="AA40" s="1064"/>
      <c r="AB40" s="1064"/>
    </row>
    <row r="41" spans="1:28">
      <c r="A41" s="239"/>
      <c r="B41" s="271"/>
      <c r="C41" s="226">
        <f>D41*E41</f>
        <v>0</v>
      </c>
      <c r="D41" s="228"/>
      <c r="E41" s="229"/>
      <c r="F41" s="226">
        <f>D41*E41</f>
        <v>0</v>
      </c>
      <c r="G41" s="226"/>
      <c r="H41" s="226"/>
      <c r="I41" s="230"/>
      <c r="J41" s="226"/>
      <c r="K41" s="226"/>
      <c r="L41" s="236"/>
      <c r="M41" s="226"/>
      <c r="N41" s="226"/>
      <c r="O41" s="226"/>
      <c r="P41" s="226"/>
      <c r="Q41" s="273"/>
      <c r="R41" s="236"/>
      <c r="S41" s="236"/>
      <c r="T41" s="1064"/>
      <c r="U41" s="238"/>
      <c r="V41" s="229"/>
      <c r="W41" s="226">
        <f>U41*V41</f>
        <v>0</v>
      </c>
      <c r="X41" s="1064"/>
      <c r="Y41" s="1064"/>
      <c r="Z41" s="1064"/>
      <c r="AA41" s="1064"/>
      <c r="AB41" s="1064"/>
    </row>
    <row r="42" spans="1:28">
      <c r="A42" s="239"/>
      <c r="B42" s="271"/>
      <c r="C42" s="226"/>
      <c r="D42" s="228"/>
      <c r="E42" s="229"/>
      <c r="F42" s="226"/>
      <c r="G42" s="226"/>
      <c r="H42" s="226"/>
      <c r="I42" s="230"/>
      <c r="J42" s="226"/>
      <c r="K42" s="226"/>
      <c r="L42" s="236"/>
      <c r="M42" s="226"/>
      <c r="N42" s="226"/>
      <c r="O42" s="226"/>
      <c r="P42" s="226"/>
      <c r="Q42" s="273"/>
      <c r="R42" s="236"/>
      <c r="S42" s="236"/>
      <c r="T42" s="1064"/>
      <c r="U42" s="238"/>
      <c r="V42" s="229"/>
      <c r="W42" s="226"/>
      <c r="X42" s="1064"/>
      <c r="Y42" s="1064"/>
      <c r="Z42" s="1064"/>
      <c r="AA42" s="1064"/>
      <c r="AB42" s="1064"/>
    </row>
    <row r="43" spans="1:28">
      <c r="A43" s="239"/>
      <c r="B43" s="271"/>
      <c r="C43" s="226"/>
      <c r="D43" s="228"/>
      <c r="E43" s="229"/>
      <c r="F43" s="226"/>
      <c r="G43" s="226"/>
      <c r="H43" s="226"/>
      <c r="I43" s="230"/>
      <c r="J43" s="226"/>
      <c r="K43" s="226"/>
      <c r="L43" s="236"/>
      <c r="M43" s="226"/>
      <c r="N43" s="226"/>
      <c r="O43" s="226"/>
      <c r="P43" s="226"/>
      <c r="Q43" s="273"/>
      <c r="R43" s="236"/>
      <c r="S43" s="236"/>
      <c r="T43" s="1064"/>
      <c r="U43" s="238"/>
      <c r="V43" s="229"/>
      <c r="W43" s="226"/>
      <c r="X43" s="1064"/>
      <c r="Y43" s="1064"/>
      <c r="Z43" s="1064"/>
      <c r="AA43" s="1064"/>
      <c r="AB43" s="1064"/>
    </row>
    <row r="44" spans="1:28">
      <c r="A44" s="239"/>
      <c r="B44" s="271"/>
      <c r="C44" s="226"/>
      <c r="D44" s="228"/>
      <c r="E44" s="229"/>
      <c r="F44" s="226"/>
      <c r="G44" s="226"/>
      <c r="H44" s="226"/>
      <c r="I44" s="230"/>
      <c r="J44" s="226"/>
      <c r="K44" s="226"/>
      <c r="L44" s="236"/>
      <c r="M44" s="226"/>
      <c r="N44" s="226"/>
      <c r="O44" s="226"/>
      <c r="P44" s="226"/>
      <c r="Q44" s="273"/>
      <c r="R44" s="236"/>
      <c r="S44" s="236"/>
      <c r="T44" s="1064"/>
      <c r="U44" s="238"/>
      <c r="V44" s="229"/>
      <c r="W44" s="226"/>
      <c r="X44" s="1064"/>
      <c r="Y44" s="1064"/>
      <c r="Z44" s="1064"/>
      <c r="AA44" s="1064"/>
      <c r="AB44" s="1064"/>
    </row>
    <row r="45" spans="1:28">
      <c r="A45" s="239"/>
      <c r="B45" s="271"/>
      <c r="C45" s="226"/>
      <c r="D45" s="228"/>
      <c r="E45" s="229"/>
      <c r="F45" s="226"/>
      <c r="G45" s="226"/>
      <c r="H45" s="226"/>
      <c r="I45" s="230"/>
      <c r="J45" s="226"/>
      <c r="K45" s="226"/>
      <c r="L45" s="236"/>
      <c r="M45" s="226"/>
      <c r="N45" s="226"/>
      <c r="O45" s="226"/>
      <c r="P45" s="226"/>
      <c r="Q45" s="273"/>
      <c r="R45" s="236"/>
      <c r="S45" s="236"/>
      <c r="T45" s="1064"/>
      <c r="U45" s="238"/>
      <c r="V45" s="229"/>
      <c r="W45" s="226"/>
      <c r="X45" s="1064"/>
      <c r="Y45" s="1064"/>
      <c r="Z45" s="1064"/>
      <c r="AA45" s="1064"/>
      <c r="AB45" s="1064"/>
    </row>
    <row r="46" spans="1:28">
      <c r="A46" s="239"/>
      <c r="B46" s="271"/>
      <c r="C46" s="226">
        <f t="shared" ref="C46:C56" si="3">D46*E46</f>
        <v>0</v>
      </c>
      <c r="D46" s="228"/>
      <c r="E46" s="229"/>
      <c r="F46" s="226">
        <f t="shared" ref="F46:F56" si="4">D46*E46</f>
        <v>0</v>
      </c>
      <c r="G46" s="226"/>
      <c r="H46" s="226"/>
      <c r="I46" s="230"/>
      <c r="J46" s="226"/>
      <c r="K46" s="226"/>
      <c r="L46" s="236"/>
      <c r="M46" s="226"/>
      <c r="N46" s="226"/>
      <c r="O46" s="226"/>
      <c r="P46" s="226"/>
      <c r="Q46" s="273"/>
      <c r="R46" s="236"/>
      <c r="S46" s="236"/>
      <c r="T46" s="1064"/>
      <c r="U46" s="238"/>
      <c r="V46" s="229"/>
      <c r="W46" s="226">
        <f t="shared" ref="W46:W56" si="5">U46*V46</f>
        <v>0</v>
      </c>
      <c r="X46" s="1064"/>
      <c r="Y46" s="1064"/>
      <c r="Z46" s="1064"/>
      <c r="AA46" s="1064"/>
      <c r="AB46" s="1064"/>
    </row>
    <row r="47" spans="1:28">
      <c r="A47" s="239"/>
      <c r="B47" s="271"/>
      <c r="C47" s="226">
        <f t="shared" si="3"/>
        <v>0</v>
      </c>
      <c r="D47" s="228"/>
      <c r="E47" s="229"/>
      <c r="F47" s="226">
        <f t="shared" si="4"/>
        <v>0</v>
      </c>
      <c r="G47" s="226"/>
      <c r="H47" s="226"/>
      <c r="I47" s="230"/>
      <c r="J47" s="226"/>
      <c r="K47" s="226"/>
      <c r="L47" s="236"/>
      <c r="M47" s="226"/>
      <c r="N47" s="226"/>
      <c r="O47" s="226"/>
      <c r="P47" s="236"/>
      <c r="Q47" s="226"/>
      <c r="R47" s="236"/>
      <c r="S47" s="236"/>
      <c r="T47" s="1064"/>
      <c r="U47" s="238"/>
      <c r="V47" s="229"/>
      <c r="W47" s="226">
        <f t="shared" si="5"/>
        <v>0</v>
      </c>
      <c r="X47" s="1064"/>
      <c r="Y47" s="1064"/>
      <c r="Z47" s="1064"/>
      <c r="AA47" s="1064"/>
      <c r="AB47" s="1064"/>
    </row>
    <row r="48" spans="1:28">
      <c r="A48" s="239"/>
      <c r="B48" s="271"/>
      <c r="C48" s="226">
        <f t="shared" si="3"/>
        <v>0</v>
      </c>
      <c r="D48" s="228"/>
      <c r="E48" s="229"/>
      <c r="F48" s="226">
        <f t="shared" si="4"/>
        <v>0</v>
      </c>
      <c r="G48" s="226"/>
      <c r="H48" s="226"/>
      <c r="I48" s="230"/>
      <c r="J48" s="226"/>
      <c r="K48" s="226"/>
      <c r="L48" s="236"/>
      <c r="M48" s="226"/>
      <c r="N48" s="226"/>
      <c r="O48" s="226"/>
      <c r="P48" s="236"/>
      <c r="Q48" s="226"/>
      <c r="R48" s="236"/>
      <c r="S48" s="236"/>
      <c r="T48" s="1064"/>
      <c r="U48" s="238"/>
      <c r="V48" s="229"/>
      <c r="W48" s="226">
        <f t="shared" si="5"/>
        <v>0</v>
      </c>
      <c r="X48" s="1064"/>
      <c r="Y48" s="1064"/>
      <c r="Z48" s="1064"/>
      <c r="AA48" s="1064"/>
      <c r="AB48" s="1064"/>
    </row>
    <row r="49" spans="1:28">
      <c r="A49" s="239"/>
      <c r="B49" s="271"/>
      <c r="C49" s="226">
        <f t="shared" si="3"/>
        <v>0</v>
      </c>
      <c r="D49" s="228"/>
      <c r="E49" s="229"/>
      <c r="F49" s="226">
        <f t="shared" si="4"/>
        <v>0</v>
      </c>
      <c r="G49" s="226"/>
      <c r="H49" s="226"/>
      <c r="I49" s="230"/>
      <c r="J49" s="226"/>
      <c r="K49" s="226"/>
      <c r="L49" s="236"/>
      <c r="M49" s="226"/>
      <c r="N49" s="226"/>
      <c r="O49" s="226"/>
      <c r="P49" s="236"/>
      <c r="Q49" s="226"/>
      <c r="R49" s="236"/>
      <c r="S49" s="236"/>
      <c r="T49" s="1064"/>
      <c r="U49" s="238"/>
      <c r="V49" s="229"/>
      <c r="W49" s="226">
        <f t="shared" si="5"/>
        <v>0</v>
      </c>
      <c r="X49" s="1064"/>
      <c r="Y49" s="1064"/>
      <c r="Z49" s="1064"/>
      <c r="AA49" s="1064"/>
      <c r="AB49" s="1064"/>
    </row>
    <row r="50" spans="1:28">
      <c r="A50" s="239"/>
      <c r="B50" s="271"/>
      <c r="C50" s="226">
        <f t="shared" si="3"/>
        <v>0</v>
      </c>
      <c r="D50" s="228"/>
      <c r="E50" s="239"/>
      <c r="F50" s="226">
        <f t="shared" si="4"/>
        <v>0</v>
      </c>
      <c r="G50" s="226"/>
      <c r="H50" s="226"/>
      <c r="I50" s="230"/>
      <c r="J50" s="226"/>
      <c r="K50" s="226"/>
      <c r="L50" s="236"/>
      <c r="M50" s="226"/>
      <c r="N50" s="226"/>
      <c r="O50" s="226"/>
      <c r="P50" s="236"/>
      <c r="Q50" s="226"/>
      <c r="R50" s="236"/>
      <c r="S50" s="236"/>
      <c r="T50" s="1064"/>
      <c r="U50" s="238"/>
      <c r="V50" s="239"/>
      <c r="W50" s="226">
        <f t="shared" si="5"/>
        <v>0</v>
      </c>
      <c r="X50" s="1064"/>
      <c r="Y50" s="1064"/>
      <c r="Z50" s="1064"/>
      <c r="AA50" s="1064"/>
      <c r="AB50" s="1064"/>
    </row>
    <row r="51" spans="1:28">
      <c r="A51" s="239"/>
      <c r="B51" s="271"/>
      <c r="C51" s="226">
        <f t="shared" si="3"/>
        <v>0</v>
      </c>
      <c r="D51" s="228"/>
      <c r="E51" s="239"/>
      <c r="F51" s="226">
        <f t="shared" si="4"/>
        <v>0</v>
      </c>
      <c r="G51" s="226"/>
      <c r="H51" s="226"/>
      <c r="I51" s="230"/>
      <c r="J51" s="226"/>
      <c r="K51" s="226"/>
      <c r="L51" s="236"/>
      <c r="M51" s="226"/>
      <c r="N51" s="226"/>
      <c r="O51" s="226"/>
      <c r="P51" s="236"/>
      <c r="Q51" s="226"/>
      <c r="R51" s="236"/>
      <c r="S51" s="236"/>
      <c r="T51" s="1064"/>
      <c r="U51" s="238"/>
      <c r="V51" s="239"/>
      <c r="W51" s="226">
        <f t="shared" si="5"/>
        <v>0</v>
      </c>
      <c r="X51" s="1064"/>
      <c r="Y51" s="1064"/>
      <c r="Z51" s="1064"/>
      <c r="AA51" s="1064"/>
      <c r="AB51" s="1064"/>
    </row>
    <row r="52" spans="1:28">
      <c r="A52" s="239"/>
      <c r="B52" s="271"/>
      <c r="C52" s="226">
        <f t="shared" si="3"/>
        <v>0</v>
      </c>
      <c r="D52" s="228"/>
      <c r="E52" s="239"/>
      <c r="F52" s="226">
        <f t="shared" si="4"/>
        <v>0</v>
      </c>
      <c r="G52" s="226"/>
      <c r="H52" s="226"/>
      <c r="I52" s="230"/>
      <c r="J52" s="226"/>
      <c r="K52" s="226"/>
      <c r="L52" s="236"/>
      <c r="M52" s="226"/>
      <c r="N52" s="226"/>
      <c r="O52" s="226"/>
      <c r="P52" s="236"/>
      <c r="Q52" s="226"/>
      <c r="R52" s="236"/>
      <c r="S52" s="236"/>
      <c r="T52" s="1064"/>
      <c r="U52" s="238"/>
      <c r="V52" s="239"/>
      <c r="W52" s="226">
        <f t="shared" si="5"/>
        <v>0</v>
      </c>
      <c r="X52" s="1064"/>
      <c r="Y52" s="1064"/>
      <c r="Z52" s="1064"/>
      <c r="AA52" s="1064"/>
      <c r="AB52" s="1064"/>
    </row>
    <row r="53" spans="1:28">
      <c r="A53" s="239"/>
      <c r="B53" s="271"/>
      <c r="C53" s="226">
        <f t="shared" si="3"/>
        <v>0</v>
      </c>
      <c r="D53" s="228"/>
      <c r="E53" s="239"/>
      <c r="F53" s="226">
        <f t="shared" si="4"/>
        <v>0</v>
      </c>
      <c r="G53" s="226"/>
      <c r="H53" s="226"/>
      <c r="I53" s="230"/>
      <c r="J53" s="226"/>
      <c r="K53" s="226"/>
      <c r="L53" s="236"/>
      <c r="M53" s="226"/>
      <c r="N53" s="226"/>
      <c r="O53" s="226"/>
      <c r="P53" s="236"/>
      <c r="Q53" s="226"/>
      <c r="R53" s="236"/>
      <c r="S53" s="236"/>
      <c r="T53" s="1064"/>
      <c r="U53" s="238"/>
      <c r="V53" s="239"/>
      <c r="W53" s="226">
        <f t="shared" si="5"/>
        <v>0</v>
      </c>
      <c r="X53" s="1064"/>
      <c r="Y53" s="1064"/>
      <c r="Z53" s="1064"/>
      <c r="AA53" s="1064"/>
      <c r="AB53" s="1064"/>
    </row>
    <row r="54" spans="1:28">
      <c r="A54" s="239"/>
      <c r="B54" s="271"/>
      <c r="C54" s="226">
        <f t="shared" si="3"/>
        <v>0</v>
      </c>
      <c r="D54" s="228"/>
      <c r="E54" s="239"/>
      <c r="F54" s="226">
        <f t="shared" si="4"/>
        <v>0</v>
      </c>
      <c r="G54" s="226"/>
      <c r="H54" s="226"/>
      <c r="I54" s="230"/>
      <c r="J54" s="226"/>
      <c r="K54" s="226"/>
      <c r="L54" s="236"/>
      <c r="M54" s="226"/>
      <c r="N54" s="226"/>
      <c r="O54" s="226"/>
      <c r="P54" s="236"/>
      <c r="Q54" s="226"/>
      <c r="R54" s="236"/>
      <c r="S54" s="236"/>
      <c r="T54" s="1064"/>
      <c r="U54" s="238"/>
      <c r="V54" s="239"/>
      <c r="W54" s="226">
        <f t="shared" si="5"/>
        <v>0</v>
      </c>
      <c r="X54" s="1064"/>
      <c r="Y54" s="1064"/>
      <c r="Z54" s="1064"/>
      <c r="AA54" s="1064"/>
      <c r="AB54" s="1064"/>
    </row>
    <row r="55" spans="1:28">
      <c r="A55" s="239"/>
      <c r="B55" s="271"/>
      <c r="C55" s="226">
        <f t="shared" si="3"/>
        <v>0</v>
      </c>
      <c r="D55" s="228"/>
      <c r="E55" s="239"/>
      <c r="F55" s="226">
        <f t="shared" si="4"/>
        <v>0</v>
      </c>
      <c r="G55" s="226"/>
      <c r="H55" s="226"/>
      <c r="I55" s="230"/>
      <c r="J55" s="226"/>
      <c r="K55" s="226"/>
      <c r="L55" s="236"/>
      <c r="M55" s="226"/>
      <c r="N55" s="226"/>
      <c r="O55" s="226"/>
      <c r="P55" s="236"/>
      <c r="Q55" s="226"/>
      <c r="R55" s="236"/>
      <c r="S55" s="236"/>
      <c r="T55" s="1064"/>
      <c r="U55" s="238"/>
      <c r="V55" s="239"/>
      <c r="W55" s="226">
        <f t="shared" si="5"/>
        <v>0</v>
      </c>
      <c r="X55" s="1064"/>
      <c r="Y55" s="1064"/>
      <c r="Z55" s="1064"/>
      <c r="AA55" s="1064"/>
      <c r="AB55" s="1064"/>
    </row>
    <row r="56" spans="1:28">
      <c r="A56" s="239"/>
      <c r="B56" s="271"/>
      <c r="C56" s="226">
        <f t="shared" si="3"/>
        <v>0</v>
      </c>
      <c r="D56" s="228"/>
      <c r="E56" s="229"/>
      <c r="F56" s="226">
        <f t="shared" si="4"/>
        <v>0</v>
      </c>
      <c r="G56" s="226"/>
      <c r="H56" s="226"/>
      <c r="I56" s="226"/>
      <c r="J56" s="226"/>
      <c r="K56" s="226"/>
      <c r="L56" s="236"/>
      <c r="M56" s="226"/>
      <c r="N56" s="226"/>
      <c r="O56" s="226"/>
      <c r="P56" s="236"/>
      <c r="Q56" s="226"/>
      <c r="R56" s="236"/>
      <c r="S56" s="236"/>
      <c r="T56" s="1064"/>
      <c r="U56" s="238"/>
      <c r="V56" s="229"/>
      <c r="W56" s="226">
        <f t="shared" si="5"/>
        <v>0</v>
      </c>
      <c r="X56" s="1064"/>
      <c r="Y56" s="1064"/>
      <c r="Z56" s="1064"/>
      <c r="AA56" s="1064"/>
      <c r="AB56" s="1064"/>
    </row>
    <row r="57" spans="1:28">
      <c r="A57" s="274"/>
      <c r="B57" s="275" t="s">
        <v>17</v>
      </c>
      <c r="C57" s="892">
        <f t="shared" ref="C57:AB57" si="6">SUM(C15:C56)</f>
        <v>276000</v>
      </c>
      <c r="D57" s="892">
        <f t="shared" si="6"/>
        <v>276000</v>
      </c>
      <c r="E57" s="892">
        <f t="shared" si="6"/>
        <v>3</v>
      </c>
      <c r="F57" s="892">
        <f t="shared" si="6"/>
        <v>276000</v>
      </c>
      <c r="G57" s="892">
        <f t="shared" si="6"/>
        <v>0</v>
      </c>
      <c r="H57" s="892">
        <f t="shared" si="6"/>
        <v>0</v>
      </c>
      <c r="I57" s="892">
        <f t="shared" si="6"/>
        <v>90000</v>
      </c>
      <c r="J57" s="892">
        <f t="shared" si="6"/>
        <v>0</v>
      </c>
      <c r="K57" s="892">
        <f t="shared" si="6"/>
        <v>0</v>
      </c>
      <c r="L57" s="892">
        <f t="shared" si="6"/>
        <v>90000</v>
      </c>
      <c r="M57" s="892">
        <f t="shared" si="6"/>
        <v>0</v>
      </c>
      <c r="N57" s="892">
        <f t="shared" si="6"/>
        <v>0</v>
      </c>
      <c r="O57" s="892">
        <f t="shared" si="6"/>
        <v>0</v>
      </c>
      <c r="P57" s="892">
        <f t="shared" si="6"/>
        <v>0</v>
      </c>
      <c r="Q57" s="892">
        <f t="shared" si="6"/>
        <v>0</v>
      </c>
      <c r="R57" s="892">
        <f t="shared" si="6"/>
        <v>0</v>
      </c>
      <c r="S57" s="892">
        <f t="shared" si="6"/>
        <v>0</v>
      </c>
      <c r="T57" s="893">
        <f>W57-L57</f>
        <v>186000</v>
      </c>
      <c r="U57" s="892">
        <f t="shared" si="6"/>
        <v>276000</v>
      </c>
      <c r="V57" s="892">
        <f t="shared" si="6"/>
        <v>3</v>
      </c>
      <c r="W57" s="892">
        <f t="shared" si="6"/>
        <v>276000</v>
      </c>
      <c r="X57" s="892">
        <f t="shared" si="6"/>
        <v>72000</v>
      </c>
      <c r="Y57" s="892">
        <f t="shared" si="6"/>
        <v>0</v>
      </c>
      <c r="Z57" s="892">
        <f t="shared" si="6"/>
        <v>0</v>
      </c>
      <c r="AA57" s="892">
        <f t="shared" si="6"/>
        <v>0</v>
      </c>
      <c r="AB57" s="892">
        <f t="shared" si="6"/>
        <v>276000</v>
      </c>
    </row>
    <row r="58" spans="1:28">
      <c r="A58" s="277"/>
      <c r="B58" s="278"/>
      <c r="F58" s="279"/>
      <c r="G58" s="279"/>
      <c r="H58" s="279"/>
      <c r="I58" s="279"/>
      <c r="J58" s="279"/>
      <c r="K58" s="279"/>
      <c r="L58" s="279"/>
      <c r="M58" s="279"/>
      <c r="N58" s="279"/>
      <c r="P58" s="279"/>
      <c r="Q58" s="247"/>
      <c r="R58" s="247"/>
      <c r="W58" s="279"/>
    </row>
    <row r="59" spans="1:28">
      <c r="A59" s="280"/>
      <c r="B59" s="278"/>
      <c r="F59" s="279"/>
      <c r="G59" s="279"/>
      <c r="H59" s="279"/>
      <c r="I59" s="279"/>
      <c r="J59" s="279"/>
      <c r="K59" s="279"/>
      <c r="L59" s="279"/>
      <c r="M59" s="279"/>
      <c r="N59" s="279"/>
      <c r="P59" s="279"/>
      <c r="Q59" s="247"/>
      <c r="R59" s="247"/>
      <c r="W59" s="279"/>
    </row>
    <row r="60" spans="1:28">
      <c r="F60" s="279"/>
      <c r="R60" s="247"/>
      <c r="W60" s="279"/>
    </row>
    <row r="61" spans="1:28">
      <c r="F61" s="279"/>
      <c r="R61" s="247"/>
      <c r="W61" s="279"/>
    </row>
    <row r="62" spans="1:28">
      <c r="R62" s="247"/>
    </row>
    <row r="63" spans="1:28">
      <c r="A63" s="247" t="s">
        <v>59</v>
      </c>
      <c r="F63" s="279"/>
      <c r="W63" s="279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33" type="noConversion"/>
  <conditionalFormatting sqref="U8:W9 X8:AB12">
    <cfRule type="cellIs" dxfId="37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8"/>
  <dimension ref="A1:AE55"/>
  <sheetViews>
    <sheetView showGridLines="0" showZeros="0" topLeftCell="K1" zoomScaleNormal="100" workbookViewId="0">
      <selection activeCell="Z16" sqref="Z16:Z20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8.3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516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515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201100790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514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928"/>
      <c r="B7" s="1066"/>
      <c r="C7" s="926"/>
      <c r="D7" s="926"/>
      <c r="E7" s="926"/>
      <c r="F7" s="923"/>
      <c r="G7" s="923"/>
      <c r="H7" s="930"/>
      <c r="I7" s="931"/>
      <c r="J7" s="932"/>
      <c r="K7" s="927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10.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735"/>
      <c r="V9" s="734"/>
      <c r="W9" s="733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67" t="s">
        <v>86</v>
      </c>
      <c r="Y13" s="967"/>
      <c r="Z13" s="967"/>
      <c r="AA13" s="967"/>
      <c r="AB13" s="967"/>
    </row>
    <row r="14" spans="1:31">
      <c r="A14" s="723"/>
      <c r="B14" s="728"/>
      <c r="C14" s="724"/>
      <c r="D14" s="727"/>
      <c r="E14" s="723"/>
      <c r="F14" s="726"/>
      <c r="G14" s="726"/>
      <c r="H14" s="726"/>
      <c r="I14" s="726"/>
      <c r="J14" s="726"/>
      <c r="K14" s="726"/>
      <c r="L14" s="726"/>
      <c r="M14" s="726"/>
      <c r="N14" s="726"/>
      <c r="O14" s="724"/>
      <c r="P14" s="726"/>
      <c r="Q14" s="724"/>
      <c r="R14" s="724"/>
      <c r="S14" s="725"/>
      <c r="T14" s="722"/>
      <c r="U14" s="724"/>
      <c r="V14" s="723"/>
      <c r="W14" s="726"/>
      <c r="X14" s="722"/>
      <c r="Y14" s="722"/>
      <c r="Z14" s="722"/>
      <c r="AA14" s="722"/>
      <c r="AB14" s="722"/>
    </row>
    <row r="15" spans="1:31" ht="13.5" customHeight="1">
      <c r="A15" s="729"/>
      <c r="B15" s="728"/>
      <c r="C15" s="699">
        <f>D15*E15</f>
        <v>0</v>
      </c>
      <c r="D15" s="727"/>
      <c r="E15" s="723"/>
      <c r="F15" s="699">
        <f>D15*E15</f>
        <v>0</v>
      </c>
      <c r="G15" s="726"/>
      <c r="H15" s="726"/>
      <c r="I15" s="726"/>
      <c r="J15" s="726"/>
      <c r="K15" s="726"/>
      <c r="L15" s="726"/>
      <c r="M15" s="726"/>
      <c r="N15" s="726"/>
      <c r="O15" s="724"/>
      <c r="P15" s="726"/>
      <c r="Q15" s="724"/>
      <c r="R15" s="724"/>
      <c r="S15" s="725"/>
      <c r="T15" s="722"/>
      <c r="U15" s="724"/>
      <c r="V15" s="723"/>
      <c r="W15" s="699">
        <f>U15*V15</f>
        <v>0</v>
      </c>
      <c r="X15" s="722"/>
      <c r="Y15" s="722"/>
      <c r="Z15" s="722"/>
      <c r="AA15" s="722"/>
      <c r="AB15" s="722"/>
    </row>
    <row r="16" spans="1:31" ht="37.5" customHeight="1">
      <c r="A16" s="700">
        <v>1</v>
      </c>
      <c r="B16" s="718" t="s">
        <v>100</v>
      </c>
      <c r="C16" s="699">
        <f>D16*E16</f>
        <v>72000</v>
      </c>
      <c r="D16" s="699">
        <f>60000*1.2</f>
        <v>72000</v>
      </c>
      <c r="E16" s="700">
        <v>1</v>
      </c>
      <c r="F16" s="699">
        <f>D16*E16</f>
        <v>72000</v>
      </c>
      <c r="G16" s="699">
        <v>3313.44</v>
      </c>
      <c r="H16" s="699" t="s">
        <v>364</v>
      </c>
      <c r="I16" s="716">
        <f>W16</f>
        <v>72000</v>
      </c>
      <c r="J16" s="716"/>
      <c r="K16" s="716"/>
      <c r="L16" s="716">
        <f>+I16-J16+K16</f>
        <v>72000</v>
      </c>
      <c r="M16" s="716"/>
      <c r="N16" s="699">
        <f>G16</f>
        <v>3313.44</v>
      </c>
      <c r="O16" s="716">
        <v>1</v>
      </c>
      <c r="P16" s="699">
        <f>O16*U16</f>
        <v>72000</v>
      </c>
      <c r="Q16" s="716"/>
      <c r="R16" s="706"/>
      <c r="S16" s="706">
        <f>P16-R16</f>
        <v>72000</v>
      </c>
      <c r="T16" s="721"/>
      <c r="U16" s="699">
        <f>60000*1.2</f>
        <v>72000</v>
      </c>
      <c r="V16" s="700">
        <v>1</v>
      </c>
      <c r="W16" s="699">
        <f>U16*V16</f>
        <v>72000</v>
      </c>
      <c r="X16" s="1506">
        <v>72000</v>
      </c>
      <c r="Y16" s="1504">
        <v>3313.44</v>
      </c>
      <c r="Z16" s="1508">
        <v>72000</v>
      </c>
      <c r="AA16" s="1508"/>
      <c r="AB16" s="1509">
        <v>72000</v>
      </c>
    </row>
    <row r="17" spans="1:31" hidden="1">
      <c r="A17" s="976"/>
      <c r="B17" s="720"/>
      <c r="C17" s="699"/>
      <c r="D17" s="699"/>
      <c r="E17" s="719"/>
      <c r="F17" s="699"/>
      <c r="G17" s="699"/>
      <c r="H17" s="716"/>
      <c r="I17" s="716"/>
      <c r="J17" s="716"/>
      <c r="K17" s="716"/>
      <c r="L17" s="716">
        <f>+I17-J17+K17</f>
        <v>0</v>
      </c>
      <c r="M17" s="716"/>
      <c r="N17" s="699">
        <f>G17</f>
        <v>0</v>
      </c>
      <c r="O17" s="716"/>
      <c r="P17" s="699"/>
      <c r="Q17" s="716"/>
      <c r="R17" s="706"/>
      <c r="S17" s="706"/>
      <c r="T17" s="698"/>
      <c r="U17" s="699"/>
      <c r="V17" s="719"/>
      <c r="W17" s="699"/>
      <c r="X17" s="1506">
        <v>0</v>
      </c>
      <c r="Y17" s="1504">
        <v>0</v>
      </c>
      <c r="Z17" s="1508"/>
      <c r="AA17" s="1508"/>
      <c r="AB17" s="1510"/>
      <c r="AC17" s="686"/>
      <c r="AD17" s="686"/>
      <c r="AE17" s="686"/>
    </row>
    <row r="18" spans="1:31" hidden="1">
      <c r="A18" s="977"/>
      <c r="B18" s="720"/>
      <c r="C18" s="699"/>
      <c r="D18" s="699"/>
      <c r="E18" s="719"/>
      <c r="F18" s="699"/>
      <c r="G18" s="699"/>
      <c r="H18" s="716"/>
      <c r="I18" s="716"/>
      <c r="J18" s="716"/>
      <c r="K18" s="716"/>
      <c r="L18" s="716">
        <f>+I18-J18+K18</f>
        <v>0</v>
      </c>
      <c r="M18" s="716"/>
      <c r="N18" s="699">
        <f>G18</f>
        <v>0</v>
      </c>
      <c r="O18" s="716"/>
      <c r="P18" s="699"/>
      <c r="Q18" s="716"/>
      <c r="R18" s="706"/>
      <c r="S18" s="706"/>
      <c r="T18" s="698"/>
      <c r="U18" s="699"/>
      <c r="V18" s="719"/>
      <c r="W18" s="699"/>
      <c r="X18" s="1506">
        <v>0</v>
      </c>
      <c r="Y18" s="1504">
        <v>0</v>
      </c>
      <c r="Z18" s="1508"/>
      <c r="AA18" s="1508"/>
      <c r="AB18" s="15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0">D19*E19</f>
        <v>84000</v>
      </c>
      <c r="D19" s="699">
        <f>70000*1.2</f>
        <v>84000</v>
      </c>
      <c r="E19" s="700">
        <v>1</v>
      </c>
      <c r="F19" s="699">
        <f t="shared" ref="F19:F48" si="1">D19*E19</f>
        <v>84000</v>
      </c>
      <c r="G19" s="702">
        <v>58285.71</v>
      </c>
      <c r="H19" s="702" t="s">
        <v>513</v>
      </c>
      <c r="I19" s="716">
        <f>W19</f>
        <v>84000</v>
      </c>
      <c r="J19" s="702"/>
      <c r="K19" s="702"/>
      <c r="L19" s="716">
        <f>+I19-J19+K19</f>
        <v>84000</v>
      </c>
      <c r="M19" s="702"/>
      <c r="N19" s="699">
        <f>G19</f>
        <v>58285.71</v>
      </c>
      <c r="O19" s="702"/>
      <c r="P19" s="717">
        <v>84000</v>
      </c>
      <c r="Q19" s="711"/>
      <c r="R19" s="699"/>
      <c r="S19" s="702"/>
      <c r="T19" s="702"/>
      <c r="U19" s="699">
        <f>70000*1.2</f>
        <v>84000</v>
      </c>
      <c r="V19" s="700">
        <v>1</v>
      </c>
      <c r="W19" s="699">
        <f t="shared" ref="W19:W48" si="2">U19*V19</f>
        <v>84000</v>
      </c>
      <c r="X19" s="1506">
        <v>84000</v>
      </c>
      <c r="Y19" s="1504">
        <v>58285.71</v>
      </c>
      <c r="Z19" s="1505">
        <v>84000</v>
      </c>
      <c r="AA19" s="1505"/>
      <c r="AB19" s="1509">
        <v>84000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0"/>
        <v>48000</v>
      </c>
      <c r="D20" s="699">
        <f>40000*1.2</f>
        <v>48000</v>
      </c>
      <c r="E20" s="700">
        <v>1</v>
      </c>
      <c r="F20" s="699">
        <f t="shared" si="1"/>
        <v>48000</v>
      </c>
      <c r="G20" s="702"/>
      <c r="H20" s="702"/>
      <c r="I20" s="716">
        <f>W20</f>
        <v>48000</v>
      </c>
      <c r="J20" s="702"/>
      <c r="K20" s="702"/>
      <c r="L20" s="716">
        <f>+I20-J20+K20</f>
        <v>48000</v>
      </c>
      <c r="M20" s="702"/>
      <c r="N20" s="702"/>
      <c r="O20" s="702"/>
      <c r="P20" s="699">
        <v>48000</v>
      </c>
      <c r="Q20" s="711"/>
      <c r="R20" s="702"/>
      <c r="S20" s="702"/>
      <c r="T20" s="702"/>
      <c r="U20" s="699">
        <f>40000*1.2</f>
        <v>48000</v>
      </c>
      <c r="V20" s="700">
        <v>1</v>
      </c>
      <c r="W20" s="699">
        <f t="shared" si="2"/>
        <v>48000</v>
      </c>
      <c r="X20" s="1506">
        <v>48000</v>
      </c>
      <c r="Y20" s="1505"/>
      <c r="Z20" s="1505">
        <v>48000</v>
      </c>
      <c r="AA20" s="1505"/>
      <c r="AB20" s="1509">
        <v>48000</v>
      </c>
      <c r="AC20" s="686"/>
      <c r="AD20" s="686"/>
      <c r="AE20" s="686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9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698"/>
      <c r="U34" s="701"/>
      <c r="V34" s="700"/>
      <c r="W34" s="699">
        <f t="shared" si="2"/>
        <v>0</v>
      </c>
      <c r="X34" s="698"/>
      <c r="Y34" s="698"/>
      <c r="Z34" s="698"/>
      <c r="AA34" s="698"/>
      <c r="AB34" s="698"/>
      <c r="AC34" s="686"/>
      <c r="AD34" s="686"/>
      <c r="AE34" s="686"/>
    </row>
    <row r="35" spans="1:31">
      <c r="A35" s="705"/>
      <c r="B35" s="704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698"/>
      <c r="U35" s="701"/>
      <c r="V35" s="700"/>
      <c r="W35" s="699">
        <f t="shared" si="2"/>
        <v>0</v>
      </c>
      <c r="X35" s="698"/>
      <c r="Y35" s="698"/>
      <c r="Z35" s="698"/>
      <c r="AA35" s="698"/>
      <c r="AB35" s="698"/>
      <c r="AC35" s="686"/>
      <c r="AD35" s="686"/>
      <c r="AE35" s="686"/>
    </row>
    <row r="36" spans="1:31">
      <c r="A36" s="705"/>
      <c r="B36" s="704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698"/>
      <c r="U36" s="701"/>
      <c r="V36" s="700"/>
      <c r="W36" s="699">
        <f t="shared" si="2"/>
        <v>0</v>
      </c>
      <c r="X36" s="698"/>
      <c r="Y36" s="698"/>
      <c r="Z36" s="698"/>
      <c r="AA36" s="698"/>
      <c r="AB36" s="698"/>
      <c r="AC36" s="686"/>
      <c r="AD36" s="686"/>
      <c r="AE36" s="686"/>
    </row>
    <row r="37" spans="1:31">
      <c r="A37" s="705"/>
      <c r="B37" s="704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698"/>
      <c r="U37" s="701"/>
      <c r="V37" s="700"/>
      <c r="W37" s="699">
        <f t="shared" si="2"/>
        <v>0</v>
      </c>
      <c r="X37" s="698"/>
      <c r="Y37" s="698"/>
      <c r="Z37" s="698"/>
      <c r="AA37" s="698"/>
      <c r="AB37" s="698"/>
      <c r="AC37" s="686"/>
      <c r="AD37" s="686"/>
      <c r="AE37" s="686"/>
    </row>
    <row r="38" spans="1:31">
      <c r="A38" s="705"/>
      <c r="B38" s="704"/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698"/>
      <c r="U38" s="701"/>
      <c r="V38" s="700"/>
      <c r="W38" s="699">
        <f t="shared" si="2"/>
        <v>0</v>
      </c>
      <c r="X38" s="698"/>
      <c r="Y38" s="698"/>
      <c r="Z38" s="698"/>
      <c r="AA38" s="698"/>
      <c r="AB38" s="698"/>
      <c r="AC38" s="686"/>
      <c r="AD38" s="686"/>
      <c r="AE38" s="686"/>
    </row>
    <row r="39" spans="1:31">
      <c r="A39" s="705"/>
      <c r="B39" s="704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698"/>
      <c r="U39" s="701"/>
      <c r="V39" s="700"/>
      <c r="W39" s="699">
        <f t="shared" si="2"/>
        <v>0</v>
      </c>
      <c r="X39" s="698"/>
      <c r="Y39" s="698"/>
      <c r="Z39" s="698"/>
      <c r="AA39" s="698"/>
      <c r="AB39" s="698"/>
      <c r="AC39" s="686"/>
      <c r="AD39" s="686"/>
      <c r="AE39" s="686"/>
    </row>
    <row r="40" spans="1:31">
      <c r="A40" s="705"/>
      <c r="B40" s="704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698"/>
      <c r="U40" s="701"/>
      <c r="V40" s="700"/>
      <c r="W40" s="699">
        <f t="shared" si="2"/>
        <v>0</v>
      </c>
      <c r="X40" s="698"/>
      <c r="Y40" s="698"/>
      <c r="Z40" s="698"/>
      <c r="AA40" s="698"/>
      <c r="AB40" s="698"/>
      <c r="AC40" s="686"/>
      <c r="AD40" s="686"/>
      <c r="AE40" s="686"/>
    </row>
    <row r="41" spans="1:31">
      <c r="A41" s="705"/>
      <c r="B41" s="704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698"/>
      <c r="U41" s="701"/>
      <c r="V41" s="700"/>
      <c r="W41" s="699">
        <f t="shared" si="2"/>
        <v>0</v>
      </c>
      <c r="X41" s="698"/>
      <c r="Y41" s="698"/>
      <c r="Z41" s="698"/>
      <c r="AA41" s="698"/>
      <c r="AB41" s="698"/>
      <c r="AC41" s="686"/>
      <c r="AD41" s="686"/>
      <c r="AE41" s="686"/>
    </row>
    <row r="42" spans="1:31">
      <c r="A42" s="705"/>
      <c r="B42" s="704" t="s">
        <v>512</v>
      </c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>
        <v>136998.32999999999</v>
      </c>
      <c r="R42" s="702"/>
      <c r="S42" s="702"/>
      <c r="T42" s="698"/>
      <c r="U42" s="701"/>
      <c r="V42" s="705"/>
      <c r="W42" s="699">
        <f t="shared" si="2"/>
        <v>0</v>
      </c>
      <c r="X42" s="698"/>
      <c r="Y42" s="698"/>
      <c r="Z42" s="698"/>
      <c r="AA42" s="698"/>
      <c r="AB42" s="698"/>
      <c r="AC42" s="686"/>
      <c r="AD42" s="686"/>
      <c r="AE42" s="686"/>
    </row>
    <row r="43" spans="1:31">
      <c r="A43" s="705"/>
      <c r="B43" s="704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698"/>
      <c r="U43" s="701"/>
      <c r="V43" s="705"/>
      <c r="W43" s="699">
        <f t="shared" si="2"/>
        <v>0</v>
      </c>
      <c r="X43" s="698"/>
      <c r="Y43" s="698"/>
      <c r="Z43" s="698"/>
      <c r="AA43" s="698"/>
      <c r="AB43" s="698"/>
      <c r="AC43" s="686"/>
      <c r="AD43" s="686"/>
      <c r="AE43" s="686"/>
    </row>
    <row r="44" spans="1:31">
      <c r="A44" s="705"/>
      <c r="B44" s="704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698"/>
      <c r="U44" s="701"/>
      <c r="V44" s="705"/>
      <c r="W44" s="699">
        <f t="shared" si="2"/>
        <v>0</v>
      </c>
      <c r="X44" s="698"/>
      <c r="Y44" s="698"/>
      <c r="Z44" s="698"/>
      <c r="AA44" s="698"/>
      <c r="AB44" s="698"/>
      <c r="AC44" s="686"/>
      <c r="AD44" s="686"/>
      <c r="AE44" s="686"/>
    </row>
    <row r="45" spans="1:31">
      <c r="A45" s="705"/>
      <c r="B45" s="704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698"/>
      <c r="U45" s="701"/>
      <c r="V45" s="705"/>
      <c r="W45" s="699">
        <f t="shared" si="2"/>
        <v>0</v>
      </c>
      <c r="X45" s="698"/>
      <c r="Y45" s="698"/>
      <c r="Z45" s="698"/>
      <c r="AA45" s="698"/>
      <c r="AB45" s="698"/>
      <c r="AC45" s="686"/>
      <c r="AD45" s="686"/>
      <c r="AE45" s="686"/>
    </row>
    <row r="46" spans="1:31">
      <c r="A46" s="705"/>
      <c r="B46" s="704"/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698"/>
      <c r="U46" s="701"/>
      <c r="V46" s="705"/>
      <c r="W46" s="699">
        <f t="shared" si="2"/>
        <v>0</v>
      </c>
      <c r="X46" s="698"/>
      <c r="Y46" s="698"/>
      <c r="Z46" s="698"/>
      <c r="AA46" s="698"/>
      <c r="AB46" s="698"/>
      <c r="AC46" s="686"/>
      <c r="AD46" s="686"/>
      <c r="AE46" s="686"/>
    </row>
    <row r="47" spans="1:31">
      <c r="A47" s="705"/>
      <c r="B47" s="704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698"/>
      <c r="U47" s="701"/>
      <c r="V47" s="705"/>
      <c r="W47" s="699">
        <f t="shared" si="2"/>
        <v>0</v>
      </c>
      <c r="X47" s="698"/>
      <c r="Y47" s="698"/>
      <c r="Z47" s="698"/>
      <c r="AA47" s="698"/>
      <c r="AB47" s="698"/>
      <c r="AC47" s="686"/>
      <c r="AD47" s="686"/>
      <c r="AE47" s="686"/>
    </row>
    <row r="48" spans="1:31">
      <c r="A48" s="705"/>
      <c r="B48" s="704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698"/>
      <c r="U48" s="701"/>
      <c r="V48" s="700"/>
      <c r="W48" s="699">
        <f t="shared" si="2"/>
        <v>0</v>
      </c>
      <c r="X48" s="698"/>
      <c r="Y48" s="698"/>
      <c r="Z48" s="698"/>
      <c r="AA48" s="698"/>
      <c r="AB48" s="698"/>
      <c r="AC48" s="686"/>
      <c r="AD48" s="686"/>
      <c r="AE48" s="686"/>
    </row>
    <row r="49" spans="1:31">
      <c r="A49" s="697"/>
      <c r="B49" s="696" t="s">
        <v>17</v>
      </c>
      <c r="C49" s="695">
        <f>SUM(C15:C48)</f>
        <v>204000</v>
      </c>
      <c r="D49" s="693"/>
      <c r="E49" s="693"/>
      <c r="F49" s="693">
        <f>SUM(F15:F48)</f>
        <v>204000</v>
      </c>
      <c r="G49" s="693">
        <f>SUM(G16:G48)</f>
        <v>61599.15</v>
      </c>
      <c r="H49" s="693">
        <f>SUM(H16:H48)</f>
        <v>0</v>
      </c>
      <c r="I49" s="693">
        <f>SUM(I17:I48)</f>
        <v>132000</v>
      </c>
      <c r="J49" s="693">
        <f>SUM(J16:J48)</f>
        <v>0</v>
      </c>
      <c r="K49" s="693">
        <f>SUM(K16:K48)</f>
        <v>0</v>
      </c>
      <c r="L49" s="693">
        <f>SUM(L16:L48)</f>
        <v>204000</v>
      </c>
      <c r="M49" s="693">
        <f>SUM(M16:M48)</f>
        <v>0</v>
      </c>
      <c r="N49" s="693">
        <f>SUM(N16:N48)</f>
        <v>61599.15</v>
      </c>
      <c r="O49" s="693"/>
      <c r="P49" s="693">
        <f>SUM(P16:P48)</f>
        <v>204000</v>
      </c>
      <c r="Q49" s="693"/>
      <c r="R49" s="693">
        <f>SUM(R19:R19)</f>
        <v>0</v>
      </c>
      <c r="S49" s="693">
        <f>SUM(S16:S48)</f>
        <v>72000</v>
      </c>
      <c r="T49" s="694">
        <f>W49-L49</f>
        <v>0</v>
      </c>
      <c r="U49" s="693"/>
      <c r="V49" s="693"/>
      <c r="W49" s="693">
        <f>SUM(W14:W48)</f>
        <v>204000</v>
      </c>
      <c r="X49" s="693">
        <f>SUM(X16:X48)</f>
        <v>204000</v>
      </c>
      <c r="Y49" s="693">
        <f>SUM(Y16:Y48)</f>
        <v>61599.15</v>
      </c>
      <c r="Z49" s="693">
        <f>SUM(Z16:Z48)</f>
        <v>204000</v>
      </c>
      <c r="AA49" s="693">
        <f>SUM(AA16:AA48)</f>
        <v>0</v>
      </c>
      <c r="AB49" s="693">
        <f>SUM(AB16:AB48)</f>
        <v>204000</v>
      </c>
      <c r="AC49" s="686"/>
      <c r="AD49" s="686"/>
      <c r="AE49" s="686"/>
    </row>
    <row r="50" spans="1:31">
      <c r="A50" s="985"/>
      <c r="B50" s="1067"/>
      <c r="C50" s="720"/>
      <c r="D50" s="720"/>
      <c r="E50" s="720"/>
      <c r="F50" s="979"/>
      <c r="G50" s="979"/>
      <c r="H50" s="979"/>
      <c r="I50" s="979"/>
      <c r="J50" s="979"/>
      <c r="K50" s="979"/>
      <c r="L50" s="979"/>
      <c r="M50" s="979"/>
      <c r="N50" s="979"/>
      <c r="O50" s="720"/>
      <c r="P50" s="979"/>
      <c r="Q50" s="720"/>
      <c r="R50" s="720"/>
      <c r="S50" s="980"/>
      <c r="T50" s="980"/>
      <c r="U50" s="720"/>
      <c r="V50" s="720"/>
      <c r="W50" s="979"/>
      <c r="X50" s="980"/>
      <c r="Y50" s="980"/>
      <c r="Z50" s="980"/>
      <c r="AA50" s="980"/>
      <c r="AB50" s="980"/>
      <c r="AC50" s="686"/>
      <c r="AD50" s="686"/>
      <c r="AE50" s="686"/>
    </row>
    <row r="51" spans="1:31">
      <c r="A51" s="985"/>
      <c r="B51" s="1067"/>
      <c r="C51" s="720"/>
      <c r="D51" s="720"/>
      <c r="E51" s="720"/>
      <c r="F51" s="979"/>
      <c r="G51" s="979"/>
      <c r="H51" s="979"/>
      <c r="I51" s="979"/>
      <c r="J51" s="979"/>
      <c r="K51" s="979"/>
      <c r="L51" s="979"/>
      <c r="M51" s="979"/>
      <c r="N51" s="979"/>
      <c r="O51" s="720"/>
      <c r="P51" s="979"/>
      <c r="Q51" s="720"/>
      <c r="R51" s="720"/>
      <c r="S51" s="980"/>
      <c r="T51" s="980"/>
      <c r="U51" s="720"/>
      <c r="V51" s="720"/>
      <c r="W51" s="979"/>
      <c r="X51" s="980"/>
      <c r="Y51" s="980"/>
      <c r="Z51" s="980"/>
      <c r="AA51" s="980"/>
      <c r="AB51" s="980"/>
      <c r="AC51" s="686"/>
      <c r="AD51" s="686"/>
      <c r="AE51" s="686"/>
    </row>
    <row r="52" spans="1:31">
      <c r="A52" s="720"/>
      <c r="B52" s="720"/>
      <c r="C52" s="720"/>
      <c r="D52" s="720"/>
      <c r="E52" s="720"/>
      <c r="F52" s="979"/>
      <c r="G52" s="720"/>
      <c r="H52" s="720"/>
      <c r="I52" s="720"/>
      <c r="J52" s="720"/>
      <c r="K52" s="720"/>
      <c r="L52" s="720"/>
      <c r="M52" s="720"/>
      <c r="N52" s="720"/>
      <c r="O52" s="720"/>
      <c r="P52" s="720">
        <v>156000</v>
      </c>
      <c r="Q52" s="980">
        <v>136998.32999999999</v>
      </c>
      <c r="R52" s="720"/>
      <c r="S52" s="980"/>
      <c r="T52" s="980"/>
      <c r="U52" s="720"/>
      <c r="V52" s="720"/>
      <c r="W52" s="979"/>
      <c r="X52" s="980"/>
      <c r="Y52" s="980"/>
      <c r="Z52" s="980"/>
      <c r="AA52" s="980"/>
      <c r="AB52" s="980"/>
      <c r="AC52" s="686"/>
      <c r="AD52" s="686"/>
      <c r="AE52" s="686"/>
    </row>
    <row r="53" spans="1:31">
      <c r="A53" s="720"/>
      <c r="B53" s="720"/>
      <c r="C53" s="720"/>
      <c r="D53" s="720"/>
      <c r="E53" s="720"/>
      <c r="F53" s="979"/>
      <c r="G53" s="720"/>
      <c r="H53" s="720"/>
      <c r="I53" s="720"/>
      <c r="J53" s="720"/>
      <c r="K53" s="720"/>
      <c r="L53" s="720"/>
      <c r="M53" s="720"/>
      <c r="N53" s="720"/>
      <c r="O53" s="720"/>
      <c r="P53" s="720">
        <f>+P52*0.9</f>
        <v>140400</v>
      </c>
      <c r="Q53" s="980"/>
      <c r="R53" s="720"/>
      <c r="S53" s="980"/>
      <c r="T53" s="980"/>
      <c r="U53" s="720"/>
      <c r="V53" s="720"/>
      <c r="W53" s="979"/>
      <c r="X53" s="980"/>
      <c r="Y53" s="980"/>
      <c r="Z53" s="980"/>
      <c r="AA53" s="980"/>
      <c r="AB53" s="980"/>
      <c r="AC53" s="686"/>
      <c r="AD53" s="686"/>
      <c r="AE53" s="686"/>
    </row>
    <row r="54" spans="1:31">
      <c r="A54" s="720"/>
      <c r="B54" s="720"/>
      <c r="C54" s="720"/>
      <c r="D54" s="720"/>
      <c r="E54" s="720"/>
      <c r="F54" s="720"/>
      <c r="G54" s="720"/>
      <c r="H54" s="720"/>
      <c r="I54" s="720"/>
      <c r="J54" s="720"/>
      <c r="K54" s="720"/>
      <c r="L54" s="720"/>
      <c r="M54" s="720"/>
      <c r="N54" s="720"/>
      <c r="O54" s="720"/>
      <c r="P54" s="720"/>
      <c r="Q54" s="720">
        <f>+P52-Q52</f>
        <v>19001.670000000013</v>
      </c>
      <c r="R54" s="720"/>
      <c r="S54" s="980"/>
      <c r="T54" s="980"/>
      <c r="U54" s="720"/>
      <c r="V54" s="720"/>
      <c r="W54" s="720"/>
      <c r="X54" s="980"/>
      <c r="Y54" s="980"/>
      <c r="Z54" s="980"/>
      <c r="AA54" s="980"/>
      <c r="AB54" s="980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6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6"/>
  <dimension ref="A1:AE55"/>
  <sheetViews>
    <sheetView showGridLines="0" showZeros="0" topLeftCell="L1" zoomScaleNormal="100" workbookViewId="0">
      <selection activeCell="Z27" sqref="Z27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521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515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201100789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520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723"/>
      <c r="B14" s="728"/>
      <c r="C14" s="724"/>
      <c r="D14" s="727"/>
      <c r="E14" s="723"/>
      <c r="F14" s="726"/>
      <c r="G14" s="726"/>
      <c r="H14" s="726"/>
      <c r="I14" s="726"/>
      <c r="J14" s="726"/>
      <c r="K14" s="726"/>
      <c r="L14" s="726"/>
      <c r="M14" s="726"/>
      <c r="N14" s="726"/>
      <c r="O14" s="724"/>
      <c r="P14" s="726"/>
      <c r="Q14" s="724"/>
      <c r="R14" s="724"/>
      <c r="S14" s="725"/>
      <c r="T14" s="722"/>
      <c r="U14" s="724"/>
      <c r="V14" s="723"/>
      <c r="W14" s="726"/>
      <c r="X14" s="722"/>
      <c r="Y14" s="722"/>
      <c r="Z14" s="722"/>
      <c r="AA14" s="722"/>
      <c r="AB14" s="722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162000</v>
      </c>
      <c r="D16" s="699">
        <f>135000*1.2</f>
        <v>162000</v>
      </c>
      <c r="E16" s="700">
        <v>1</v>
      </c>
      <c r="F16" s="699">
        <f>D16*E16</f>
        <v>162000</v>
      </c>
      <c r="G16" s="699">
        <v>7200</v>
      </c>
      <c r="H16" s="716" t="s">
        <v>226</v>
      </c>
      <c r="I16" s="1068">
        <f>W16</f>
        <v>162000</v>
      </c>
      <c r="J16" s="716"/>
      <c r="K16" s="716"/>
      <c r="L16" s="716">
        <f>+I16-J16+K16</f>
        <v>162000</v>
      </c>
      <c r="M16" s="716"/>
      <c r="N16" s="699">
        <v>7200</v>
      </c>
      <c r="O16" s="716">
        <v>1</v>
      </c>
      <c r="P16" s="699">
        <f>O16*U16</f>
        <v>162000</v>
      </c>
      <c r="Q16" s="716"/>
      <c r="R16" s="706">
        <v>162000</v>
      </c>
      <c r="S16" s="706">
        <f>P16-R16</f>
        <v>0</v>
      </c>
      <c r="T16" s="721">
        <f>W16-L16</f>
        <v>0</v>
      </c>
      <c r="U16" s="699">
        <f>135000*1.2</f>
        <v>162000</v>
      </c>
      <c r="V16" s="700">
        <v>1</v>
      </c>
      <c r="W16" s="699">
        <f>U16*V16</f>
        <v>162000</v>
      </c>
      <c r="X16" s="699">
        <v>162000</v>
      </c>
      <c r="Y16" s="986">
        <v>7200</v>
      </c>
      <c r="Z16" s="986">
        <v>162000</v>
      </c>
      <c r="AA16" s="721"/>
      <c r="AB16" s="703">
        <v>162000</v>
      </c>
    </row>
    <row r="17" spans="1:31" hidden="1">
      <c r="A17" s="976"/>
      <c r="B17" s="720"/>
      <c r="C17" s="699"/>
      <c r="D17" s="699"/>
      <c r="E17" s="719"/>
      <c r="F17" s="699"/>
      <c r="G17" s="699"/>
      <c r="H17" s="716"/>
      <c r="I17" s="716"/>
      <c r="J17" s="716"/>
      <c r="K17" s="716"/>
      <c r="L17" s="716">
        <f>+I17-J17+K17</f>
        <v>0</v>
      </c>
      <c r="M17" s="716"/>
      <c r="N17" s="699"/>
      <c r="O17" s="716"/>
      <c r="P17" s="699"/>
      <c r="Q17" s="716"/>
      <c r="R17" s="706"/>
      <c r="S17" s="706"/>
      <c r="T17" s="721">
        <f>W17-L17</f>
        <v>0</v>
      </c>
      <c r="U17" s="699"/>
      <c r="V17" s="719"/>
      <c r="W17" s="699"/>
      <c r="X17" s="987">
        <v>0</v>
      </c>
      <c r="Y17" s="986">
        <v>0</v>
      </c>
      <c r="Z17" s="987"/>
      <c r="AA17" s="698"/>
      <c r="AB17" s="748"/>
      <c r="AC17" s="686"/>
      <c r="AD17" s="686"/>
      <c r="AE17" s="686"/>
    </row>
    <row r="18" spans="1:31" hidden="1">
      <c r="A18" s="977"/>
      <c r="B18" s="720"/>
      <c r="C18" s="699"/>
      <c r="D18" s="699"/>
      <c r="E18" s="719"/>
      <c r="F18" s="699"/>
      <c r="G18" s="699"/>
      <c r="H18" s="716"/>
      <c r="I18" s="716"/>
      <c r="J18" s="716"/>
      <c r="K18" s="716"/>
      <c r="L18" s="716">
        <f>+I18-J18+K18</f>
        <v>0</v>
      </c>
      <c r="M18" s="716"/>
      <c r="N18" s="699"/>
      <c r="O18" s="716"/>
      <c r="P18" s="699"/>
      <c r="Q18" s="716"/>
      <c r="R18" s="706"/>
      <c r="S18" s="706"/>
      <c r="T18" s="721">
        <f>W18-L18</f>
        <v>0</v>
      </c>
      <c r="U18" s="699"/>
      <c r="V18" s="719"/>
      <c r="W18" s="699"/>
      <c r="X18" s="987">
        <v>0</v>
      </c>
      <c r="Y18" s="986">
        <v>0</v>
      </c>
      <c r="Z18" s="987"/>
      <c r="AA18" s="698"/>
      <c r="AB18" s="748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0">D19*E19</f>
        <v>198000</v>
      </c>
      <c r="D19" s="699">
        <f>165000*1.2</f>
        <v>198000</v>
      </c>
      <c r="E19" s="700">
        <v>1</v>
      </c>
      <c r="F19" s="699">
        <f t="shared" ref="F19:F48" si="1">D19*E19</f>
        <v>198000</v>
      </c>
      <c r="G19" s="702">
        <v>88800</v>
      </c>
      <c r="H19" s="702" t="s">
        <v>519</v>
      </c>
      <c r="I19" s="716">
        <f>W19</f>
        <v>198000</v>
      </c>
      <c r="J19" s="702"/>
      <c r="K19" s="702"/>
      <c r="L19" s="716">
        <f>+I19-J19+K19</f>
        <v>198000</v>
      </c>
      <c r="M19" s="702"/>
      <c r="N19" s="702">
        <v>88800</v>
      </c>
      <c r="O19" s="702"/>
      <c r="P19" s="717">
        <v>198000</v>
      </c>
      <c r="Q19" s="711"/>
      <c r="R19" s="699">
        <v>198000</v>
      </c>
      <c r="S19" s="702"/>
      <c r="T19" s="721">
        <f>W19-L19</f>
        <v>0</v>
      </c>
      <c r="U19" s="699">
        <f>165000*1.2</f>
        <v>198000</v>
      </c>
      <c r="V19" s="700">
        <v>1</v>
      </c>
      <c r="W19" s="699">
        <f t="shared" ref="W19:W48" si="2">U19*V19</f>
        <v>198000</v>
      </c>
      <c r="X19" s="702">
        <v>198000</v>
      </c>
      <c r="Y19" s="986">
        <v>88800</v>
      </c>
      <c r="Z19" s="702">
        <v>198000</v>
      </c>
      <c r="AA19" s="702"/>
      <c r="AB19" s="703">
        <v>198000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0"/>
        <v>90000</v>
      </c>
      <c r="D20" s="699">
        <f>75000*1.2</f>
        <v>90000</v>
      </c>
      <c r="E20" s="700">
        <v>1</v>
      </c>
      <c r="F20" s="699">
        <f t="shared" si="1"/>
        <v>90000</v>
      </c>
      <c r="G20" s="702">
        <v>42000</v>
      </c>
      <c r="H20" s="702" t="s">
        <v>518</v>
      </c>
      <c r="I20" s="716">
        <f>W20</f>
        <v>90000</v>
      </c>
      <c r="J20" s="702"/>
      <c r="K20" s="702"/>
      <c r="L20" s="716">
        <f>+I20-J20+K20</f>
        <v>90000</v>
      </c>
      <c r="M20" s="702"/>
      <c r="N20" s="702">
        <v>42000</v>
      </c>
      <c r="O20" s="702"/>
      <c r="P20" s="699">
        <v>90000</v>
      </c>
      <c r="Q20" s="711"/>
      <c r="R20" s="2345">
        <v>90000</v>
      </c>
      <c r="S20" s="702"/>
      <c r="T20" s="721">
        <f>W20-L20</f>
        <v>0</v>
      </c>
      <c r="U20" s="699">
        <f>75000*1.2</f>
        <v>90000</v>
      </c>
      <c r="V20" s="700">
        <v>1</v>
      </c>
      <c r="W20" s="699">
        <f t="shared" si="2"/>
        <v>90000</v>
      </c>
      <c r="X20" s="702">
        <v>72000</v>
      </c>
      <c r="Y20" s="986">
        <v>42000</v>
      </c>
      <c r="Z20" s="702">
        <v>3231.82</v>
      </c>
      <c r="AA20" s="702"/>
      <c r="AB20" s="703">
        <v>90000</v>
      </c>
      <c r="AC20" s="686"/>
      <c r="AD20" s="686"/>
      <c r="AE20" s="686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9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698"/>
      <c r="U34" s="701"/>
      <c r="V34" s="700"/>
      <c r="W34" s="699">
        <f t="shared" si="2"/>
        <v>0</v>
      </c>
      <c r="X34" s="698"/>
      <c r="Y34" s="698"/>
      <c r="Z34" s="698"/>
      <c r="AA34" s="698"/>
      <c r="AB34" s="698"/>
      <c r="AC34" s="686"/>
      <c r="AD34" s="686"/>
      <c r="AE34" s="686"/>
    </row>
    <row r="35" spans="1:31">
      <c r="A35" s="705"/>
      <c r="B35" s="704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698"/>
      <c r="U35" s="701"/>
      <c r="V35" s="700"/>
      <c r="W35" s="699">
        <f t="shared" si="2"/>
        <v>0</v>
      </c>
      <c r="X35" s="698"/>
      <c r="Y35" s="698"/>
      <c r="Z35" s="698"/>
      <c r="AA35" s="698"/>
      <c r="AB35" s="698"/>
      <c r="AC35" s="686"/>
      <c r="AD35" s="686"/>
      <c r="AE35" s="686"/>
    </row>
    <row r="36" spans="1:31">
      <c r="A36" s="705"/>
      <c r="B36" s="704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698"/>
      <c r="U36" s="701"/>
      <c r="V36" s="700"/>
      <c r="W36" s="699">
        <f t="shared" si="2"/>
        <v>0</v>
      </c>
      <c r="X36" s="698"/>
      <c r="Y36" s="698"/>
      <c r="Z36" s="698"/>
      <c r="AA36" s="698"/>
      <c r="AB36" s="698"/>
      <c r="AC36" s="686"/>
      <c r="AD36" s="686"/>
      <c r="AE36" s="686"/>
    </row>
    <row r="37" spans="1:31">
      <c r="A37" s="705"/>
      <c r="B37" s="704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698"/>
      <c r="U37" s="701"/>
      <c r="V37" s="700"/>
      <c r="W37" s="699">
        <f t="shared" si="2"/>
        <v>0</v>
      </c>
      <c r="X37" s="698"/>
      <c r="Y37" s="698"/>
      <c r="Z37" s="698"/>
      <c r="AA37" s="698"/>
      <c r="AB37" s="698"/>
      <c r="AC37" s="686"/>
      <c r="AD37" s="686"/>
      <c r="AE37" s="686"/>
    </row>
    <row r="38" spans="1:31">
      <c r="A38" s="705"/>
      <c r="B38" s="704"/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698"/>
      <c r="U38" s="701"/>
      <c r="V38" s="700"/>
      <c r="W38" s="699">
        <f t="shared" si="2"/>
        <v>0</v>
      </c>
      <c r="X38" s="698"/>
      <c r="Y38" s="698"/>
      <c r="Z38" s="698"/>
      <c r="AA38" s="698"/>
      <c r="AB38" s="698"/>
      <c r="AC38" s="686"/>
      <c r="AD38" s="686"/>
      <c r="AE38" s="686"/>
    </row>
    <row r="39" spans="1:31">
      <c r="A39" s="705"/>
      <c r="B39" s="704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698"/>
      <c r="U39" s="701"/>
      <c r="V39" s="700"/>
      <c r="W39" s="699">
        <f t="shared" si="2"/>
        <v>0</v>
      </c>
      <c r="X39" s="698"/>
      <c r="Y39" s="698"/>
      <c r="Z39" s="698"/>
      <c r="AA39" s="698"/>
      <c r="AB39" s="698"/>
      <c r="AC39" s="686"/>
      <c r="AD39" s="686"/>
      <c r="AE39" s="686"/>
    </row>
    <row r="40" spans="1:31">
      <c r="A40" s="705"/>
      <c r="B40" s="704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698"/>
      <c r="U40" s="701"/>
      <c r="V40" s="700"/>
      <c r="W40" s="699">
        <f t="shared" si="2"/>
        <v>0</v>
      </c>
      <c r="X40" s="698"/>
      <c r="Y40" s="698"/>
      <c r="Z40" s="698"/>
      <c r="AA40" s="698"/>
      <c r="AB40" s="698"/>
      <c r="AC40" s="686"/>
      <c r="AD40" s="686"/>
      <c r="AE40" s="686"/>
    </row>
    <row r="41" spans="1:31">
      <c r="A41" s="705"/>
      <c r="B41" s="704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698"/>
      <c r="U41" s="701"/>
      <c r="V41" s="700"/>
      <c r="W41" s="699">
        <f t="shared" si="2"/>
        <v>0</v>
      </c>
      <c r="X41" s="698"/>
      <c r="Y41" s="698"/>
      <c r="Z41" s="698"/>
      <c r="AA41" s="698"/>
      <c r="AB41" s="698"/>
      <c r="AC41" s="686"/>
      <c r="AD41" s="686"/>
      <c r="AE41" s="686"/>
    </row>
    <row r="42" spans="1:31">
      <c r="A42" s="705"/>
      <c r="B42" s="704"/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698"/>
      <c r="U42" s="701"/>
      <c r="V42" s="705"/>
      <c r="W42" s="699">
        <f t="shared" si="2"/>
        <v>0</v>
      </c>
      <c r="X42" s="698"/>
      <c r="Y42" s="698"/>
      <c r="Z42" s="698"/>
      <c r="AA42" s="698"/>
      <c r="AB42" s="698"/>
      <c r="AC42" s="686"/>
      <c r="AD42" s="686"/>
      <c r="AE42" s="686"/>
    </row>
    <row r="43" spans="1:31">
      <c r="A43" s="705"/>
      <c r="B43" s="704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698"/>
      <c r="U43" s="701"/>
      <c r="V43" s="705"/>
      <c r="W43" s="699">
        <f t="shared" si="2"/>
        <v>0</v>
      </c>
      <c r="X43" s="698"/>
      <c r="Y43" s="698"/>
      <c r="Z43" s="698"/>
      <c r="AA43" s="698"/>
      <c r="AB43" s="698"/>
      <c r="AC43" s="686"/>
      <c r="AD43" s="686"/>
      <c r="AE43" s="686"/>
    </row>
    <row r="44" spans="1:31">
      <c r="A44" s="705"/>
      <c r="B44" s="704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698"/>
      <c r="U44" s="701"/>
      <c r="V44" s="705"/>
      <c r="W44" s="699">
        <f t="shared" si="2"/>
        <v>0</v>
      </c>
      <c r="X44" s="698"/>
      <c r="Y44" s="698"/>
      <c r="Z44" s="698"/>
      <c r="AA44" s="698"/>
      <c r="AB44" s="698"/>
      <c r="AC44" s="686"/>
      <c r="AD44" s="686"/>
      <c r="AE44" s="686"/>
    </row>
    <row r="45" spans="1:31">
      <c r="A45" s="705"/>
      <c r="B45" s="704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698"/>
      <c r="U45" s="701"/>
      <c r="V45" s="705"/>
      <c r="W45" s="699">
        <f t="shared" si="2"/>
        <v>0</v>
      </c>
      <c r="X45" s="698"/>
      <c r="Y45" s="698"/>
      <c r="Z45" s="698"/>
      <c r="AA45" s="698"/>
      <c r="AB45" s="698"/>
      <c r="AC45" s="686"/>
      <c r="AD45" s="686"/>
      <c r="AE45" s="686"/>
    </row>
    <row r="46" spans="1:31">
      <c r="A46" s="705"/>
      <c r="B46" s="704" t="s">
        <v>517</v>
      </c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>
        <v>3231.82</v>
      </c>
      <c r="S46" s="702"/>
      <c r="T46" s="698"/>
      <c r="U46" s="701"/>
      <c r="V46" s="705"/>
      <c r="W46" s="699">
        <f t="shared" si="2"/>
        <v>0</v>
      </c>
      <c r="X46" s="698"/>
      <c r="Y46" s="698"/>
      <c r="Z46" s="698"/>
      <c r="AA46" s="698"/>
      <c r="AB46" s="698"/>
      <c r="AC46" s="686"/>
      <c r="AD46" s="686"/>
      <c r="AE46" s="686"/>
    </row>
    <row r="47" spans="1:31">
      <c r="A47" s="705"/>
      <c r="B47" s="704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698"/>
      <c r="U47" s="701"/>
      <c r="V47" s="705"/>
      <c r="W47" s="699">
        <f t="shared" si="2"/>
        <v>0</v>
      </c>
      <c r="X47" s="698"/>
      <c r="Y47" s="698"/>
      <c r="Z47" s="698"/>
      <c r="AA47" s="698"/>
      <c r="AB47" s="698"/>
      <c r="AC47" s="686"/>
      <c r="AD47" s="686"/>
      <c r="AE47" s="686"/>
    </row>
    <row r="48" spans="1:31">
      <c r="A48" s="705"/>
      <c r="B48" s="704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698"/>
      <c r="U48" s="701"/>
      <c r="V48" s="700"/>
      <c r="W48" s="699">
        <f t="shared" si="2"/>
        <v>0</v>
      </c>
      <c r="X48" s="698"/>
      <c r="Y48" s="698"/>
      <c r="Z48" s="698"/>
      <c r="AA48" s="698"/>
      <c r="AB48" s="698"/>
      <c r="AC48" s="686"/>
      <c r="AD48" s="686"/>
      <c r="AE48" s="686"/>
    </row>
    <row r="49" spans="1:31">
      <c r="A49" s="697"/>
      <c r="B49" s="696" t="s">
        <v>17</v>
      </c>
      <c r="C49" s="695">
        <f>SUM(C15:C48)</f>
        <v>450000</v>
      </c>
      <c r="D49" s="693"/>
      <c r="E49" s="693"/>
      <c r="F49" s="693">
        <f>SUM(F15:F48)</f>
        <v>450000</v>
      </c>
      <c r="G49" s="693">
        <f>SUM(G16:G48)</f>
        <v>138000</v>
      </c>
      <c r="H49" s="693">
        <f>SUM(H16:H48)</f>
        <v>0</v>
      </c>
      <c r="I49" s="693">
        <f>SUM(I17:I48)</f>
        <v>288000</v>
      </c>
      <c r="J49" s="693">
        <f>SUM(J16:J48)</f>
        <v>0</v>
      </c>
      <c r="K49" s="693">
        <f>SUM(K16:K48)</f>
        <v>0</v>
      </c>
      <c r="L49" s="693">
        <f>SUM(L16:L48)</f>
        <v>450000</v>
      </c>
      <c r="M49" s="693">
        <f>SUM(M16:M48)</f>
        <v>0</v>
      </c>
      <c r="N49" s="693">
        <f>SUM(N16:N48)</f>
        <v>138000</v>
      </c>
      <c r="O49" s="693"/>
      <c r="P49" s="693">
        <f>SUM(P16:P48)</f>
        <v>450000</v>
      </c>
      <c r="Q49" s="693">
        <f>SUM(Q16:Q48)</f>
        <v>0</v>
      </c>
      <c r="R49" s="693">
        <f>SUM(R16:R48)</f>
        <v>453231.82</v>
      </c>
      <c r="S49" s="693">
        <f>SUM(S16:S48)</f>
        <v>0</v>
      </c>
      <c r="T49" s="694">
        <f>W49-L49</f>
        <v>0</v>
      </c>
      <c r="U49" s="693"/>
      <c r="V49" s="693"/>
      <c r="W49" s="693">
        <f>SUM(W14:W48)</f>
        <v>450000</v>
      </c>
      <c r="X49" s="693">
        <f>SUM(X16:X48)</f>
        <v>432000</v>
      </c>
      <c r="Y49" s="693">
        <f>SUM(Y16:Y48)</f>
        <v>138000</v>
      </c>
      <c r="Z49" s="693">
        <f>SUM(Z16:Z48)</f>
        <v>363231.82</v>
      </c>
      <c r="AA49" s="693">
        <f>SUM(AA16:AA48)</f>
        <v>0</v>
      </c>
      <c r="AB49" s="693">
        <f>SUM(AB16:AB48)</f>
        <v>450000</v>
      </c>
      <c r="AC49" s="686"/>
      <c r="AD49" s="686"/>
      <c r="AE49" s="686"/>
    </row>
    <row r="50" spans="1:31">
      <c r="A50" s="985"/>
      <c r="B50" s="1067"/>
      <c r="C50" s="720"/>
      <c r="D50" s="720"/>
      <c r="E50" s="720"/>
      <c r="F50" s="979"/>
      <c r="G50" s="979"/>
      <c r="H50" s="979"/>
      <c r="I50" s="979"/>
      <c r="J50" s="979"/>
      <c r="K50" s="979"/>
      <c r="L50" s="979"/>
      <c r="M50" s="979"/>
      <c r="N50" s="979"/>
      <c r="O50" s="720"/>
      <c r="P50" s="979"/>
      <c r="Q50" s="720"/>
      <c r="R50" s="720"/>
      <c r="S50" s="980"/>
      <c r="T50" s="980"/>
      <c r="U50" s="720"/>
      <c r="V50" s="720"/>
      <c r="W50" s="979"/>
      <c r="X50" s="980"/>
      <c r="Y50" s="980"/>
      <c r="Z50" s="980"/>
      <c r="AA50" s="980"/>
      <c r="AB50" s="980"/>
      <c r="AC50" s="686"/>
      <c r="AD50" s="686"/>
      <c r="AE50" s="686"/>
    </row>
    <row r="51" spans="1:31">
      <c r="A51" s="985"/>
      <c r="B51" s="1067"/>
      <c r="C51" s="720"/>
      <c r="D51" s="720"/>
      <c r="E51" s="720"/>
      <c r="F51" s="979"/>
      <c r="G51" s="979"/>
      <c r="H51" s="979"/>
      <c r="I51" s="979"/>
      <c r="J51" s="979"/>
      <c r="K51" s="979"/>
      <c r="L51" s="979"/>
      <c r="M51" s="979"/>
      <c r="N51" s="979"/>
      <c r="O51" s="720"/>
      <c r="P51" s="979"/>
      <c r="Q51" s="720"/>
      <c r="R51" s="720"/>
      <c r="S51" s="980"/>
      <c r="T51" s="980"/>
      <c r="U51" s="720"/>
      <c r="V51" s="720"/>
      <c r="W51" s="979"/>
      <c r="X51" s="980"/>
      <c r="Y51" s="980"/>
      <c r="Z51" s="980"/>
      <c r="AA51" s="980"/>
      <c r="AB51" s="980"/>
      <c r="AC51" s="686"/>
      <c r="AD51" s="686"/>
      <c r="AE51" s="686"/>
    </row>
    <row r="52" spans="1:31">
      <c r="A52" s="720"/>
      <c r="B52" s="720"/>
      <c r="C52" s="720"/>
      <c r="D52" s="720"/>
      <c r="E52" s="720"/>
      <c r="F52" s="979"/>
      <c r="G52" s="720"/>
      <c r="H52" s="720"/>
      <c r="I52" s="720"/>
      <c r="J52" s="720"/>
      <c r="K52" s="720"/>
      <c r="L52" s="720"/>
      <c r="M52" s="720"/>
      <c r="N52" s="720"/>
      <c r="O52" s="720"/>
      <c r="P52" s="720">
        <v>360000</v>
      </c>
      <c r="Q52" s="980">
        <v>363231.82</v>
      </c>
      <c r="R52" s="720"/>
      <c r="S52" s="980"/>
      <c r="T52" s="980"/>
      <c r="U52" s="720"/>
      <c r="V52" s="720"/>
      <c r="W52" s="979"/>
      <c r="X52" s="980"/>
      <c r="Y52" s="980"/>
      <c r="Z52" s="980"/>
      <c r="AA52" s="980"/>
      <c r="AB52" s="980"/>
      <c r="AC52" s="686"/>
      <c r="AD52" s="686"/>
      <c r="AE52" s="686"/>
    </row>
    <row r="53" spans="1:31">
      <c r="F53" s="689"/>
      <c r="R53" s="688"/>
      <c r="W53" s="689"/>
      <c r="AC53" s="686"/>
      <c r="AD53" s="686"/>
      <c r="AE53" s="686"/>
    </row>
    <row r="54" spans="1:31">
      <c r="Q54" s="688">
        <f>+Q52-R49</f>
        <v>-90000</v>
      </c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5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5"/>
  <dimension ref="A1:AE63"/>
  <sheetViews>
    <sheetView showGridLines="0" showZeros="0" topLeftCell="M4" zoomScaleNormal="100" workbookViewId="0">
      <selection activeCell="Z21" sqref="Z21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524</v>
      </c>
      <c r="C2" s="243"/>
      <c r="D2" s="243"/>
      <c r="E2" s="243"/>
      <c r="F2" s="243"/>
      <c r="G2" s="243"/>
      <c r="H2" s="746"/>
      <c r="I2" s="746"/>
      <c r="J2" s="924"/>
      <c r="K2" s="924"/>
      <c r="L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926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515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923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201100788</v>
      </c>
      <c r="C5" s="926"/>
      <c r="D5" s="926"/>
      <c r="E5" s="926"/>
      <c r="F5" s="923"/>
      <c r="G5" s="923"/>
      <c r="H5" s="924"/>
      <c r="I5" s="924"/>
      <c r="J5" s="923"/>
      <c r="K5" s="929"/>
      <c r="L5" s="923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523</v>
      </c>
      <c r="C6" s="926"/>
      <c r="D6" s="2420"/>
      <c r="E6" s="2420"/>
      <c r="F6" s="923"/>
      <c r="G6" s="923"/>
      <c r="H6" s="930"/>
      <c r="I6" s="931"/>
      <c r="J6" s="932"/>
      <c r="K6" s="927"/>
      <c r="L6" s="927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972"/>
      <c r="B14" s="728"/>
      <c r="C14" s="706"/>
      <c r="D14" s="973"/>
      <c r="E14" s="972"/>
      <c r="F14" s="699"/>
      <c r="G14" s="699"/>
      <c r="H14" s="699"/>
      <c r="I14" s="699"/>
      <c r="J14" s="699"/>
      <c r="K14" s="699"/>
      <c r="L14" s="699"/>
      <c r="M14" s="699"/>
      <c r="N14" s="699"/>
      <c r="O14" s="706"/>
      <c r="P14" s="699"/>
      <c r="Q14" s="706"/>
      <c r="R14" s="706"/>
      <c r="S14" s="974"/>
      <c r="T14" s="975"/>
      <c r="U14" s="706"/>
      <c r="V14" s="972"/>
      <c r="W14" s="699"/>
      <c r="X14" s="975"/>
      <c r="Y14" s="975"/>
      <c r="Z14" s="975"/>
      <c r="AA14" s="975"/>
      <c r="AB14" s="975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180000</v>
      </c>
      <c r="D16" s="699">
        <f>150000*1.2</f>
        <v>180000</v>
      </c>
      <c r="E16" s="700">
        <v>1</v>
      </c>
      <c r="F16" s="699">
        <f>D16*E16</f>
        <v>180000</v>
      </c>
      <c r="G16" s="699">
        <f>2*4500</f>
        <v>9000</v>
      </c>
      <c r="H16" s="706" t="s">
        <v>522</v>
      </c>
      <c r="I16" s="702">
        <f>W16</f>
        <v>180000</v>
      </c>
      <c r="J16" s="699"/>
      <c r="K16" s="699"/>
      <c r="L16" s="699">
        <f>+I16-J16+K16</f>
        <v>180000</v>
      </c>
      <c r="M16" s="699"/>
      <c r="N16" s="699">
        <f>G16</f>
        <v>9000</v>
      </c>
      <c r="O16" s="2343">
        <v>1</v>
      </c>
      <c r="P16" s="2343">
        <f>O16*U16</f>
        <v>180000</v>
      </c>
      <c r="Q16" s="2343"/>
      <c r="R16" s="2343">
        <v>180000</v>
      </c>
      <c r="S16" s="2344">
        <f>+P16-R16</f>
        <v>0</v>
      </c>
      <c r="T16" s="986"/>
      <c r="U16" s="699">
        <f>150000*1.2</f>
        <v>180000</v>
      </c>
      <c r="V16" s="700">
        <v>1</v>
      </c>
      <c r="W16" s="699">
        <f>U16*V16</f>
        <v>180000</v>
      </c>
      <c r="X16" s="699">
        <v>180000</v>
      </c>
      <c r="Y16" s="986">
        <v>9000</v>
      </c>
      <c r="Z16" s="986">
        <v>180000</v>
      </c>
      <c r="AA16" s="986"/>
      <c r="AB16" s="703">
        <v>180000</v>
      </c>
    </row>
    <row r="17" spans="1:31" hidden="1">
      <c r="A17" s="976"/>
      <c r="B17" s="720"/>
      <c r="C17" s="699"/>
      <c r="D17" s="699"/>
      <c r="E17" s="700"/>
      <c r="F17" s="699"/>
      <c r="G17" s="699"/>
      <c r="H17" s="699"/>
      <c r="I17" s="699"/>
      <c r="J17" s="699"/>
      <c r="K17" s="699"/>
      <c r="L17" s="699">
        <f>+I17-J17+K17</f>
        <v>0</v>
      </c>
      <c r="M17" s="699"/>
      <c r="N17" s="699"/>
      <c r="O17" s="2343"/>
      <c r="P17" s="2343"/>
      <c r="Q17" s="2343"/>
      <c r="R17" s="2343"/>
      <c r="S17" s="2344">
        <f t="shared" ref="S17:S20" si="0">+P17-R17</f>
        <v>0</v>
      </c>
      <c r="T17" s="987"/>
      <c r="U17" s="699"/>
      <c r="V17" s="700"/>
      <c r="W17" s="699"/>
      <c r="X17" s="987">
        <v>0</v>
      </c>
      <c r="Y17" s="987"/>
      <c r="Z17" s="987"/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/>
      <c r="H18" s="699"/>
      <c r="I18" s="699"/>
      <c r="J18" s="699"/>
      <c r="K18" s="699"/>
      <c r="L18" s="699">
        <f>+I18-J18+K18</f>
        <v>0</v>
      </c>
      <c r="M18" s="699"/>
      <c r="N18" s="699"/>
      <c r="O18" s="2343"/>
      <c r="P18" s="2343"/>
      <c r="Q18" s="2343"/>
      <c r="R18" s="2343"/>
      <c r="S18" s="2344">
        <f t="shared" si="0"/>
        <v>0</v>
      </c>
      <c r="T18" s="987"/>
      <c r="U18" s="699"/>
      <c r="V18" s="700"/>
      <c r="W18" s="699"/>
      <c r="X18" s="987">
        <v>0</v>
      </c>
      <c r="Y18" s="987"/>
      <c r="Z18" s="987"/>
      <c r="AA18" s="987"/>
      <c r="AB18" s="10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56" si="1">D19*E19</f>
        <v>211200</v>
      </c>
      <c r="D19" s="699">
        <f>176000*1.2</f>
        <v>211200</v>
      </c>
      <c r="E19" s="700">
        <v>1</v>
      </c>
      <c r="F19" s="699">
        <f t="shared" ref="F19:F56" si="2">D19*E19</f>
        <v>211200</v>
      </c>
      <c r="G19" s="702">
        <f>8500*1.2+48000</f>
        <v>58200</v>
      </c>
      <c r="H19" s="702" t="s">
        <v>104</v>
      </c>
      <c r="I19" s="702">
        <f>W19</f>
        <v>211200</v>
      </c>
      <c r="J19" s="702"/>
      <c r="K19" s="702"/>
      <c r="L19" s="699">
        <f>+I19-J19+K19</f>
        <v>211200</v>
      </c>
      <c r="M19" s="702"/>
      <c r="N19" s="702">
        <f>G19</f>
        <v>58200</v>
      </c>
      <c r="O19" s="2345"/>
      <c r="P19" s="2346">
        <v>211200</v>
      </c>
      <c r="Q19" s="2347"/>
      <c r="R19" s="2346">
        <v>162000</v>
      </c>
      <c r="S19" s="2344">
        <f t="shared" si="0"/>
        <v>49200</v>
      </c>
      <c r="T19" s="702"/>
      <c r="U19" s="699">
        <f>176000*1.2</f>
        <v>211200</v>
      </c>
      <c r="V19" s="700">
        <v>1</v>
      </c>
      <c r="W19" s="699">
        <f t="shared" ref="W19:W56" si="3">U19*V19</f>
        <v>211200</v>
      </c>
      <c r="X19" s="699">
        <v>211200</v>
      </c>
      <c r="Y19" s="986">
        <v>58200</v>
      </c>
      <c r="Z19" s="702">
        <v>211200</v>
      </c>
      <c r="AA19" s="702"/>
      <c r="AB19" s="703">
        <v>211200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1"/>
        <v>108000</v>
      </c>
      <c r="D20" s="699">
        <f>90000*1.2</f>
        <v>108000</v>
      </c>
      <c r="E20" s="700">
        <v>1</v>
      </c>
      <c r="F20" s="699">
        <f t="shared" si="2"/>
        <v>108000</v>
      </c>
      <c r="G20" s="702">
        <v>16916</v>
      </c>
      <c r="H20" s="702" t="s">
        <v>364</v>
      </c>
      <c r="I20" s="702">
        <f>W20</f>
        <v>108000</v>
      </c>
      <c r="J20" s="702"/>
      <c r="K20" s="702"/>
      <c r="L20" s="699">
        <f>+I20-J20+K20</f>
        <v>108000</v>
      </c>
      <c r="M20" s="702"/>
      <c r="N20" s="702">
        <v>16916</v>
      </c>
      <c r="O20" s="2345"/>
      <c r="P20" s="2343">
        <v>108000</v>
      </c>
      <c r="Q20" s="2347"/>
      <c r="R20" s="2359"/>
      <c r="S20" s="2344">
        <f t="shared" si="0"/>
        <v>108000</v>
      </c>
      <c r="T20" s="702"/>
      <c r="U20" s="699">
        <f>90000*1.2</f>
        <v>108000</v>
      </c>
      <c r="V20" s="700">
        <v>1</v>
      </c>
      <c r="W20" s="699">
        <f t="shared" si="3"/>
        <v>108000</v>
      </c>
      <c r="X20" s="702">
        <v>108000</v>
      </c>
      <c r="Y20" s="986">
        <v>16916</v>
      </c>
      <c r="Z20" s="702"/>
      <c r="AA20" s="702"/>
      <c r="AB20" s="703">
        <v>108000</v>
      </c>
      <c r="AC20" s="686"/>
      <c r="AD20" s="686"/>
      <c r="AE20" s="686"/>
    </row>
    <row r="21" spans="1:31">
      <c r="A21" s="705"/>
      <c r="B21" s="715"/>
      <c r="C21" s="699">
        <f t="shared" si="1"/>
        <v>0</v>
      </c>
      <c r="D21" s="703"/>
      <c r="E21" s="700"/>
      <c r="F21" s="699">
        <f t="shared" si="2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3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1"/>
        <v>0</v>
      </c>
      <c r="D22" s="703"/>
      <c r="E22" s="700"/>
      <c r="F22" s="699">
        <f t="shared" si="2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3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1"/>
        <v>0</v>
      </c>
      <c r="D23" s="703"/>
      <c r="E23" s="705"/>
      <c r="F23" s="699">
        <f t="shared" si="2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3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1"/>
        <v>0</v>
      </c>
      <c r="D24" s="703"/>
      <c r="E24" s="700"/>
      <c r="F24" s="699">
        <f t="shared" si="2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3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1"/>
        <v>0</v>
      </c>
      <c r="D25" s="703"/>
      <c r="E25" s="700"/>
      <c r="F25" s="699">
        <f t="shared" si="2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3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1"/>
        <v>0</v>
      </c>
      <c r="D26" s="703"/>
      <c r="E26" s="700"/>
      <c r="F26" s="699">
        <f t="shared" si="2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3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1"/>
        <v>0</v>
      </c>
      <c r="D27" s="703"/>
      <c r="E27" s="700"/>
      <c r="F27" s="699">
        <f t="shared" si="2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3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1"/>
        <v>0</v>
      </c>
      <c r="D28" s="703"/>
      <c r="E28" s="700"/>
      <c r="F28" s="699">
        <f t="shared" si="2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3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1"/>
        <v>0</v>
      </c>
      <c r="D29" s="703"/>
      <c r="E29" s="700"/>
      <c r="F29" s="699">
        <f t="shared" si="2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3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1"/>
        <v>0</v>
      </c>
      <c r="D30" s="703"/>
      <c r="E30" s="700"/>
      <c r="F30" s="699">
        <f t="shared" si="2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3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1"/>
        <v>0</v>
      </c>
      <c r="D31" s="703"/>
      <c r="E31" s="700"/>
      <c r="F31" s="699">
        <f t="shared" si="2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3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/>
      <c r="D32" s="703"/>
      <c r="E32" s="700"/>
      <c r="F32" s="699"/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/>
      <c r="X32" s="702"/>
      <c r="Y32" s="702"/>
      <c r="Z32" s="702"/>
      <c r="AA32" s="702"/>
      <c r="AB32" s="702"/>
      <c r="AC32" s="686"/>
      <c r="AD32" s="686"/>
      <c r="AE32" s="686"/>
    </row>
    <row r="33" spans="1:31" ht="0.75" hidden="1" customHeight="1">
      <c r="A33" s="705"/>
      <c r="B33" s="704"/>
      <c r="C33" s="699">
        <f t="shared" si="1"/>
        <v>0</v>
      </c>
      <c r="D33" s="703"/>
      <c r="E33" s="700"/>
      <c r="F33" s="699">
        <f t="shared" si="2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3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1"/>
        <v>0</v>
      </c>
      <c r="D34" s="703"/>
      <c r="E34" s="700"/>
      <c r="F34" s="699">
        <f t="shared" si="2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3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1"/>
        <v>0</v>
      </c>
      <c r="D35" s="703"/>
      <c r="E35" s="700"/>
      <c r="F35" s="699">
        <f t="shared" si="2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3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1"/>
        <v>0</v>
      </c>
      <c r="D36" s="703"/>
      <c r="E36" s="700"/>
      <c r="F36" s="699">
        <f t="shared" si="2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3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1"/>
        <v>0</v>
      </c>
      <c r="D37" s="703"/>
      <c r="E37" s="700"/>
      <c r="F37" s="699">
        <f t="shared" si="2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3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1"/>
        <v>0</v>
      </c>
      <c r="D38" s="703"/>
      <c r="E38" s="700"/>
      <c r="F38" s="699">
        <f t="shared" si="2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3"/>
        <v>0</v>
      </c>
      <c r="X38" s="987"/>
      <c r="Y38" s="987"/>
      <c r="Z38" s="987"/>
      <c r="AA38" s="987"/>
      <c r="AB38" s="987"/>
      <c r="AC38" s="686"/>
      <c r="AD38" s="686"/>
      <c r="AE38" s="686"/>
    </row>
    <row r="40" spans="1:31">
      <c r="A40" s="705"/>
      <c r="B40" s="704"/>
      <c r="C40" s="699">
        <f t="shared" si="1"/>
        <v>0</v>
      </c>
      <c r="D40" s="703"/>
      <c r="E40" s="700"/>
      <c r="F40" s="699">
        <f t="shared" si="2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3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1"/>
        <v>0</v>
      </c>
      <c r="D41" s="703"/>
      <c r="E41" s="700"/>
      <c r="F41" s="699">
        <f t="shared" si="2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3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1"/>
        <v>0</v>
      </c>
      <c r="D42" s="703"/>
      <c r="E42" s="705"/>
      <c r="F42" s="699">
        <f t="shared" si="2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3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1"/>
        <v>0</v>
      </c>
      <c r="D43" s="703"/>
      <c r="E43" s="705"/>
      <c r="F43" s="699">
        <f t="shared" si="2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3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/>
      <c r="D44" s="703"/>
      <c r="E44" s="705"/>
      <c r="F44" s="699"/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/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/>
      <c r="D45" s="703"/>
      <c r="E45" s="705"/>
      <c r="F45" s="699"/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/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/>
      <c r="D46" s="703"/>
      <c r="E46" s="705"/>
      <c r="F46" s="699"/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/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/>
      <c r="D47" s="703"/>
      <c r="E47" s="705"/>
      <c r="F47" s="699"/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/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/>
      <c r="D48" s="703"/>
      <c r="E48" s="705"/>
      <c r="F48" s="699"/>
      <c r="G48" s="699"/>
      <c r="H48" s="699"/>
      <c r="I48" s="706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5"/>
      <c r="W48" s="699"/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705"/>
      <c r="B49" s="704"/>
      <c r="C49" s="699"/>
      <c r="D49" s="703"/>
      <c r="E49" s="705"/>
      <c r="F49" s="699"/>
      <c r="G49" s="699"/>
      <c r="H49" s="699"/>
      <c r="I49" s="706"/>
      <c r="J49" s="699"/>
      <c r="K49" s="699"/>
      <c r="L49" s="702"/>
      <c r="M49" s="699"/>
      <c r="N49" s="699"/>
      <c r="O49" s="699"/>
      <c r="P49" s="702"/>
      <c r="Q49" s="699"/>
      <c r="R49" s="702"/>
      <c r="S49" s="702"/>
      <c r="T49" s="987"/>
      <c r="U49" s="701"/>
      <c r="V49" s="705"/>
      <c r="W49" s="699"/>
      <c r="X49" s="987"/>
      <c r="Y49" s="987"/>
      <c r="Z49" s="987"/>
      <c r="AA49" s="987"/>
      <c r="AB49" s="987"/>
      <c r="AC49" s="686"/>
      <c r="AD49" s="686"/>
      <c r="AE49" s="686"/>
    </row>
    <row r="50" spans="1:31">
      <c r="A50" s="705"/>
      <c r="B50" s="704"/>
      <c r="C50" s="699"/>
      <c r="D50" s="703"/>
      <c r="E50" s="705"/>
      <c r="F50" s="699"/>
      <c r="G50" s="699"/>
      <c r="H50" s="699"/>
      <c r="I50" s="706"/>
      <c r="J50" s="699"/>
      <c r="K50" s="699"/>
      <c r="L50" s="702"/>
      <c r="M50" s="699"/>
      <c r="N50" s="699"/>
      <c r="O50" s="699"/>
      <c r="P50" s="702"/>
      <c r="Q50" s="699"/>
      <c r="R50" s="702"/>
      <c r="S50" s="702"/>
      <c r="T50" s="987"/>
      <c r="U50" s="701"/>
      <c r="V50" s="705"/>
      <c r="W50" s="699"/>
      <c r="X50" s="987"/>
      <c r="Y50" s="987"/>
      <c r="Z50" s="987"/>
      <c r="AA50" s="987"/>
      <c r="AB50" s="987"/>
      <c r="AC50" s="686"/>
      <c r="AD50" s="686"/>
      <c r="AE50" s="686"/>
    </row>
    <row r="51" spans="1:31">
      <c r="A51" s="705"/>
      <c r="B51" s="708" t="s">
        <v>512</v>
      </c>
      <c r="C51" s="699">
        <f>D51*E51</f>
        <v>0</v>
      </c>
      <c r="D51" s="703"/>
      <c r="E51" s="705"/>
      <c r="F51" s="699">
        <f>D51*E51</f>
        <v>0</v>
      </c>
      <c r="G51" s="699"/>
      <c r="H51" s="699"/>
      <c r="I51" s="706"/>
      <c r="J51" s="699"/>
      <c r="K51" s="699"/>
      <c r="L51" s="702"/>
      <c r="M51" s="699"/>
      <c r="N51" s="699"/>
      <c r="O51" s="699"/>
      <c r="P51" s="702"/>
      <c r="Q51" s="699"/>
      <c r="R51" s="702">
        <v>2775.78</v>
      </c>
      <c r="S51" s="702"/>
      <c r="T51" s="987"/>
      <c r="U51" s="701"/>
      <c r="V51" s="705"/>
      <c r="W51" s="699">
        <f>U51*V51</f>
        <v>0</v>
      </c>
      <c r="X51" s="987"/>
      <c r="Y51" s="987"/>
      <c r="Z51" s="987"/>
      <c r="AA51" s="987"/>
      <c r="AB51" s="987"/>
      <c r="AC51" s="686"/>
      <c r="AD51" s="686"/>
      <c r="AE51" s="686"/>
    </row>
    <row r="52" spans="1:31">
      <c r="A52" s="705"/>
      <c r="B52" s="704"/>
      <c r="C52" s="699">
        <f t="shared" si="1"/>
        <v>0</v>
      </c>
      <c r="D52" s="703"/>
      <c r="E52" s="705"/>
      <c r="F52" s="699">
        <f t="shared" si="2"/>
        <v>0</v>
      </c>
      <c r="G52" s="699"/>
      <c r="H52" s="699"/>
      <c r="I52" s="706"/>
      <c r="J52" s="699"/>
      <c r="K52" s="699"/>
      <c r="L52" s="702"/>
      <c r="M52" s="699"/>
      <c r="N52" s="699"/>
      <c r="O52" s="699"/>
      <c r="P52" s="702"/>
      <c r="Q52" s="699"/>
      <c r="R52" s="702"/>
      <c r="S52" s="702"/>
      <c r="T52" s="987"/>
      <c r="U52" s="701"/>
      <c r="V52" s="705"/>
      <c r="W52" s="699">
        <f t="shared" si="3"/>
        <v>0</v>
      </c>
      <c r="X52" s="987"/>
      <c r="Y52" s="987"/>
      <c r="Z52" s="987"/>
      <c r="AA52" s="987"/>
      <c r="AB52" s="987"/>
      <c r="AC52" s="686"/>
      <c r="AD52" s="686"/>
      <c r="AE52" s="686"/>
    </row>
    <row r="53" spans="1:31">
      <c r="A53" s="705"/>
      <c r="B53" s="704"/>
      <c r="C53" s="699">
        <f t="shared" si="1"/>
        <v>0</v>
      </c>
      <c r="D53" s="703"/>
      <c r="E53" s="705"/>
      <c r="F53" s="699">
        <f t="shared" si="2"/>
        <v>0</v>
      </c>
      <c r="G53" s="699"/>
      <c r="H53" s="699"/>
      <c r="I53" s="706"/>
      <c r="J53" s="699"/>
      <c r="K53" s="699"/>
      <c r="L53" s="702"/>
      <c r="M53" s="699"/>
      <c r="N53" s="699"/>
      <c r="O53" s="699"/>
      <c r="P53" s="702"/>
      <c r="Q53" s="699"/>
      <c r="R53" s="702"/>
      <c r="S53" s="702"/>
      <c r="T53" s="987"/>
      <c r="U53" s="701"/>
      <c r="V53" s="705"/>
      <c r="W53" s="699">
        <f t="shared" si="3"/>
        <v>0</v>
      </c>
      <c r="X53" s="987"/>
      <c r="Y53" s="987"/>
      <c r="Z53" s="987"/>
      <c r="AA53" s="987"/>
      <c r="AB53" s="987"/>
      <c r="AC53" s="686"/>
      <c r="AD53" s="686"/>
      <c r="AE53" s="686"/>
    </row>
    <row r="54" spans="1:31">
      <c r="A54" s="705"/>
      <c r="B54" s="704"/>
      <c r="C54" s="699">
        <f t="shared" si="1"/>
        <v>0</v>
      </c>
      <c r="D54" s="703"/>
      <c r="E54" s="705"/>
      <c r="F54" s="699">
        <f t="shared" si="2"/>
        <v>0</v>
      </c>
      <c r="G54" s="699"/>
      <c r="H54" s="699"/>
      <c r="I54" s="706"/>
      <c r="J54" s="699"/>
      <c r="K54" s="699"/>
      <c r="L54" s="702"/>
      <c r="M54" s="699"/>
      <c r="N54" s="699"/>
      <c r="O54" s="699"/>
      <c r="P54" s="702"/>
      <c r="Q54" s="699"/>
      <c r="R54" s="702"/>
      <c r="S54" s="702"/>
      <c r="T54" s="987"/>
      <c r="U54" s="701"/>
      <c r="V54" s="705"/>
      <c r="W54" s="699">
        <f t="shared" si="3"/>
        <v>0</v>
      </c>
      <c r="X54" s="987"/>
      <c r="Y54" s="987"/>
      <c r="Z54" s="987"/>
      <c r="AA54" s="987"/>
      <c r="AB54" s="987"/>
      <c r="AC54" s="686"/>
      <c r="AD54" s="686"/>
      <c r="AE54" s="686"/>
    </row>
    <row r="55" spans="1:31">
      <c r="A55" s="705"/>
      <c r="B55" s="704"/>
      <c r="C55" s="699">
        <f t="shared" si="1"/>
        <v>0</v>
      </c>
      <c r="D55" s="703"/>
      <c r="E55" s="705"/>
      <c r="F55" s="699">
        <f t="shared" si="2"/>
        <v>0</v>
      </c>
      <c r="G55" s="699"/>
      <c r="H55" s="699"/>
      <c r="I55" s="706"/>
      <c r="J55" s="699"/>
      <c r="K55" s="699"/>
      <c r="L55" s="702"/>
      <c r="M55" s="699"/>
      <c r="N55" s="699"/>
      <c r="O55" s="699"/>
      <c r="P55" s="702"/>
      <c r="Q55" s="699"/>
      <c r="R55" s="702"/>
      <c r="S55" s="702"/>
      <c r="T55" s="987"/>
      <c r="U55" s="701"/>
      <c r="V55" s="705"/>
      <c r="W55" s="699">
        <f t="shared" si="3"/>
        <v>0</v>
      </c>
      <c r="X55" s="987"/>
      <c r="Y55" s="987"/>
      <c r="Z55" s="987"/>
      <c r="AA55" s="987"/>
      <c r="AB55" s="987"/>
      <c r="AC55" s="686"/>
      <c r="AD55" s="686"/>
      <c r="AE55" s="686"/>
    </row>
    <row r="56" spans="1:31">
      <c r="A56" s="705"/>
      <c r="B56" s="704"/>
      <c r="C56" s="699">
        <f t="shared" si="1"/>
        <v>0</v>
      </c>
      <c r="D56" s="703"/>
      <c r="E56" s="700"/>
      <c r="F56" s="699">
        <f t="shared" si="2"/>
        <v>0</v>
      </c>
      <c r="G56" s="699"/>
      <c r="H56" s="699"/>
      <c r="I56" s="699"/>
      <c r="J56" s="699"/>
      <c r="K56" s="699"/>
      <c r="L56" s="702"/>
      <c r="M56" s="699"/>
      <c r="N56" s="699"/>
      <c r="O56" s="699"/>
      <c r="P56" s="702"/>
      <c r="Q56" s="699"/>
      <c r="R56" s="702"/>
      <c r="S56" s="702"/>
      <c r="T56" s="987"/>
      <c r="U56" s="701"/>
      <c r="V56" s="700"/>
      <c r="W56" s="699">
        <f t="shared" si="3"/>
        <v>0</v>
      </c>
      <c r="X56" s="987"/>
      <c r="Y56" s="987"/>
      <c r="Z56" s="987"/>
      <c r="AA56" s="987"/>
      <c r="AB56" s="987"/>
      <c r="AC56" s="686"/>
      <c r="AD56" s="686"/>
      <c r="AE56" s="686"/>
    </row>
    <row r="57" spans="1:31">
      <c r="A57" s="697"/>
      <c r="B57" s="696" t="s">
        <v>17</v>
      </c>
      <c r="C57" s="989">
        <f>SUM(C15:C56)</f>
        <v>499200</v>
      </c>
      <c r="D57" s="990"/>
      <c r="E57" s="990"/>
      <c r="F57" s="990">
        <f>SUM(F15:F56)</f>
        <v>499200</v>
      </c>
      <c r="G57" s="990">
        <f>SUM(G16:G56)</f>
        <v>84116</v>
      </c>
      <c r="H57" s="990">
        <f>SUM(H17:H56)</f>
        <v>0</v>
      </c>
      <c r="I57" s="990">
        <f>SUM(I17:I56)</f>
        <v>319200</v>
      </c>
      <c r="J57" s="990">
        <f>SUM(J16:J56)</f>
        <v>0</v>
      </c>
      <c r="K57" s="990">
        <f>SUM(K16:K56)</f>
        <v>0</v>
      </c>
      <c r="L57" s="990">
        <f>SUM(L16:L56)</f>
        <v>499200</v>
      </c>
      <c r="M57" s="990">
        <f>SUM(M16:M56)</f>
        <v>0</v>
      </c>
      <c r="N57" s="990">
        <f>SUM(N16:N56)</f>
        <v>84116</v>
      </c>
      <c r="O57" s="990"/>
      <c r="P57" s="990">
        <f>SUM(P16:P56)</f>
        <v>499200</v>
      </c>
      <c r="Q57" s="990">
        <f>SUM(Q16:Q56)</f>
        <v>0</v>
      </c>
      <c r="R57" s="990">
        <f>SUM(R16:R56)</f>
        <v>344775.78</v>
      </c>
      <c r="S57" s="990">
        <f>SUM(S16:S56)</f>
        <v>157200</v>
      </c>
      <c r="T57" s="991">
        <f>W57-L57</f>
        <v>0</v>
      </c>
      <c r="U57" s="990"/>
      <c r="V57" s="990"/>
      <c r="W57" s="990">
        <f>SUM(W14:W56)</f>
        <v>499200</v>
      </c>
      <c r="X57" s="990">
        <f>SUM(X16:X56)</f>
        <v>499200</v>
      </c>
      <c r="Y57" s="990">
        <f>SUM(Y16:Y56)</f>
        <v>84116</v>
      </c>
      <c r="Z57" s="990">
        <f>SUM(Z16:Z56)</f>
        <v>391200</v>
      </c>
      <c r="AA57" s="990">
        <f>SUM(AA16:AA56)</f>
        <v>0</v>
      </c>
      <c r="AB57" s="990">
        <f>SUM(AB16:AB56)</f>
        <v>499200</v>
      </c>
      <c r="AC57" s="686"/>
      <c r="AD57" s="686"/>
      <c r="AE57" s="686"/>
    </row>
    <row r="58" spans="1:31">
      <c r="A58" s="985"/>
      <c r="B58" s="1067"/>
      <c r="C58" s="988"/>
      <c r="D58" s="988"/>
      <c r="E58" s="988"/>
      <c r="F58" s="992"/>
      <c r="G58" s="992"/>
      <c r="H58" s="992"/>
      <c r="I58" s="992"/>
      <c r="J58" s="992"/>
      <c r="K58" s="992"/>
      <c r="L58" s="992"/>
      <c r="M58" s="992"/>
      <c r="N58" s="992"/>
      <c r="O58" s="988"/>
      <c r="P58" s="992"/>
      <c r="Q58" s="988"/>
      <c r="R58" s="988"/>
      <c r="S58" s="993"/>
      <c r="T58" s="993"/>
      <c r="U58" s="988"/>
      <c r="V58" s="988"/>
      <c r="W58" s="992"/>
      <c r="X58" s="993"/>
      <c r="Y58" s="993"/>
      <c r="Z58" s="993"/>
      <c r="AA58" s="993"/>
      <c r="AB58" s="993"/>
      <c r="AC58" s="686"/>
      <c r="AD58" s="686"/>
      <c r="AE58" s="686"/>
    </row>
    <row r="59" spans="1:31">
      <c r="A59" s="985"/>
      <c r="B59" s="1067"/>
      <c r="C59" s="988"/>
      <c r="D59" s="988"/>
      <c r="E59" s="988"/>
      <c r="F59" s="992"/>
      <c r="G59" s="992"/>
      <c r="H59" s="992"/>
      <c r="I59" s="992"/>
      <c r="J59" s="992"/>
      <c r="K59" s="992"/>
      <c r="L59" s="992"/>
      <c r="M59" s="992"/>
      <c r="N59" s="992"/>
      <c r="O59" s="988"/>
      <c r="P59" s="992"/>
      <c r="Q59" s="988"/>
      <c r="R59" s="988"/>
      <c r="S59" s="993"/>
      <c r="T59" s="993"/>
      <c r="U59" s="988"/>
      <c r="V59" s="988"/>
      <c r="W59" s="992"/>
      <c r="X59" s="993"/>
      <c r="Y59" s="993"/>
      <c r="Z59" s="993"/>
      <c r="AA59" s="993"/>
      <c r="AB59" s="993"/>
      <c r="AC59" s="686"/>
      <c r="AD59" s="686"/>
      <c r="AE59" s="686"/>
    </row>
    <row r="60" spans="1:31">
      <c r="A60" s="720"/>
      <c r="B60" s="720"/>
      <c r="C60" s="988"/>
      <c r="D60" s="988"/>
      <c r="E60" s="988"/>
      <c r="F60" s="992"/>
      <c r="G60" s="988"/>
      <c r="H60" s="988"/>
      <c r="I60" s="988"/>
      <c r="J60" s="988"/>
      <c r="K60" s="988"/>
      <c r="L60" s="988"/>
      <c r="M60" s="988"/>
      <c r="N60" s="988"/>
      <c r="O60" s="988"/>
      <c r="P60" s="988"/>
      <c r="Q60" s="993"/>
      <c r="R60" s="988"/>
      <c r="S60" s="993"/>
      <c r="T60" s="993"/>
      <c r="U60" s="988"/>
      <c r="V60" s="988"/>
      <c r="W60" s="992"/>
      <c r="X60" s="993"/>
      <c r="Y60" s="993"/>
      <c r="Z60" s="993"/>
      <c r="AA60" s="993"/>
      <c r="AB60" s="993"/>
      <c r="AC60" s="686"/>
      <c r="AD60" s="686"/>
      <c r="AE60" s="686"/>
    </row>
    <row r="61" spans="1:31">
      <c r="A61" s="720"/>
      <c r="B61" s="720"/>
      <c r="C61" s="988"/>
      <c r="D61" s="988"/>
      <c r="E61" s="988"/>
      <c r="F61" s="992"/>
      <c r="G61" s="988"/>
      <c r="H61" s="988"/>
      <c r="I61" s="988"/>
      <c r="J61" s="988"/>
      <c r="K61" s="988"/>
      <c r="L61" s="988"/>
      <c r="M61" s="988"/>
      <c r="N61" s="988"/>
      <c r="O61" s="988"/>
      <c r="P61" s="988">
        <v>391200</v>
      </c>
      <c r="Q61" s="993">
        <v>344775.78</v>
      </c>
      <c r="R61" s="988"/>
      <c r="S61" s="993"/>
      <c r="T61" s="993"/>
      <c r="U61" s="988"/>
      <c r="V61" s="988"/>
      <c r="W61" s="992"/>
      <c r="X61" s="993"/>
      <c r="Y61" s="993"/>
      <c r="Z61" s="993"/>
      <c r="AA61" s="993"/>
      <c r="AB61" s="993"/>
      <c r="AC61" s="686"/>
      <c r="AD61" s="686"/>
      <c r="AE61" s="686"/>
    </row>
    <row r="62" spans="1:31">
      <c r="A62" s="720"/>
      <c r="B62" s="720"/>
      <c r="C62" s="988"/>
      <c r="D62" s="988"/>
      <c r="E62" s="988"/>
      <c r="F62" s="988"/>
      <c r="G62" s="988"/>
      <c r="H62" s="988"/>
      <c r="I62" s="988"/>
      <c r="J62" s="988"/>
      <c r="K62" s="988"/>
      <c r="L62" s="988"/>
      <c r="M62" s="988"/>
      <c r="N62" s="988"/>
      <c r="O62" s="988"/>
      <c r="P62" s="988">
        <f>+P61*0.9</f>
        <v>352080</v>
      </c>
      <c r="Q62" s="993"/>
      <c r="R62" s="988"/>
      <c r="S62" s="993"/>
      <c r="T62" s="993"/>
      <c r="U62" s="988"/>
      <c r="V62" s="988"/>
      <c r="W62" s="988"/>
      <c r="X62" s="993"/>
      <c r="Y62" s="993"/>
      <c r="Z62" s="993"/>
      <c r="AA62" s="993"/>
      <c r="AB62" s="993"/>
      <c r="AC62" s="686"/>
      <c r="AD62" s="686"/>
      <c r="AE62" s="686"/>
    </row>
    <row r="63" spans="1:31">
      <c r="A63" s="720" t="s">
        <v>59</v>
      </c>
      <c r="B63" s="720"/>
      <c r="C63" s="720"/>
      <c r="D63" s="720"/>
      <c r="E63" s="720"/>
      <c r="F63" s="979"/>
      <c r="G63" s="720"/>
      <c r="H63" s="720"/>
      <c r="I63" s="720"/>
      <c r="J63" s="720"/>
      <c r="K63" s="720"/>
      <c r="L63" s="720"/>
      <c r="M63" s="720"/>
      <c r="N63" s="720"/>
      <c r="O63" s="720"/>
      <c r="P63" s="720"/>
      <c r="Q63" s="980"/>
      <c r="R63" s="980"/>
      <c r="S63" s="980"/>
      <c r="T63" s="980"/>
      <c r="U63" s="720"/>
      <c r="V63" s="720"/>
      <c r="W63" s="979"/>
      <c r="X63" s="980"/>
      <c r="Y63" s="980"/>
      <c r="Z63" s="980"/>
      <c r="AA63" s="980"/>
      <c r="AB63" s="980"/>
      <c r="AC63" s="686"/>
      <c r="AD63" s="686"/>
      <c r="AE63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4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4"/>
  <dimension ref="A1:AE67"/>
  <sheetViews>
    <sheetView showGridLines="0" showZeros="0" topLeftCell="L4" zoomScaleNormal="100" workbookViewId="0">
      <selection activeCell="Z16" sqref="Z16:Z20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527</v>
      </c>
      <c r="C2" s="243"/>
      <c r="D2" s="243"/>
      <c r="E2" s="243"/>
      <c r="F2" s="243"/>
      <c r="G2" s="243"/>
      <c r="H2" s="746"/>
      <c r="I2" s="746"/>
      <c r="J2" s="926"/>
      <c r="K2" s="926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515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201100787</v>
      </c>
      <c r="C5" s="926"/>
      <c r="D5" s="926"/>
      <c r="E5" s="926"/>
      <c r="F5" s="923"/>
      <c r="G5" s="923"/>
      <c r="H5" s="926"/>
      <c r="I5" s="926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>
      <c r="A6" s="928" t="s">
        <v>51</v>
      </c>
      <c r="B6" s="244" t="s">
        <v>526</v>
      </c>
      <c r="C6" s="926"/>
      <c r="D6" s="2429"/>
      <c r="E6" s="2429"/>
      <c r="F6" s="923"/>
      <c r="G6" s="923"/>
      <c r="H6" s="930"/>
      <c r="I6" s="930"/>
      <c r="J6" s="1070"/>
      <c r="K6" s="1069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723"/>
      <c r="B14" s="728"/>
      <c r="C14" s="724"/>
      <c r="D14" s="727"/>
      <c r="E14" s="723"/>
      <c r="F14" s="726"/>
      <c r="G14" s="726"/>
      <c r="H14" s="726"/>
      <c r="I14" s="726"/>
      <c r="J14" s="726"/>
      <c r="K14" s="726"/>
      <c r="L14" s="726"/>
      <c r="M14" s="726"/>
      <c r="N14" s="726"/>
      <c r="O14" s="724"/>
      <c r="P14" s="726"/>
      <c r="Q14" s="724"/>
      <c r="R14" s="724"/>
      <c r="S14" s="725"/>
      <c r="T14" s="722"/>
      <c r="U14" s="724"/>
      <c r="V14" s="723"/>
      <c r="W14" s="726"/>
      <c r="X14" s="722"/>
      <c r="Y14" s="722"/>
      <c r="Z14" s="722"/>
      <c r="AA14" s="722"/>
      <c r="AB14" s="722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96000</v>
      </c>
      <c r="D16" s="699">
        <f>80000*1.2</f>
        <v>96000</v>
      </c>
      <c r="E16" s="700">
        <v>1</v>
      </c>
      <c r="F16" s="699">
        <f>D16*E16</f>
        <v>96000</v>
      </c>
      <c r="G16" s="699">
        <f>1500/0.7+5400</f>
        <v>7542.8571428571431</v>
      </c>
      <c r="H16" s="699" t="s">
        <v>525</v>
      </c>
      <c r="I16" s="699">
        <f>W16</f>
        <v>96000</v>
      </c>
      <c r="J16" s="699"/>
      <c r="K16" s="699"/>
      <c r="L16" s="699">
        <f>+I16-J16+K16</f>
        <v>96000</v>
      </c>
      <c r="M16" s="699"/>
      <c r="N16" s="699">
        <v>2142.86</v>
      </c>
      <c r="O16" s="699">
        <v>1</v>
      </c>
      <c r="P16" s="699">
        <f>O16*U16</f>
        <v>96000</v>
      </c>
      <c r="Q16" s="2363"/>
      <c r="R16" s="2364"/>
      <c r="S16" s="706">
        <f>P16-R16</f>
        <v>96000</v>
      </c>
      <c r="T16" s="986"/>
      <c r="U16" s="699">
        <f>80000*1.2</f>
        <v>96000</v>
      </c>
      <c r="V16" s="700">
        <v>1</v>
      </c>
      <c r="W16" s="699">
        <f>U16*V16</f>
        <v>96000</v>
      </c>
      <c r="X16" s="699">
        <v>96000</v>
      </c>
      <c r="Y16" s="986">
        <v>2142.86</v>
      </c>
      <c r="Z16" s="986">
        <v>96000</v>
      </c>
      <c r="AA16" s="986"/>
      <c r="AB16" s="703">
        <v>96000</v>
      </c>
    </row>
    <row r="17" spans="1:31" hidden="1">
      <c r="A17" s="976"/>
      <c r="B17" s="720"/>
      <c r="C17" s="699"/>
      <c r="D17" s="699"/>
      <c r="E17" s="700"/>
      <c r="F17" s="699"/>
      <c r="G17" s="699"/>
      <c r="H17" s="699"/>
      <c r="I17" s="699"/>
      <c r="J17" s="699"/>
      <c r="K17" s="699"/>
      <c r="L17" s="699">
        <f>+I17-J17+K17</f>
        <v>0</v>
      </c>
      <c r="M17" s="699"/>
      <c r="N17" s="699"/>
      <c r="O17" s="699"/>
      <c r="P17" s="699"/>
      <c r="Q17" s="2363"/>
      <c r="R17" s="2364"/>
      <c r="S17" s="706"/>
      <c r="T17" s="987"/>
      <c r="U17" s="699"/>
      <c r="V17" s="700"/>
      <c r="W17" s="699"/>
      <c r="X17" s="987">
        <v>0</v>
      </c>
      <c r="Y17" s="987"/>
      <c r="Z17" s="987"/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/>
      <c r="H18" s="699"/>
      <c r="I18" s="699"/>
      <c r="J18" s="699"/>
      <c r="K18" s="699"/>
      <c r="L18" s="699">
        <f>+I18-J18+K18</f>
        <v>0</v>
      </c>
      <c r="M18" s="699"/>
      <c r="N18" s="699"/>
      <c r="O18" s="699"/>
      <c r="P18" s="699"/>
      <c r="Q18" s="2363"/>
      <c r="R18" s="2364"/>
      <c r="S18" s="706"/>
      <c r="T18" s="987"/>
      <c r="U18" s="699"/>
      <c r="V18" s="700"/>
      <c r="W18" s="699"/>
      <c r="X18" s="987">
        <v>0</v>
      </c>
      <c r="Y18" s="987"/>
      <c r="Z18" s="987"/>
      <c r="AA18" s="987"/>
      <c r="AB18" s="10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0">D19*E19</f>
        <v>144000</v>
      </c>
      <c r="D19" s="699">
        <f>120000*1.2</f>
        <v>144000</v>
      </c>
      <c r="E19" s="700">
        <v>1</v>
      </c>
      <c r="F19" s="699">
        <f t="shared" ref="F19:F48" si="1">D19*E19</f>
        <v>144000</v>
      </c>
      <c r="G19" s="702">
        <f>5400+30600/0.7</f>
        <v>49114.285714285717</v>
      </c>
      <c r="H19" s="702" t="s">
        <v>96</v>
      </c>
      <c r="I19" s="699">
        <f>W19</f>
        <v>144000</v>
      </c>
      <c r="J19" s="702"/>
      <c r="K19" s="702"/>
      <c r="L19" s="699">
        <f>+I19-J19+K19</f>
        <v>144000</v>
      </c>
      <c r="M19" s="702"/>
      <c r="N19" s="2370">
        <v>49200</v>
      </c>
      <c r="O19" s="702"/>
      <c r="P19" s="717">
        <v>144000</v>
      </c>
      <c r="Q19" s="2365"/>
      <c r="R19" s="2363"/>
      <c r="S19" s="702"/>
      <c r="T19" s="702"/>
      <c r="U19" s="699">
        <f>120000*1.2</f>
        <v>144000</v>
      </c>
      <c r="V19" s="700">
        <v>1</v>
      </c>
      <c r="W19" s="699">
        <f t="shared" ref="W19:W48" si="2">U19*V19</f>
        <v>144000</v>
      </c>
      <c r="X19" s="702">
        <v>144000</v>
      </c>
      <c r="Y19" s="702">
        <v>49200</v>
      </c>
      <c r="Z19" s="702">
        <v>144000</v>
      </c>
      <c r="AA19" s="702"/>
      <c r="AB19" s="703">
        <v>144000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0"/>
        <v>60000</v>
      </c>
      <c r="D20" s="699">
        <f>50000*1.2</f>
        <v>60000</v>
      </c>
      <c r="E20" s="700">
        <v>1</v>
      </c>
      <c r="F20" s="699">
        <f t="shared" si="1"/>
        <v>60000</v>
      </c>
      <c r="G20" s="702">
        <v>5400</v>
      </c>
      <c r="H20" s="702" t="s">
        <v>104</v>
      </c>
      <c r="I20" s="699">
        <f>W20</f>
        <v>60000</v>
      </c>
      <c r="J20" s="702"/>
      <c r="K20" s="702"/>
      <c r="L20" s="699">
        <f>+I20-J20+K20</f>
        <v>60000</v>
      </c>
      <c r="M20" s="702"/>
      <c r="N20" s="702">
        <v>5400</v>
      </c>
      <c r="O20" s="702"/>
      <c r="P20" s="699">
        <v>60000</v>
      </c>
      <c r="Q20" s="2365"/>
      <c r="R20" s="2366"/>
      <c r="S20" s="702"/>
      <c r="T20" s="702"/>
      <c r="U20" s="699">
        <f>50000*1.2</f>
        <v>60000</v>
      </c>
      <c r="V20" s="700">
        <v>1</v>
      </c>
      <c r="W20" s="699">
        <f t="shared" si="2"/>
        <v>60000</v>
      </c>
      <c r="X20" s="702">
        <v>60000</v>
      </c>
      <c r="Y20" s="702">
        <v>5400</v>
      </c>
      <c r="Z20" s="702">
        <v>60000</v>
      </c>
      <c r="AA20" s="702"/>
      <c r="AB20" s="703">
        <v>60000</v>
      </c>
      <c r="AC20" s="686"/>
      <c r="AD20" s="686"/>
      <c r="AE20" s="686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>
        <v>12183.71</v>
      </c>
      <c r="H21" s="702" t="s">
        <v>364</v>
      </c>
      <c r="I21" s="702"/>
      <c r="J21" s="702"/>
      <c r="K21" s="702"/>
      <c r="L21" s="702"/>
      <c r="M21" s="702"/>
      <c r="N21" s="702">
        <v>12183.71</v>
      </c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>
        <v>12183.71</v>
      </c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2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2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2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2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 t="s">
        <v>512</v>
      </c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>
        <v>212212</v>
      </c>
      <c r="S38" s="702"/>
      <c r="T38" s="987"/>
      <c r="U38" s="701"/>
      <c r="V38" s="700"/>
      <c r="W38" s="699">
        <f t="shared" si="2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2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2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2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2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2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2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2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2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2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2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300000</v>
      </c>
      <c r="D49" s="990"/>
      <c r="E49" s="990"/>
      <c r="F49" s="990">
        <f>SUM(F15:F48)</f>
        <v>300000</v>
      </c>
      <c r="G49" s="990">
        <f>SUM(G16:G48)</f>
        <v>74240.852857142861</v>
      </c>
      <c r="H49" s="990">
        <f>SUM(H16:H48)</f>
        <v>0</v>
      </c>
      <c r="I49" s="990">
        <f>SUM(I17:I48)</f>
        <v>204000</v>
      </c>
      <c r="J49" s="990">
        <f>SUM(J16:J48)</f>
        <v>0</v>
      </c>
      <c r="K49" s="990">
        <f>SUM(K16:K48)</f>
        <v>0</v>
      </c>
      <c r="L49" s="990">
        <f>SUM(L16:L48)</f>
        <v>300000</v>
      </c>
      <c r="M49" s="990">
        <f>SUM(M16:M48)</f>
        <v>0</v>
      </c>
      <c r="N49" s="990">
        <f>SUM(N16:N48)</f>
        <v>68926.570000000007</v>
      </c>
      <c r="O49" s="990"/>
      <c r="P49" s="990">
        <f>SUM(P16:P48)</f>
        <v>300000</v>
      </c>
      <c r="Q49" s="990"/>
      <c r="R49" s="990">
        <f>SUM(R19:R19)</f>
        <v>0</v>
      </c>
      <c r="S49" s="990">
        <f>SUM(S16:S48)</f>
        <v>96000</v>
      </c>
      <c r="T49" s="991">
        <f>W49-L49</f>
        <v>0</v>
      </c>
      <c r="U49" s="990"/>
      <c r="V49" s="990"/>
      <c r="W49" s="990">
        <f>SUM(W14:W48)</f>
        <v>300000</v>
      </c>
      <c r="X49" s="990">
        <f>SUM(X16:X48)</f>
        <v>300000</v>
      </c>
      <c r="Y49" s="990">
        <f>SUM(Y16:Y48)</f>
        <v>68926.570000000007</v>
      </c>
      <c r="Z49" s="990">
        <f>SUM(Z16:Z48)</f>
        <v>300000</v>
      </c>
      <c r="AA49" s="990">
        <f>SUM(AA16:AA48)</f>
        <v>0</v>
      </c>
      <c r="AB49" s="990">
        <f>SUM(AB16:AB48)</f>
        <v>300000</v>
      </c>
      <c r="AC49" s="686"/>
      <c r="AD49" s="686"/>
      <c r="AE49" s="686"/>
    </row>
    <row r="50" spans="1:31">
      <c r="A50" s="985"/>
      <c r="B50" s="1067"/>
      <c r="C50" s="720"/>
      <c r="D50" s="720"/>
      <c r="E50" s="720"/>
      <c r="F50" s="979"/>
      <c r="G50" s="979"/>
      <c r="H50" s="979"/>
      <c r="I50" s="979"/>
      <c r="J50" s="979"/>
      <c r="K50" s="979"/>
      <c r="L50" s="979"/>
      <c r="M50" s="979"/>
      <c r="N50" s="979"/>
      <c r="O50" s="720"/>
      <c r="P50" s="979"/>
      <c r="Q50" s="720"/>
      <c r="R50" s="720"/>
      <c r="S50" s="980"/>
      <c r="T50" s="980"/>
      <c r="U50" s="720"/>
      <c r="V50" s="720"/>
      <c r="W50" s="979"/>
      <c r="X50" s="980"/>
      <c r="Y50" s="980"/>
      <c r="Z50" s="980"/>
      <c r="AA50" s="980"/>
      <c r="AB50" s="980"/>
      <c r="AC50" s="686"/>
      <c r="AD50" s="686"/>
      <c r="AE50" s="686"/>
    </row>
    <row r="51" spans="1:31">
      <c r="A51" s="985"/>
      <c r="B51" s="1067"/>
      <c r="C51" s="720"/>
      <c r="D51" s="720"/>
      <c r="E51" s="720"/>
      <c r="F51" s="979"/>
      <c r="G51" s="979"/>
      <c r="H51" s="979"/>
      <c r="I51" s="979"/>
      <c r="J51" s="979"/>
      <c r="K51" s="979"/>
      <c r="L51" s="979"/>
      <c r="M51" s="979"/>
      <c r="N51" s="979"/>
      <c r="O51" s="720"/>
      <c r="P51" s="979"/>
      <c r="Q51" s="720"/>
      <c r="R51" s="720"/>
      <c r="S51" s="980"/>
      <c r="T51" s="980"/>
      <c r="U51" s="720"/>
      <c r="V51" s="720"/>
      <c r="W51" s="979"/>
      <c r="X51" s="980"/>
      <c r="Y51" s="980"/>
      <c r="Z51" s="980"/>
      <c r="AA51" s="980"/>
      <c r="AB51" s="980"/>
      <c r="AC51" s="686"/>
      <c r="AD51" s="686"/>
      <c r="AE51" s="686"/>
    </row>
    <row r="52" spans="1:31">
      <c r="A52" s="720"/>
      <c r="B52" s="720"/>
      <c r="C52" s="720"/>
      <c r="D52" s="720"/>
      <c r="E52" s="720"/>
      <c r="F52" s="979"/>
      <c r="G52" s="720"/>
      <c r="H52" s="720"/>
      <c r="I52" s="720"/>
      <c r="J52" s="720"/>
      <c r="K52" s="720"/>
      <c r="L52" s="720"/>
      <c r="M52" s="720"/>
      <c r="N52" s="720"/>
      <c r="O52" s="720"/>
      <c r="P52" s="720"/>
      <c r="Q52" s="980"/>
      <c r="R52" s="720"/>
      <c r="S52" s="980"/>
      <c r="T52" s="980"/>
      <c r="U52" s="720"/>
      <c r="V52" s="720"/>
      <c r="W52" s="979"/>
      <c r="X52" s="980"/>
      <c r="Y52" s="980"/>
      <c r="Z52" s="980"/>
      <c r="AA52" s="980"/>
      <c r="AB52" s="980"/>
      <c r="AC52" s="686"/>
      <c r="AD52" s="686"/>
      <c r="AE52" s="686"/>
    </row>
    <row r="53" spans="1:31">
      <c r="A53" s="720"/>
      <c r="B53" s="720"/>
      <c r="C53" s="720"/>
      <c r="D53" s="720"/>
      <c r="E53" s="720"/>
      <c r="F53" s="979"/>
      <c r="G53" s="720"/>
      <c r="H53" s="720"/>
      <c r="I53" s="720"/>
      <c r="J53" s="720"/>
      <c r="K53" s="720"/>
      <c r="L53" s="720"/>
      <c r="M53" s="720"/>
      <c r="N53" s="720"/>
      <c r="O53" s="720"/>
      <c r="P53" s="720"/>
      <c r="Q53" s="980"/>
      <c r="R53" s="720"/>
      <c r="S53" s="980"/>
      <c r="T53" s="980"/>
      <c r="U53" s="720"/>
      <c r="V53" s="720"/>
      <c r="W53" s="979"/>
      <c r="X53" s="980"/>
      <c r="Y53" s="980"/>
      <c r="Z53" s="980"/>
      <c r="AA53" s="980"/>
      <c r="AB53" s="980"/>
      <c r="AC53" s="686"/>
      <c r="AD53" s="686"/>
      <c r="AE53" s="686"/>
    </row>
    <row r="54" spans="1:31">
      <c r="A54" s="720"/>
      <c r="B54" s="720"/>
      <c r="C54" s="720"/>
      <c r="D54" s="720"/>
      <c r="E54" s="720"/>
      <c r="F54" s="720"/>
      <c r="G54" s="720"/>
      <c r="H54" s="720"/>
      <c r="I54" s="720"/>
      <c r="J54" s="720"/>
      <c r="K54" s="720"/>
      <c r="L54" s="720"/>
      <c r="M54" s="720"/>
      <c r="N54" s="720"/>
      <c r="O54" s="720"/>
      <c r="P54" s="720"/>
      <c r="Q54" s="980"/>
      <c r="R54" s="720"/>
      <c r="S54" s="980"/>
      <c r="T54" s="980"/>
      <c r="U54" s="720"/>
      <c r="V54" s="720"/>
      <c r="W54" s="720"/>
      <c r="X54" s="980"/>
      <c r="Y54" s="980"/>
      <c r="Z54" s="980"/>
      <c r="AA54" s="980"/>
      <c r="AB54" s="980"/>
      <c r="AC54" s="686"/>
      <c r="AD54" s="686"/>
      <c r="AE54" s="686"/>
    </row>
    <row r="55" spans="1:31">
      <c r="A55" s="720" t="s">
        <v>59</v>
      </c>
      <c r="B55" s="720"/>
      <c r="C55" s="720"/>
      <c r="D55" s="720"/>
      <c r="E55" s="720"/>
      <c r="F55" s="979"/>
      <c r="G55" s="720"/>
      <c r="H55" s="720"/>
      <c r="I55" s="720"/>
      <c r="J55" s="720"/>
      <c r="K55" s="720"/>
      <c r="L55" s="720"/>
      <c r="M55" s="720"/>
      <c r="N55" s="720"/>
      <c r="O55" s="720"/>
      <c r="P55" s="720"/>
      <c r="Q55" s="980"/>
      <c r="R55" s="980"/>
      <c r="S55" s="980"/>
      <c r="T55" s="980"/>
      <c r="U55" s="720"/>
      <c r="V55" s="720"/>
      <c r="W55" s="979"/>
      <c r="X55" s="980"/>
      <c r="Y55" s="980"/>
      <c r="Z55" s="980"/>
      <c r="AA55" s="980"/>
      <c r="AB55" s="980"/>
      <c r="AC55" s="686"/>
      <c r="AD55" s="686"/>
      <c r="AE55" s="686"/>
    </row>
    <row r="56" spans="1:31">
      <c r="A56" s="720"/>
      <c r="B56" s="720"/>
      <c r="C56" s="720"/>
      <c r="D56" s="720"/>
      <c r="E56" s="720"/>
      <c r="F56" s="720"/>
      <c r="G56" s="720"/>
      <c r="H56" s="720"/>
      <c r="I56" s="720"/>
      <c r="J56" s="720"/>
      <c r="K56" s="720"/>
      <c r="L56" s="720"/>
      <c r="M56" s="720"/>
      <c r="N56" s="720"/>
      <c r="O56" s="720"/>
      <c r="P56" s="720">
        <v>240000</v>
      </c>
      <c r="Q56" s="980">
        <v>212212.32</v>
      </c>
      <c r="R56" s="980"/>
      <c r="S56" s="980"/>
      <c r="T56" s="980"/>
      <c r="U56" s="720"/>
      <c r="V56" s="720"/>
      <c r="W56" s="720"/>
      <c r="X56" s="980"/>
      <c r="Y56" s="980"/>
      <c r="Z56" s="980"/>
      <c r="AA56" s="980"/>
      <c r="AB56" s="980"/>
      <c r="AC56" s="686"/>
      <c r="AD56" s="686"/>
      <c r="AE56" s="686"/>
    </row>
    <row r="57" spans="1:31">
      <c r="A57" s="720"/>
      <c r="B57" s="720"/>
      <c r="C57" s="720"/>
      <c r="D57" s="720"/>
      <c r="E57" s="720"/>
      <c r="F57" s="720"/>
      <c r="G57" s="720"/>
      <c r="H57" s="720"/>
      <c r="I57" s="720"/>
      <c r="J57" s="720"/>
      <c r="K57" s="720"/>
      <c r="L57" s="720"/>
      <c r="M57" s="720"/>
      <c r="N57" s="720"/>
      <c r="O57" s="720"/>
      <c r="P57" s="720">
        <f>+P56*0.9</f>
        <v>216000</v>
      </c>
      <c r="Q57" s="980"/>
      <c r="R57" s="980"/>
      <c r="S57" s="980"/>
      <c r="T57" s="980"/>
      <c r="U57" s="720"/>
      <c r="V57" s="720"/>
      <c r="W57" s="720"/>
      <c r="X57" s="980"/>
      <c r="Y57" s="980"/>
      <c r="Z57" s="980"/>
      <c r="AA57" s="980"/>
      <c r="AB57" s="980"/>
      <c r="AC57" s="686"/>
      <c r="AD57" s="686"/>
      <c r="AE57" s="686"/>
    </row>
    <row r="58" spans="1:31">
      <c r="A58" s="720"/>
      <c r="B58" s="720"/>
      <c r="C58" s="720"/>
      <c r="D58" s="720"/>
      <c r="E58" s="720"/>
      <c r="F58" s="720"/>
      <c r="G58" s="720"/>
      <c r="H58" s="720"/>
      <c r="I58" s="720"/>
      <c r="J58" s="720"/>
      <c r="K58" s="720"/>
      <c r="L58" s="720"/>
      <c r="M58" s="720"/>
      <c r="N58" s="720"/>
      <c r="O58" s="720"/>
      <c r="P58" s="720"/>
      <c r="Q58" s="980"/>
      <c r="R58" s="980"/>
      <c r="S58" s="980"/>
      <c r="T58" s="980"/>
      <c r="U58" s="720"/>
      <c r="V58" s="720"/>
      <c r="W58" s="720"/>
      <c r="X58" s="980"/>
      <c r="Y58" s="980"/>
      <c r="Z58" s="980"/>
      <c r="AA58" s="980"/>
      <c r="AB58" s="980"/>
    </row>
    <row r="59" spans="1:31">
      <c r="A59" s="720"/>
      <c r="B59" s="720"/>
      <c r="C59" s="720"/>
      <c r="D59" s="720"/>
      <c r="E59" s="720"/>
      <c r="F59" s="720"/>
      <c r="G59" s="720"/>
      <c r="H59" s="720"/>
      <c r="I59" s="720"/>
      <c r="J59" s="720"/>
      <c r="K59" s="720"/>
      <c r="L59" s="720"/>
      <c r="M59" s="720"/>
      <c r="N59" s="720"/>
      <c r="O59" s="720"/>
      <c r="P59" s="720"/>
      <c r="Q59" s="980"/>
      <c r="R59" s="980"/>
      <c r="S59" s="980"/>
      <c r="T59" s="980"/>
      <c r="U59" s="720"/>
      <c r="V59" s="720"/>
      <c r="W59" s="720"/>
      <c r="X59" s="980"/>
      <c r="Y59" s="980"/>
      <c r="Z59" s="980"/>
      <c r="AA59" s="980"/>
      <c r="AB59" s="980"/>
    </row>
    <row r="60" spans="1:31">
      <c r="A60" s="720"/>
      <c r="B60" s="720"/>
      <c r="C60" s="720"/>
      <c r="D60" s="720"/>
      <c r="E60" s="720"/>
      <c r="F60" s="720"/>
      <c r="G60" s="720"/>
      <c r="H60" s="720"/>
      <c r="I60" s="720"/>
      <c r="J60" s="720"/>
      <c r="K60" s="720"/>
      <c r="L60" s="720"/>
      <c r="M60" s="720"/>
      <c r="N60" s="720"/>
      <c r="O60" s="720"/>
      <c r="P60" s="720"/>
      <c r="Q60" s="980"/>
      <c r="R60" s="980"/>
      <c r="S60" s="980"/>
      <c r="T60" s="980"/>
      <c r="U60" s="720"/>
      <c r="V60" s="720"/>
      <c r="W60" s="720"/>
      <c r="X60" s="980"/>
      <c r="Y60" s="980"/>
      <c r="Z60" s="980"/>
      <c r="AA60" s="980"/>
      <c r="AB60" s="980"/>
    </row>
    <row r="61" spans="1:31">
      <c r="A61" s="720"/>
      <c r="B61" s="720"/>
      <c r="C61" s="720"/>
      <c r="D61" s="720"/>
      <c r="E61" s="720"/>
      <c r="F61" s="720"/>
      <c r="G61" s="720"/>
      <c r="H61" s="720"/>
      <c r="I61" s="720"/>
      <c r="J61" s="720"/>
      <c r="K61" s="720"/>
      <c r="L61" s="720"/>
      <c r="M61" s="720"/>
      <c r="N61" s="720"/>
      <c r="O61" s="720"/>
      <c r="P61" s="720"/>
      <c r="Q61" s="980"/>
      <c r="R61" s="980"/>
      <c r="S61" s="980"/>
      <c r="T61" s="980"/>
      <c r="U61" s="720"/>
      <c r="V61" s="720"/>
      <c r="W61" s="720"/>
      <c r="X61" s="980"/>
      <c r="Y61" s="980"/>
      <c r="Z61" s="980"/>
      <c r="AA61" s="980"/>
      <c r="AB61" s="980"/>
    </row>
    <row r="62" spans="1:31">
      <c r="A62" s="720"/>
      <c r="B62" s="720"/>
      <c r="C62" s="720"/>
      <c r="D62" s="720"/>
      <c r="E62" s="720"/>
      <c r="F62" s="720"/>
      <c r="G62" s="720"/>
      <c r="H62" s="720"/>
      <c r="I62" s="720"/>
      <c r="J62" s="720"/>
      <c r="K62" s="720"/>
      <c r="L62" s="720"/>
      <c r="M62" s="720"/>
      <c r="N62" s="720"/>
      <c r="O62" s="720"/>
      <c r="P62" s="720"/>
      <c r="Q62" s="980"/>
      <c r="R62" s="980"/>
      <c r="S62" s="980"/>
      <c r="T62" s="980"/>
      <c r="U62" s="720"/>
      <c r="V62" s="720"/>
      <c r="W62" s="720"/>
      <c r="X62" s="980"/>
      <c r="Y62" s="980"/>
      <c r="Z62" s="980"/>
      <c r="AA62" s="980"/>
      <c r="AB62" s="980"/>
    </row>
    <row r="63" spans="1:31">
      <c r="A63" s="720"/>
      <c r="B63" s="720"/>
      <c r="C63" s="720"/>
      <c r="D63" s="720"/>
      <c r="E63" s="720"/>
      <c r="F63" s="720"/>
      <c r="G63" s="720"/>
      <c r="H63" s="720"/>
      <c r="I63" s="720"/>
      <c r="J63" s="720"/>
      <c r="K63" s="720"/>
      <c r="L63" s="720"/>
      <c r="M63" s="720"/>
      <c r="N63" s="720"/>
      <c r="O63" s="720"/>
      <c r="P63" s="720"/>
      <c r="Q63" s="980"/>
      <c r="R63" s="980"/>
      <c r="S63" s="980"/>
      <c r="T63" s="980"/>
      <c r="U63" s="720"/>
      <c r="V63" s="720"/>
      <c r="W63" s="720"/>
      <c r="X63" s="980"/>
      <c r="Y63" s="980"/>
      <c r="Z63" s="980"/>
      <c r="AA63" s="980"/>
      <c r="AB63" s="980"/>
    </row>
    <row r="64" spans="1:31">
      <c r="A64" s="720"/>
      <c r="B64" s="720"/>
      <c r="C64" s="720"/>
      <c r="D64" s="720"/>
      <c r="E64" s="720"/>
      <c r="F64" s="720"/>
      <c r="G64" s="720"/>
      <c r="H64" s="720"/>
      <c r="I64" s="720"/>
      <c r="J64" s="720"/>
      <c r="K64" s="720"/>
      <c r="L64" s="720"/>
      <c r="M64" s="720"/>
      <c r="N64" s="720"/>
      <c r="O64" s="720"/>
      <c r="P64" s="720"/>
      <c r="Q64" s="980"/>
      <c r="R64" s="980"/>
      <c r="S64" s="980"/>
      <c r="T64" s="980"/>
      <c r="U64" s="720"/>
      <c r="V64" s="720"/>
      <c r="W64" s="720"/>
      <c r="X64" s="980"/>
      <c r="Y64" s="980"/>
      <c r="Z64" s="980"/>
      <c r="AA64" s="980"/>
      <c r="AB64" s="980"/>
    </row>
    <row r="65" spans="1:28">
      <c r="A65" s="720"/>
      <c r="B65" s="720"/>
      <c r="C65" s="720"/>
      <c r="D65" s="720"/>
      <c r="E65" s="720"/>
      <c r="F65" s="720"/>
      <c r="G65" s="720"/>
      <c r="H65" s="720"/>
      <c r="I65" s="720"/>
      <c r="J65" s="720"/>
      <c r="K65" s="720"/>
      <c r="L65" s="720"/>
      <c r="M65" s="720"/>
      <c r="N65" s="720"/>
      <c r="O65" s="720"/>
      <c r="P65" s="720"/>
      <c r="Q65" s="980"/>
      <c r="R65" s="980"/>
      <c r="S65" s="980"/>
      <c r="T65" s="980"/>
      <c r="U65" s="720"/>
      <c r="V65" s="720"/>
      <c r="W65" s="720"/>
      <c r="X65" s="980"/>
      <c r="Y65" s="980"/>
      <c r="Z65" s="980"/>
      <c r="AA65" s="980"/>
      <c r="AB65" s="980"/>
    </row>
    <row r="66" spans="1:28">
      <c r="A66" s="720"/>
      <c r="B66" s="720"/>
      <c r="C66" s="720"/>
      <c r="D66" s="720"/>
      <c r="E66" s="720"/>
      <c r="F66" s="720"/>
      <c r="G66" s="720"/>
      <c r="H66" s="720"/>
      <c r="I66" s="720"/>
      <c r="J66" s="720"/>
      <c r="K66" s="720"/>
      <c r="L66" s="720"/>
      <c r="M66" s="720"/>
      <c r="N66" s="720"/>
      <c r="O66" s="720"/>
      <c r="P66" s="720"/>
      <c r="Q66" s="980"/>
      <c r="R66" s="980"/>
      <c r="S66" s="980"/>
      <c r="T66" s="980"/>
      <c r="U66" s="720"/>
      <c r="V66" s="720"/>
      <c r="W66" s="720"/>
      <c r="X66" s="980"/>
      <c r="Y66" s="980"/>
      <c r="Z66" s="980"/>
      <c r="AA66" s="980"/>
      <c r="AB66" s="980"/>
    </row>
    <row r="67" spans="1:28">
      <c r="A67" s="720"/>
      <c r="B67" s="720"/>
      <c r="C67" s="720"/>
      <c r="D67" s="720"/>
      <c r="E67" s="720"/>
      <c r="F67" s="720"/>
      <c r="G67" s="720"/>
      <c r="H67" s="720"/>
      <c r="I67" s="720"/>
      <c r="J67" s="720"/>
      <c r="K67" s="720"/>
      <c r="L67" s="720"/>
      <c r="M67" s="720"/>
      <c r="N67" s="720"/>
      <c r="O67" s="720"/>
      <c r="P67" s="720"/>
      <c r="Q67" s="980"/>
      <c r="R67" s="980"/>
      <c r="S67" s="980"/>
      <c r="T67" s="980"/>
      <c r="U67" s="720"/>
      <c r="V67" s="720"/>
      <c r="W67" s="720"/>
      <c r="X67" s="980"/>
      <c r="Y67" s="980"/>
      <c r="Z67" s="980"/>
      <c r="AA67" s="980"/>
      <c r="AB67" s="980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3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3"/>
  <dimension ref="A1:AE55"/>
  <sheetViews>
    <sheetView showGridLines="0" showZeros="0" topLeftCell="C1" zoomScaleNormal="100" workbookViewId="0">
      <selection activeCell="R22" sqref="R22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541</v>
      </c>
      <c r="C2" s="243"/>
      <c r="D2" s="243"/>
      <c r="E2" s="243"/>
      <c r="F2" s="243"/>
      <c r="G2" s="243"/>
      <c r="H2" s="746"/>
      <c r="I2" s="746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499</v>
      </c>
      <c r="H3" s="926"/>
      <c r="I3" s="926"/>
      <c r="J3" s="738"/>
      <c r="K3" s="738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540</v>
      </c>
      <c r="C4" s="2146" t="s">
        <v>81</v>
      </c>
      <c r="D4" s="2146" t="s">
        <v>539</v>
      </c>
      <c r="E4" s="2146"/>
      <c r="F4" s="2147"/>
      <c r="G4" s="2147"/>
      <c r="H4" s="923"/>
      <c r="I4" s="923"/>
      <c r="J4" s="737"/>
      <c r="K4" s="737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201100722</v>
      </c>
      <c r="C5" s="926"/>
      <c r="D5" s="926"/>
      <c r="E5" s="926"/>
      <c r="F5" s="923"/>
      <c r="G5" s="923"/>
      <c r="H5" s="926"/>
      <c r="I5" s="926"/>
      <c r="J5" s="737"/>
      <c r="K5" s="686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>
      <c r="A6" s="928" t="s">
        <v>51</v>
      </c>
      <c r="B6" s="244" t="s">
        <v>538</v>
      </c>
      <c r="C6" s="926"/>
      <c r="D6" s="2429"/>
      <c r="E6" s="2429"/>
      <c r="F6" s="923"/>
      <c r="G6" s="923"/>
      <c r="H6" s="930"/>
      <c r="I6" s="930"/>
      <c r="J6" s="740"/>
      <c r="K6" s="739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49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8.2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968"/>
      <c r="V9" s="969"/>
      <c r="W9" s="970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971" t="s">
        <v>86</v>
      </c>
      <c r="Y13" s="971"/>
      <c r="Z13" s="971"/>
      <c r="AA13" s="971"/>
      <c r="AB13" s="971"/>
    </row>
    <row r="14" spans="1:31">
      <c r="A14" s="972"/>
      <c r="B14" s="728"/>
      <c r="C14" s="706"/>
      <c r="D14" s="973"/>
      <c r="E14" s="972"/>
      <c r="F14" s="699"/>
      <c r="G14" s="699"/>
      <c r="H14" s="699"/>
      <c r="I14" s="699"/>
      <c r="J14" s="699"/>
      <c r="K14" s="699"/>
      <c r="L14" s="699"/>
      <c r="M14" s="699"/>
      <c r="N14" s="699"/>
      <c r="O14" s="706"/>
      <c r="P14" s="699"/>
      <c r="Q14" s="706"/>
      <c r="R14" s="706"/>
      <c r="S14" s="974"/>
      <c r="T14" s="975"/>
      <c r="U14" s="706"/>
      <c r="V14" s="972"/>
      <c r="W14" s="699"/>
      <c r="X14" s="975"/>
      <c r="Y14" s="975"/>
      <c r="Z14" s="975"/>
      <c r="AA14" s="975"/>
      <c r="AB14" s="975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/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537</v>
      </c>
      <c r="C16" s="699">
        <f>666666.5*1.2</f>
        <v>799999.79999999993</v>
      </c>
      <c r="D16" s="699">
        <f>406799.9*1.2</f>
        <v>488159.88</v>
      </c>
      <c r="E16" s="700">
        <v>1</v>
      </c>
      <c r="F16" s="699">
        <f t="shared" ref="F16:F22" si="0">+E16*D16</f>
        <v>488159.88</v>
      </c>
      <c r="G16" s="699">
        <v>110000</v>
      </c>
      <c r="H16" s="699" t="s">
        <v>95</v>
      </c>
      <c r="I16" s="699">
        <f>W16</f>
        <v>488159.88</v>
      </c>
      <c r="J16" s="699">
        <v>3200.0012400000123</v>
      </c>
      <c r="K16" s="699"/>
      <c r="L16" s="699">
        <f>+I16-J16+K16</f>
        <v>484959.87875999999</v>
      </c>
      <c r="M16" s="699"/>
      <c r="N16" s="699">
        <f>G16</f>
        <v>110000</v>
      </c>
      <c r="O16" s="699">
        <v>1</v>
      </c>
      <c r="P16" s="717">
        <v>484959.87875999999</v>
      </c>
      <c r="Q16" s="699"/>
      <c r="R16" s="706">
        <v>436463.89088399999</v>
      </c>
      <c r="S16" s="706">
        <f>P16-R16</f>
        <v>48495.987875999999</v>
      </c>
      <c r="T16" s="1504">
        <f>W16-L16</f>
        <v>3200.0012400000123</v>
      </c>
      <c r="U16" s="699">
        <f>406799.9*1.2</f>
        <v>488159.88</v>
      </c>
      <c r="V16" s="700">
        <v>1</v>
      </c>
      <c r="W16" s="699">
        <f t="shared" ref="W16:W22" si="1">+V16*U16</f>
        <v>488159.88</v>
      </c>
      <c r="X16" s="1506">
        <v>484959.87875999999</v>
      </c>
      <c r="Y16" s="699">
        <v>110000</v>
      </c>
      <c r="Z16" s="986">
        <v>484959.87875999999</v>
      </c>
      <c r="AA16" s="986"/>
      <c r="AB16" s="703">
        <v>488159.88</v>
      </c>
    </row>
    <row r="17" spans="1:31" hidden="1">
      <c r="A17" s="976"/>
      <c r="B17" s="720"/>
      <c r="C17" s="699">
        <f>666666.5*1.2</f>
        <v>799999.79999999993</v>
      </c>
      <c r="D17" s="699"/>
      <c r="E17" s="700">
        <v>1</v>
      </c>
      <c r="F17" s="699">
        <f t="shared" si="0"/>
        <v>0</v>
      </c>
      <c r="G17" s="699"/>
      <c r="H17" s="699"/>
      <c r="I17" s="699"/>
      <c r="J17" s="699">
        <v>0</v>
      </c>
      <c r="K17" s="699"/>
      <c r="L17" s="699">
        <f>+I17-J17+K17</f>
        <v>0</v>
      </c>
      <c r="M17" s="699"/>
      <c r="N17" s="699">
        <f>G17</f>
        <v>0</v>
      </c>
      <c r="O17" s="699"/>
      <c r="P17" s="699"/>
      <c r="Q17" s="699"/>
      <c r="R17" s="706">
        <v>0</v>
      </c>
      <c r="S17" s="706">
        <f>P17-R17</f>
        <v>0</v>
      </c>
      <c r="T17" s="1504">
        <f t="shared" ref="T17:T22" si="2">W17-L17</f>
        <v>0</v>
      </c>
      <c r="U17" s="699"/>
      <c r="V17" s="700">
        <v>1</v>
      </c>
      <c r="W17" s="699">
        <f t="shared" si="1"/>
        <v>0</v>
      </c>
      <c r="X17" s="1506">
        <v>0</v>
      </c>
      <c r="Y17" s="699">
        <v>0</v>
      </c>
      <c r="Z17" s="987"/>
      <c r="AA17" s="987"/>
      <c r="AB17" s="1010">
        <v>0</v>
      </c>
      <c r="AC17" s="686"/>
      <c r="AD17" s="686"/>
      <c r="AE17" s="686"/>
    </row>
    <row r="18" spans="1:31" hidden="1">
      <c r="A18" s="977"/>
      <c r="B18" s="720"/>
      <c r="C18" s="699">
        <f>666666.5*1.2</f>
        <v>799999.79999999993</v>
      </c>
      <c r="D18" s="699"/>
      <c r="E18" s="700">
        <v>1</v>
      </c>
      <c r="F18" s="699">
        <f t="shared" si="0"/>
        <v>0</v>
      </c>
      <c r="G18" s="699"/>
      <c r="H18" s="699"/>
      <c r="I18" s="699"/>
      <c r="J18" s="699">
        <v>0</v>
      </c>
      <c r="K18" s="699"/>
      <c r="L18" s="699">
        <f>+I18-J18+K18</f>
        <v>0</v>
      </c>
      <c r="M18" s="699"/>
      <c r="N18" s="699">
        <f>G18</f>
        <v>0</v>
      </c>
      <c r="O18" s="699"/>
      <c r="P18" s="699"/>
      <c r="Q18" s="699"/>
      <c r="R18" s="706">
        <v>0</v>
      </c>
      <c r="S18" s="706">
        <f>P18-R18</f>
        <v>0</v>
      </c>
      <c r="T18" s="1504">
        <f t="shared" si="2"/>
        <v>0</v>
      </c>
      <c r="U18" s="699"/>
      <c r="V18" s="700">
        <v>1</v>
      </c>
      <c r="W18" s="699">
        <f t="shared" si="1"/>
        <v>0</v>
      </c>
      <c r="X18" s="1506">
        <v>0</v>
      </c>
      <c r="Y18" s="699">
        <v>0</v>
      </c>
      <c r="Z18" s="987"/>
      <c r="AA18" s="987"/>
      <c r="AB18" s="1010">
        <v>0</v>
      </c>
      <c r="AC18" s="686"/>
      <c r="AD18" s="686"/>
      <c r="AE18" s="686"/>
    </row>
    <row r="19" spans="1:31" ht="29.25" customHeight="1">
      <c r="A19" s="978">
        <v>2</v>
      </c>
      <c r="B19" s="718" t="s">
        <v>536</v>
      </c>
      <c r="C19" s="699">
        <f>666666.5*1.2</f>
        <v>799999.79999999993</v>
      </c>
      <c r="D19" s="699">
        <f>406799.9*1.2</f>
        <v>488159.88</v>
      </c>
      <c r="E19" s="700">
        <v>1</v>
      </c>
      <c r="F19" s="699">
        <f t="shared" si="0"/>
        <v>488159.88</v>
      </c>
      <c r="G19" s="699">
        <v>42857.14</v>
      </c>
      <c r="H19" s="702" t="s">
        <v>535</v>
      </c>
      <c r="I19" s="699">
        <f>W19</f>
        <v>488159.88</v>
      </c>
      <c r="J19" s="699">
        <v>3200.0012400000123</v>
      </c>
      <c r="K19" s="702"/>
      <c r="L19" s="699">
        <f>+I19-J19+K19</f>
        <v>484959.87875999999</v>
      </c>
      <c r="M19" s="702"/>
      <c r="N19" s="699">
        <f>G19</f>
        <v>42857.14</v>
      </c>
      <c r="O19" s="702"/>
      <c r="P19" s="717">
        <v>484959.87875999999</v>
      </c>
      <c r="Q19" s="711"/>
      <c r="R19" s="706">
        <v>436463.89088399999</v>
      </c>
      <c r="S19" s="706">
        <f>P19-R19</f>
        <v>48495.987875999999</v>
      </c>
      <c r="T19" s="1504">
        <f t="shared" si="2"/>
        <v>3200.0012400000123</v>
      </c>
      <c r="U19" s="699">
        <f>406799.9*1.2</f>
        <v>488159.88</v>
      </c>
      <c r="V19" s="700">
        <v>1</v>
      </c>
      <c r="W19" s="699">
        <f t="shared" si="1"/>
        <v>488159.88</v>
      </c>
      <c r="X19" s="1507">
        <v>484959.87875999999</v>
      </c>
      <c r="Y19" s="699">
        <v>42857.14</v>
      </c>
      <c r="Z19" s="702">
        <v>484959.87875999999</v>
      </c>
      <c r="AA19" s="702"/>
      <c r="AB19" s="703">
        <v>488159.88</v>
      </c>
      <c r="AC19" s="686"/>
      <c r="AD19" s="686"/>
      <c r="AE19" s="686"/>
    </row>
    <row r="20" spans="1:31" ht="26.25" customHeight="1">
      <c r="A20" s="705">
        <v>3</v>
      </c>
      <c r="B20" s="715" t="s">
        <v>534</v>
      </c>
      <c r="C20" s="699">
        <f>833333.13*1.2</f>
        <v>999999.75599999994</v>
      </c>
      <c r="D20" s="699">
        <f>508499.88*1.2</f>
        <v>610199.85600000003</v>
      </c>
      <c r="E20" s="700">
        <v>1</v>
      </c>
      <c r="F20" s="699">
        <f t="shared" si="0"/>
        <v>610199.85600000003</v>
      </c>
      <c r="G20" s="699">
        <f>8000/0.7</f>
        <v>11428.571428571429</v>
      </c>
      <c r="H20" s="702" t="s">
        <v>533</v>
      </c>
      <c r="I20" s="699">
        <f>W20</f>
        <v>610199.85600000003</v>
      </c>
      <c r="J20" s="702">
        <f>0.1*I20</f>
        <v>61019.985600000007</v>
      </c>
      <c r="K20" s="702"/>
      <c r="L20" s="699">
        <f>+I20-J20+K20</f>
        <v>549179.87040000001</v>
      </c>
      <c r="M20" s="702"/>
      <c r="N20" s="699">
        <f>G20</f>
        <v>11428.571428571429</v>
      </c>
      <c r="O20" s="702"/>
      <c r="P20" s="2378">
        <v>363719.90248000016</v>
      </c>
      <c r="Q20" s="711"/>
      <c r="R20" s="702"/>
      <c r="S20" s="706">
        <f>P20-R20</f>
        <v>363719.90248000016</v>
      </c>
      <c r="T20" s="1504">
        <f t="shared" si="2"/>
        <v>61019.985600000015</v>
      </c>
      <c r="U20" s="699">
        <f>508499.88*1.2</f>
        <v>610199.85600000003</v>
      </c>
      <c r="V20" s="700">
        <v>1</v>
      </c>
      <c r="W20" s="699">
        <f t="shared" si="1"/>
        <v>610199.85600000003</v>
      </c>
      <c r="X20" s="1507">
        <v>427139.89919999999</v>
      </c>
      <c r="Y20" s="699">
        <v>11428.571428571429</v>
      </c>
      <c r="Z20" s="702">
        <v>363719.90248000016</v>
      </c>
      <c r="AA20" s="702"/>
      <c r="AB20" s="703">
        <v>610199.85600000003</v>
      </c>
      <c r="AC20" s="686"/>
      <c r="AD20" s="686"/>
      <c r="AE20" s="686"/>
    </row>
    <row r="21" spans="1:31" ht="23.25" customHeight="1">
      <c r="A21" s="705">
        <v>4</v>
      </c>
      <c r="B21" s="715" t="s">
        <v>532</v>
      </c>
      <c r="C21" s="699">
        <f>666666.5*1.2</f>
        <v>799999.79999999993</v>
      </c>
      <c r="D21" s="699">
        <f>406799.9*1.2</f>
        <v>488159.88</v>
      </c>
      <c r="E21" s="700">
        <v>1</v>
      </c>
      <c r="F21" s="699">
        <f t="shared" si="0"/>
        <v>488159.88</v>
      </c>
      <c r="G21" s="702">
        <v>1428.57</v>
      </c>
      <c r="H21" s="702" t="s">
        <v>531</v>
      </c>
      <c r="I21" s="702"/>
      <c r="J21" s="702"/>
      <c r="K21" s="702"/>
      <c r="L21" s="702"/>
      <c r="M21" s="702"/>
      <c r="N21" s="702">
        <v>1428.57</v>
      </c>
      <c r="O21" s="702"/>
      <c r="P21" s="699"/>
      <c r="Q21" s="711"/>
      <c r="R21" s="702"/>
      <c r="S21" s="702"/>
      <c r="T21" s="1504">
        <f t="shared" si="2"/>
        <v>488159.88</v>
      </c>
      <c r="U21" s="699">
        <f>406799.9*1.2</f>
        <v>488159.88</v>
      </c>
      <c r="V21" s="700">
        <v>1</v>
      </c>
      <c r="W21" s="699">
        <f t="shared" si="1"/>
        <v>488159.88</v>
      </c>
      <c r="X21" s="702"/>
      <c r="Y21" s="702">
        <v>1428.57</v>
      </c>
      <c r="Z21" s="702"/>
      <c r="AA21" s="702"/>
      <c r="AB21" s="702">
        <v>488159.88</v>
      </c>
      <c r="AC21" s="686"/>
      <c r="AD21" s="686"/>
      <c r="AE21" s="686"/>
    </row>
    <row r="22" spans="1:31" ht="34.5" customHeight="1">
      <c r="A22" s="700"/>
      <c r="B22" s="712" t="s">
        <v>530</v>
      </c>
      <c r="C22" s="699">
        <f>499999.88*1.2</f>
        <v>599999.85600000003</v>
      </c>
      <c r="D22" s="699">
        <f>305099.93*1.2</f>
        <v>366119.91599999997</v>
      </c>
      <c r="E22" s="700">
        <v>1</v>
      </c>
      <c r="F22" s="699">
        <f t="shared" si="0"/>
        <v>366119.91599999997</v>
      </c>
      <c r="G22" s="702">
        <v>16445.71</v>
      </c>
      <c r="H22" s="702" t="s">
        <v>94</v>
      </c>
      <c r="I22" s="702"/>
      <c r="J22" s="702"/>
      <c r="K22" s="702"/>
      <c r="L22" s="702"/>
      <c r="M22" s="702"/>
      <c r="N22" s="702">
        <v>16445.71</v>
      </c>
      <c r="O22" s="702"/>
      <c r="P22" s="702"/>
      <c r="Q22" s="711"/>
      <c r="R22" s="702"/>
      <c r="S22" s="702"/>
      <c r="T22" s="1504">
        <f t="shared" si="2"/>
        <v>366119.91599999997</v>
      </c>
      <c r="U22" s="699">
        <f>305099.93*1.2</f>
        <v>366119.91599999997</v>
      </c>
      <c r="V22" s="700">
        <v>1</v>
      </c>
      <c r="W22" s="699">
        <f t="shared" si="1"/>
        <v>366119.91599999997</v>
      </c>
      <c r="X22" s="702"/>
      <c r="Y22" s="702">
        <v>16445.71</v>
      </c>
      <c r="Z22" s="702"/>
      <c r="AA22" s="702"/>
      <c r="AB22" s="702">
        <v>366119.91599999997</v>
      </c>
      <c r="AC22" s="686"/>
      <c r="AD22" s="686"/>
      <c r="AE22" s="686"/>
    </row>
    <row r="23" spans="1:31" hidden="1">
      <c r="A23" s="700"/>
      <c r="B23" s="712"/>
      <c r="C23" s="699">
        <f>D23*E23</f>
        <v>0</v>
      </c>
      <c r="D23" s="703"/>
      <c r="E23" s="705"/>
      <c r="F23" s="699">
        <f t="shared" ref="F23:F48" si="3">D23*E23</f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ref="W23:W48" si="4">U23*V23</f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>D24*E24</f>
        <v>0</v>
      </c>
      <c r="D24" s="703"/>
      <c r="E24" s="700"/>
      <c r="F24" s="699">
        <f t="shared" si="3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4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>D25*E25</f>
        <v>0</v>
      </c>
      <c r="D25" s="703"/>
      <c r="E25" s="700"/>
      <c r="F25" s="699">
        <f t="shared" si="3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4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/>
      <c r="D26" s="703"/>
      <c r="E26" s="700"/>
      <c r="F26" s="699">
        <f t="shared" si="3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4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/>
      <c r="D27" s="703"/>
      <c r="E27" s="700"/>
      <c r="F27" s="699">
        <f t="shared" si="3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4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/>
      <c r="D28" s="703"/>
      <c r="E28" s="700"/>
      <c r="F28" s="699">
        <f t="shared" si="3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4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/>
      <c r="D29" s="703"/>
      <c r="E29" s="700"/>
      <c r="F29" s="699">
        <f t="shared" si="3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4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/>
      <c r="D30" s="703"/>
      <c r="E30" s="700"/>
      <c r="F30" s="699">
        <f t="shared" si="3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4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/>
      <c r="D31" s="703"/>
      <c r="E31" s="700"/>
      <c r="F31" s="699">
        <f t="shared" si="3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4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/>
      <c r="D32" s="703"/>
      <c r="E32" s="700"/>
      <c r="F32" s="699">
        <f t="shared" si="3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4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/>
      <c r="D33" s="703"/>
      <c r="E33" s="700"/>
      <c r="F33" s="699">
        <f t="shared" si="3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4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/>
      <c r="D34" s="703"/>
      <c r="E34" s="700"/>
      <c r="F34" s="699">
        <f t="shared" si="3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4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/>
      <c r="D35" s="703"/>
      <c r="E35" s="700"/>
      <c r="F35" s="699">
        <f t="shared" si="3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4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/>
      <c r="D36" s="703"/>
      <c r="E36" s="700"/>
      <c r="F36" s="699">
        <f t="shared" si="3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4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/>
      <c r="D37" s="703"/>
      <c r="E37" s="700"/>
      <c r="F37" s="699">
        <f t="shared" si="3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4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/>
      <c r="D38" s="703"/>
      <c r="E38" s="700"/>
      <c r="F38" s="699">
        <f t="shared" si="3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4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/>
      <c r="D39" s="703"/>
      <c r="E39" s="700"/>
      <c r="F39" s="699">
        <f t="shared" si="3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4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/>
      <c r="D40" s="703"/>
      <c r="E40" s="700"/>
      <c r="F40" s="699">
        <f t="shared" si="3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4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/>
      <c r="D41" s="703"/>
      <c r="E41" s="700"/>
      <c r="F41" s="699">
        <f t="shared" si="3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4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/>
      <c r="D42" s="703"/>
      <c r="E42" s="705"/>
      <c r="F42" s="699">
        <f t="shared" si="3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4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/>
      <c r="D43" s="703"/>
      <c r="E43" s="705"/>
      <c r="F43" s="699">
        <f t="shared" si="3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4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/>
      <c r="D44" s="703"/>
      <c r="E44" s="705"/>
      <c r="F44" s="699">
        <f t="shared" si="3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4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/>
      <c r="D45" s="703"/>
      <c r="E45" s="705"/>
      <c r="F45" s="699">
        <f t="shared" si="3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4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/>
      <c r="D46" s="703"/>
      <c r="E46" s="705"/>
      <c r="F46" s="699">
        <f t="shared" si="3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4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/>
      <c r="D47" s="703"/>
      <c r="E47" s="705"/>
      <c r="F47" s="699">
        <f t="shared" si="3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4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/>
      <c r="D48" s="703"/>
      <c r="E48" s="700"/>
      <c r="F48" s="699">
        <f t="shared" si="3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4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90">
        <f>+C16+C19+C20+C21+C22</f>
        <v>3999999.0119999996</v>
      </c>
      <c r="D49" s="990"/>
      <c r="E49" s="990"/>
      <c r="F49" s="990">
        <f>SUM(F15:F48)</f>
        <v>2440799.4119999995</v>
      </c>
      <c r="G49" s="990">
        <f>SUM(G16:G48)</f>
        <v>182159.99142857143</v>
      </c>
      <c r="H49" s="990">
        <f>SUM(H16:H48)</f>
        <v>0</v>
      </c>
      <c r="I49" s="990">
        <f>SUM(I17:I48)</f>
        <v>1098359.736</v>
      </c>
      <c r="J49" s="990">
        <f>SUM(J16:J48)</f>
        <v>67419.988080000039</v>
      </c>
      <c r="K49" s="990">
        <f>SUM(K16:K48)</f>
        <v>0</v>
      </c>
      <c r="L49" s="990">
        <f>SUM(L16:L48)</f>
        <v>1519099.6279199999</v>
      </c>
      <c r="M49" s="990">
        <f>SUM(M16:M48)</f>
        <v>0</v>
      </c>
      <c r="N49" s="990">
        <f>SUM(N16:N48)</f>
        <v>182159.99142857143</v>
      </c>
      <c r="O49" s="990"/>
      <c r="P49" s="990">
        <f>SUM(P16:P48)</f>
        <v>1333639.6600000001</v>
      </c>
      <c r="Q49" s="990">
        <f>SUM(Q16:Q48)</f>
        <v>0</v>
      </c>
      <c r="R49" s="990">
        <f>SUM(R16:R48)</f>
        <v>872927.78176799999</v>
      </c>
      <c r="S49" s="990">
        <f>SUM(S16:S48)</f>
        <v>460711.87823200016</v>
      </c>
      <c r="T49" s="991">
        <f>W49-L49</f>
        <v>921699.78407999966</v>
      </c>
      <c r="U49" s="990"/>
      <c r="V49" s="990"/>
      <c r="W49" s="990">
        <f>SUM(W14:W48)</f>
        <v>2440799.4119999995</v>
      </c>
      <c r="X49" s="990">
        <f>SUM(X16:X48)</f>
        <v>1397059.6567199999</v>
      </c>
      <c r="Y49" s="990">
        <f>SUM(Y16:Y48)</f>
        <v>182159.99142857143</v>
      </c>
      <c r="Z49" s="990">
        <f>SUM(Z16:Z48)</f>
        <v>1333639.6600000001</v>
      </c>
      <c r="AA49" s="990">
        <f>SUM(AA16:AA48)</f>
        <v>0</v>
      </c>
      <c r="AB49" s="990">
        <f>SUM(AB16:AB48)</f>
        <v>2440799.4119999995</v>
      </c>
      <c r="AC49" s="686"/>
      <c r="AD49" s="686"/>
      <c r="AE49" s="686"/>
    </row>
    <row r="50" spans="1:31">
      <c r="A50" s="985"/>
      <c r="B50" s="1067"/>
      <c r="C50" s="720"/>
      <c r="D50" s="720"/>
      <c r="E50" s="720"/>
      <c r="F50" s="979"/>
      <c r="G50" s="979"/>
      <c r="H50" s="979"/>
      <c r="I50" s="979"/>
      <c r="J50" s="979"/>
      <c r="K50" s="979"/>
      <c r="L50" s="979"/>
      <c r="M50" s="979"/>
      <c r="N50" s="979"/>
      <c r="O50" s="720"/>
      <c r="P50" s="979"/>
      <c r="Q50" s="720"/>
      <c r="R50" s="720"/>
      <c r="S50" s="980"/>
      <c r="T50" s="980"/>
      <c r="U50" s="720"/>
      <c r="V50" s="720"/>
      <c r="W50" s="979"/>
      <c r="X50" s="980"/>
      <c r="Y50" s="980"/>
      <c r="Z50" s="980"/>
      <c r="AA50" s="980"/>
      <c r="AB50" s="980"/>
      <c r="AC50" s="686"/>
      <c r="AD50" s="686"/>
      <c r="AE50" s="686"/>
    </row>
    <row r="51" spans="1:31">
      <c r="A51" s="985" t="s">
        <v>529</v>
      </c>
      <c r="B51" s="1067"/>
      <c r="C51" s="720">
        <f>+C49*0.6102</f>
        <v>2440799.3971223994</v>
      </c>
      <c r="D51" s="720"/>
      <c r="E51" s="720"/>
      <c r="F51" s="979"/>
      <c r="G51" s="979"/>
      <c r="H51" s="979"/>
      <c r="I51" s="979"/>
      <c r="J51" s="979"/>
      <c r="K51" s="979"/>
      <c r="L51" s="979"/>
      <c r="M51" s="979"/>
      <c r="N51" s="979"/>
      <c r="O51" s="720"/>
      <c r="P51" s="979"/>
      <c r="Q51" s="720"/>
      <c r="R51" s="720"/>
      <c r="S51" s="980"/>
      <c r="T51" s="980"/>
      <c r="U51" s="720"/>
      <c r="V51" s="720"/>
      <c r="W51" s="979"/>
      <c r="X51" s="980"/>
      <c r="Y51" s="980"/>
      <c r="Z51" s="980"/>
      <c r="AA51" s="980"/>
      <c r="AB51" s="980"/>
      <c r="AC51" s="686"/>
      <c r="AD51" s="686"/>
      <c r="AE51" s="686"/>
    </row>
    <row r="52" spans="1:31">
      <c r="A52" s="985" t="s">
        <v>528</v>
      </c>
      <c r="B52" s="720"/>
      <c r="C52" s="720"/>
      <c r="D52" s="720"/>
      <c r="E52" s="720"/>
      <c r="F52" s="979"/>
      <c r="G52" s="720"/>
      <c r="H52" s="720"/>
      <c r="I52" s="720"/>
      <c r="J52" s="720"/>
      <c r="K52" s="720"/>
      <c r="L52" s="720"/>
      <c r="M52" s="720"/>
      <c r="N52" s="720"/>
      <c r="O52" s="720"/>
      <c r="P52" s="720">
        <v>969919.76</v>
      </c>
      <c r="Q52" s="980">
        <v>872927.78</v>
      </c>
      <c r="R52" s="720"/>
      <c r="S52" s="980"/>
      <c r="T52" s="980"/>
      <c r="U52" s="720"/>
      <c r="V52" s="720"/>
      <c r="W52" s="979"/>
      <c r="X52" s="980"/>
      <c r="Y52" s="980"/>
      <c r="Z52" s="980"/>
      <c r="AA52" s="980"/>
      <c r="AB52" s="980"/>
      <c r="AC52" s="686"/>
      <c r="AD52" s="686"/>
      <c r="AE52" s="686"/>
    </row>
    <row r="53" spans="1:31">
      <c r="F53" s="689"/>
      <c r="R53" s="688"/>
      <c r="W53" s="689"/>
      <c r="AC53" s="686"/>
      <c r="AD53" s="686"/>
      <c r="AE53" s="686"/>
    </row>
    <row r="54" spans="1:31">
      <c r="P54" s="688">
        <f>+P52*0.9</f>
        <v>872927.78399999999</v>
      </c>
      <c r="R54" s="688"/>
      <c r="AC54" s="686"/>
      <c r="AD54" s="686"/>
      <c r="AE54" s="686"/>
    </row>
    <row r="55" spans="1:31">
      <c r="A55" s="688" t="s">
        <v>59</v>
      </c>
      <c r="F55" s="689"/>
      <c r="W55" s="689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32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3"/>
  <dimension ref="A1:AE63"/>
  <sheetViews>
    <sheetView showGridLines="0" showZeros="0" topLeftCell="K1" zoomScaleNormal="100" workbookViewId="0">
      <selection activeCell="Z16" sqref="Z16:Z19"/>
    </sheetView>
  </sheetViews>
  <sheetFormatPr baseColWidth="10" defaultRowHeight="12.75"/>
  <cols>
    <col min="1" max="1" width="10.25" style="247" customWidth="1"/>
    <col min="2" max="2" width="35.375" style="247" customWidth="1"/>
    <col min="3" max="3" width="10.125" style="247" customWidth="1"/>
    <col min="4" max="4" width="10.375" style="247" customWidth="1"/>
    <col min="5" max="5" width="4.875" style="247" customWidth="1"/>
    <col min="6" max="9" width="10.25" style="247" customWidth="1"/>
    <col min="10" max="10" width="12" style="247" customWidth="1"/>
    <col min="11" max="11" width="10.25" style="247" customWidth="1"/>
    <col min="12" max="12" width="9" style="247" customWidth="1"/>
    <col min="13" max="13" width="9.75" style="247" customWidth="1"/>
    <col min="14" max="14" width="8.75" style="247" customWidth="1"/>
    <col min="15" max="15" width="6.5" style="247" customWidth="1"/>
    <col min="16" max="16" width="11" style="247"/>
    <col min="17" max="17" width="5.875" style="231" customWidth="1"/>
    <col min="18" max="19" width="11" style="231"/>
    <col min="20" max="20" width="10.875" style="231" customWidth="1"/>
    <col min="21" max="21" width="9" style="247" customWidth="1"/>
    <col min="22" max="22" width="4.875" style="247" customWidth="1"/>
    <col min="23" max="23" width="10.25" style="247" customWidth="1"/>
    <col min="24" max="28" width="10.875" style="231" customWidth="1"/>
    <col min="29" max="31" width="11" style="231"/>
    <col min="32" max="16384" width="11" style="232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11" t="s">
        <v>49</v>
      </c>
      <c r="B2" s="243" t="s">
        <v>173</v>
      </c>
      <c r="C2" s="243"/>
      <c r="D2" s="243"/>
      <c r="E2" s="243"/>
      <c r="F2" s="243"/>
      <c r="G2" s="243"/>
      <c r="H2" s="246"/>
      <c r="I2" s="246"/>
      <c r="Q2" s="247"/>
      <c r="R2" s="247"/>
    </row>
    <row r="3" spans="1:31">
      <c r="A3" s="1013" t="s">
        <v>60</v>
      </c>
      <c r="B3" s="1013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106</v>
      </c>
      <c r="H3" s="1014"/>
      <c r="I3" s="1014"/>
      <c r="J3" s="249"/>
      <c r="K3" s="249"/>
      <c r="L3" s="249"/>
      <c r="M3" s="249"/>
      <c r="N3" s="249"/>
      <c r="O3" s="249"/>
      <c r="P3" s="249"/>
      <c r="Q3" s="249"/>
      <c r="R3" s="249"/>
      <c r="S3" s="250"/>
      <c r="T3" s="250"/>
      <c r="U3" s="248"/>
      <c r="V3" s="249"/>
      <c r="W3" s="249"/>
      <c r="X3" s="250"/>
      <c r="Y3" s="250"/>
      <c r="Z3" s="250"/>
      <c r="AA3" s="250"/>
      <c r="AB3" s="250"/>
    </row>
    <row r="4" spans="1:31">
      <c r="A4" s="1118" t="s">
        <v>61</v>
      </c>
      <c r="B4" s="246" t="s">
        <v>174</v>
      </c>
      <c r="C4" s="2144" t="s">
        <v>81</v>
      </c>
      <c r="D4" s="2144"/>
      <c r="E4" s="2144"/>
      <c r="F4" s="2145"/>
      <c r="G4" s="2145"/>
      <c r="H4" s="1011"/>
      <c r="I4" s="1011"/>
      <c r="J4" s="245"/>
      <c r="K4" s="245"/>
      <c r="L4" s="245"/>
      <c r="M4" s="245"/>
      <c r="N4" s="245"/>
      <c r="O4" s="249"/>
      <c r="P4" s="245"/>
      <c r="Q4" s="249"/>
      <c r="R4" s="249"/>
      <c r="S4" s="250"/>
      <c r="T4" s="250"/>
      <c r="U4" s="249"/>
      <c r="V4" s="249"/>
      <c r="W4" s="245"/>
      <c r="X4" s="250"/>
      <c r="Y4" s="250"/>
      <c r="Z4" s="250"/>
      <c r="AA4" s="250"/>
      <c r="AB4" s="250"/>
    </row>
    <row r="5" spans="1:31">
      <c r="A5" s="1016" t="s">
        <v>62</v>
      </c>
      <c r="B5" s="253">
        <v>201100650</v>
      </c>
      <c r="C5" s="1014"/>
      <c r="D5" s="1014"/>
      <c r="E5" s="1014"/>
      <c r="F5" s="1011"/>
      <c r="G5" s="1011"/>
      <c r="H5" s="1012"/>
      <c r="I5" s="1012"/>
      <c r="J5" s="245"/>
      <c r="K5" s="232"/>
      <c r="L5" s="245"/>
      <c r="M5" s="245"/>
      <c r="N5" s="245"/>
      <c r="O5" s="249"/>
      <c r="P5" s="245"/>
      <c r="Q5" s="249"/>
      <c r="R5" s="249"/>
      <c r="S5" s="245"/>
      <c r="T5" s="250"/>
      <c r="U5" s="249"/>
      <c r="V5" s="249"/>
      <c r="W5" s="245"/>
      <c r="X5" s="250"/>
      <c r="Y5" s="250"/>
      <c r="Z5" s="250"/>
      <c r="AA5" s="250"/>
      <c r="AB5" s="250"/>
    </row>
    <row r="6" spans="1:31" ht="15.75">
      <c r="A6" s="1016" t="s">
        <v>51</v>
      </c>
      <c r="B6" s="244" t="s">
        <v>175</v>
      </c>
      <c r="C6" s="1014"/>
      <c r="D6" s="2426"/>
      <c r="E6" s="2426"/>
      <c r="F6" s="1011"/>
      <c r="G6" s="1011"/>
      <c r="H6" s="1018"/>
      <c r="I6" s="1019"/>
      <c r="J6" s="256"/>
      <c r="K6" s="251"/>
      <c r="L6" s="251"/>
      <c r="M6" s="250"/>
      <c r="N6" s="231"/>
      <c r="O6" s="231"/>
      <c r="P6" s="231"/>
      <c r="Q6" s="250"/>
      <c r="R6" s="249"/>
      <c r="S6" s="250"/>
      <c r="T6" s="250"/>
      <c r="U6" s="249"/>
      <c r="V6" s="249"/>
      <c r="W6" s="245"/>
      <c r="X6" s="250"/>
      <c r="Y6" s="250"/>
      <c r="Z6" s="250"/>
      <c r="AA6" s="250"/>
      <c r="AB6" s="250"/>
    </row>
    <row r="7" spans="1:31">
      <c r="A7" s="252"/>
      <c r="B7" s="257"/>
      <c r="C7" s="249"/>
      <c r="D7" s="249"/>
      <c r="E7" s="249"/>
      <c r="F7" s="245"/>
      <c r="G7" s="245"/>
      <c r="H7" s="254"/>
      <c r="I7" s="255"/>
      <c r="J7" s="256"/>
      <c r="K7" s="251"/>
      <c r="L7" s="251"/>
      <c r="M7" s="250"/>
      <c r="N7" s="231"/>
      <c r="O7" s="231"/>
      <c r="P7" s="231"/>
      <c r="Q7" s="250"/>
      <c r="R7" s="249"/>
      <c r="S7" s="250"/>
      <c r="T7" s="250"/>
      <c r="U7" s="249"/>
      <c r="V7" s="249"/>
      <c r="W7" s="245"/>
      <c r="X7" s="250"/>
      <c r="Y7" s="250"/>
      <c r="Z7" s="250"/>
      <c r="AA7" s="250"/>
      <c r="AB7" s="250"/>
    </row>
    <row r="8" spans="1:31" s="259" customFormat="1" ht="16.5">
      <c r="A8" s="1021" t="s">
        <v>0</v>
      </c>
      <c r="B8" s="1021" t="s">
        <v>1</v>
      </c>
      <c r="C8" s="1022" t="s">
        <v>2</v>
      </c>
      <c r="D8" s="1023" t="s">
        <v>3</v>
      </c>
      <c r="E8" s="1024"/>
      <c r="F8" s="1025"/>
      <c r="G8" s="1026" t="s">
        <v>4</v>
      </c>
      <c r="H8" s="1027"/>
      <c r="I8" s="1026" t="s">
        <v>5</v>
      </c>
      <c r="J8" s="1027"/>
      <c r="K8" s="1028" t="s">
        <v>6</v>
      </c>
      <c r="L8" s="1028"/>
      <c r="M8" s="1028"/>
      <c r="N8" s="1028"/>
      <c r="O8" s="1024" t="s">
        <v>7</v>
      </c>
      <c r="P8" s="1025"/>
      <c r="Q8" s="1024" t="s">
        <v>8</v>
      </c>
      <c r="R8" s="1025"/>
      <c r="S8" s="1029"/>
      <c r="T8" s="1030"/>
      <c r="U8" s="1031" t="s">
        <v>82</v>
      </c>
      <c r="V8" s="1032"/>
      <c r="W8" s="1033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27" t="s">
        <v>64</v>
      </c>
      <c r="AC8" s="258"/>
      <c r="AD8" s="258"/>
      <c r="AE8" s="258"/>
    </row>
    <row r="9" spans="1:31" s="259" customFormat="1" ht="8.25">
      <c r="A9" s="1034" t="s">
        <v>9</v>
      </c>
      <c r="B9" s="1035"/>
      <c r="C9" s="1036"/>
      <c r="D9" s="1037"/>
      <c r="E9" s="1038"/>
      <c r="F9" s="1039"/>
      <c r="G9" s="1040"/>
      <c r="H9" s="1041"/>
      <c r="I9" s="1040" t="s">
        <v>10</v>
      </c>
      <c r="J9" s="1040"/>
      <c r="K9" s="1042" t="s">
        <v>11</v>
      </c>
      <c r="L9" s="1042"/>
      <c r="M9" s="1042"/>
      <c r="N9" s="1042" t="s">
        <v>12</v>
      </c>
      <c r="O9" s="1038"/>
      <c r="P9" s="1039"/>
      <c r="Q9" s="1038"/>
      <c r="R9" s="1043"/>
      <c r="S9" s="1044" t="s">
        <v>13</v>
      </c>
      <c r="T9" s="1045" t="s">
        <v>14</v>
      </c>
      <c r="U9" s="1071"/>
      <c r="V9" s="1072"/>
      <c r="W9" s="1073"/>
      <c r="X9" s="2428"/>
      <c r="Y9" s="2428"/>
      <c r="Z9" s="2428"/>
      <c r="AA9" s="2428"/>
      <c r="AB9" s="2428"/>
      <c r="AC9" s="258"/>
      <c r="AD9" s="258"/>
      <c r="AE9" s="258"/>
    </row>
    <row r="10" spans="1:31" s="259" customFormat="1" ht="8.25">
      <c r="A10" s="1035"/>
      <c r="B10" s="1035"/>
      <c r="C10" s="1036"/>
      <c r="D10" s="1046" t="s">
        <v>15</v>
      </c>
      <c r="E10" s="1046" t="s">
        <v>16</v>
      </c>
      <c r="F10" s="1028" t="s">
        <v>17</v>
      </c>
      <c r="G10" s="1040"/>
      <c r="H10" s="1041"/>
      <c r="I10" s="1040"/>
      <c r="J10" s="1040"/>
      <c r="K10" s="1047" t="s">
        <v>18</v>
      </c>
      <c r="L10" s="1047" t="s">
        <v>17</v>
      </c>
      <c r="M10" s="1047" t="s">
        <v>19</v>
      </c>
      <c r="N10" s="1047" t="s">
        <v>20</v>
      </c>
      <c r="O10" s="1046" t="s">
        <v>16</v>
      </c>
      <c r="P10" s="1028" t="s">
        <v>17</v>
      </c>
      <c r="Q10" s="1046" t="s">
        <v>16</v>
      </c>
      <c r="R10" s="1028" t="s">
        <v>17</v>
      </c>
      <c r="S10" s="1044" t="s">
        <v>21</v>
      </c>
      <c r="T10" s="1045" t="s">
        <v>22</v>
      </c>
      <c r="U10" s="1046" t="s">
        <v>15</v>
      </c>
      <c r="V10" s="1046" t="s">
        <v>16</v>
      </c>
      <c r="W10" s="1028" t="s">
        <v>17</v>
      </c>
      <c r="X10" s="2428"/>
      <c r="Y10" s="2428"/>
      <c r="Z10" s="2428"/>
      <c r="AA10" s="2428"/>
      <c r="AB10" s="2428"/>
      <c r="AC10" s="258"/>
      <c r="AD10" s="258"/>
      <c r="AE10" s="258"/>
    </row>
    <row r="11" spans="1:31" s="259" customFormat="1" ht="8.25">
      <c r="A11" s="1035"/>
      <c r="B11" s="1035"/>
      <c r="C11" s="1036"/>
      <c r="D11" s="1044" t="s">
        <v>23</v>
      </c>
      <c r="E11" s="1044"/>
      <c r="F11" s="1042" t="s">
        <v>23</v>
      </c>
      <c r="G11" s="1028" t="s">
        <v>24</v>
      </c>
      <c r="H11" s="1028" t="s">
        <v>25</v>
      </c>
      <c r="I11" s="1028" t="s">
        <v>26</v>
      </c>
      <c r="J11" s="1028" t="s">
        <v>27</v>
      </c>
      <c r="K11" s="1042" t="s">
        <v>28</v>
      </c>
      <c r="L11" s="1042" t="s">
        <v>29</v>
      </c>
      <c r="M11" s="1042" t="s">
        <v>30</v>
      </c>
      <c r="N11" s="1042" t="s">
        <v>31</v>
      </c>
      <c r="O11" s="1044"/>
      <c r="P11" s="1042" t="s">
        <v>23</v>
      </c>
      <c r="Q11" s="1044"/>
      <c r="R11" s="1042" t="s">
        <v>23</v>
      </c>
      <c r="S11" s="1036"/>
      <c r="T11" s="1045" t="s">
        <v>32</v>
      </c>
      <c r="U11" s="1044" t="s">
        <v>23</v>
      </c>
      <c r="V11" s="1044"/>
      <c r="W11" s="1042" t="s">
        <v>23</v>
      </c>
      <c r="X11" s="2428"/>
      <c r="Y11" s="2428"/>
      <c r="Z11" s="2428"/>
      <c r="AA11" s="2428"/>
      <c r="AB11" s="2428"/>
      <c r="AC11" s="258"/>
      <c r="AD11" s="258"/>
      <c r="AE11" s="258"/>
    </row>
    <row r="12" spans="1:31">
      <c r="A12" s="1035"/>
      <c r="B12" s="1035"/>
      <c r="C12" s="1036"/>
      <c r="D12" s="1036"/>
      <c r="E12" s="1036"/>
      <c r="F12" s="1048"/>
      <c r="G12" s="1048"/>
      <c r="H12" s="1048"/>
      <c r="I12" s="1048"/>
      <c r="J12" s="1042" t="s">
        <v>33</v>
      </c>
      <c r="K12" s="1042" t="s">
        <v>34</v>
      </c>
      <c r="L12" s="1042"/>
      <c r="M12" s="1042"/>
      <c r="N12" s="1042"/>
      <c r="O12" s="1036"/>
      <c r="P12" s="1048"/>
      <c r="Q12" s="1036"/>
      <c r="R12" s="1048"/>
      <c r="S12" s="1049"/>
      <c r="T12" s="1050"/>
      <c r="U12" s="1036"/>
      <c r="V12" s="1036"/>
      <c r="W12" s="1048"/>
      <c r="X12" s="2428"/>
      <c r="Y12" s="2428"/>
      <c r="Z12" s="2428"/>
      <c r="AA12" s="2428"/>
      <c r="AB12" s="2428"/>
    </row>
    <row r="13" spans="1:31">
      <c r="A13" s="1051"/>
      <c r="B13" s="1051" t="s">
        <v>35</v>
      </c>
      <c r="C13" s="1052" t="s">
        <v>36</v>
      </c>
      <c r="D13" s="1052"/>
      <c r="E13" s="1052"/>
      <c r="F13" s="1053" t="s">
        <v>37</v>
      </c>
      <c r="G13" s="1053" t="s">
        <v>38</v>
      </c>
      <c r="H13" s="1053" t="s">
        <v>39</v>
      </c>
      <c r="I13" s="1053" t="s">
        <v>40</v>
      </c>
      <c r="J13" s="1053" t="s">
        <v>41</v>
      </c>
      <c r="K13" s="1053" t="s">
        <v>42</v>
      </c>
      <c r="L13" s="1053" t="s">
        <v>43</v>
      </c>
      <c r="M13" s="1053" t="s">
        <v>44</v>
      </c>
      <c r="N13" s="1053" t="s">
        <v>45</v>
      </c>
      <c r="O13" s="1052"/>
      <c r="P13" s="1053" t="s">
        <v>37</v>
      </c>
      <c r="Q13" s="1052" t="s">
        <v>46</v>
      </c>
      <c r="R13" s="1052"/>
      <c r="S13" s="1054" t="s">
        <v>47</v>
      </c>
      <c r="T13" s="1055" t="s">
        <v>48</v>
      </c>
      <c r="U13" s="1052"/>
      <c r="V13" s="1052"/>
      <c r="W13" s="1053" t="s">
        <v>37</v>
      </c>
      <c r="X13" s="1056" t="s">
        <v>86</v>
      </c>
      <c r="Y13" s="1056"/>
      <c r="Z13" s="1056"/>
      <c r="AA13" s="1056"/>
      <c r="AB13" s="1056"/>
    </row>
    <row r="14" spans="1:31">
      <c r="A14" s="1057"/>
      <c r="B14" s="265"/>
      <c r="C14" s="230"/>
      <c r="D14" s="1058"/>
      <c r="E14" s="1057"/>
      <c r="F14" s="226"/>
      <c r="G14" s="226"/>
      <c r="H14" s="226"/>
      <c r="I14" s="226"/>
      <c r="J14" s="226"/>
      <c r="K14" s="226"/>
      <c r="L14" s="226"/>
      <c r="M14" s="226"/>
      <c r="N14" s="226"/>
      <c r="O14" s="230"/>
      <c r="P14" s="226"/>
      <c r="Q14" s="230"/>
      <c r="R14" s="230"/>
      <c r="S14" s="1059"/>
      <c r="T14" s="1060"/>
      <c r="U14" s="230"/>
      <c r="V14" s="1057"/>
      <c r="W14" s="226"/>
      <c r="X14" s="1060"/>
      <c r="Y14" s="1060"/>
      <c r="Z14" s="1060"/>
      <c r="AA14" s="1060"/>
      <c r="AB14" s="1060"/>
    </row>
    <row r="15" spans="1:31">
      <c r="A15" s="1057"/>
      <c r="B15" s="265"/>
      <c r="C15" s="226">
        <f>D15*E15</f>
        <v>0</v>
      </c>
      <c r="D15" s="1058"/>
      <c r="E15" s="1057"/>
      <c r="F15" s="226">
        <f t="shared" ref="F15:F33" si="0">D15*E15</f>
        <v>0</v>
      </c>
      <c r="G15" s="226"/>
      <c r="H15" s="226"/>
      <c r="I15" s="226"/>
      <c r="J15" s="226"/>
      <c r="K15" s="226"/>
      <c r="L15" s="226"/>
      <c r="M15" s="226"/>
      <c r="N15" s="226"/>
      <c r="O15" s="230"/>
      <c r="P15" s="1074"/>
      <c r="Q15" s="230"/>
      <c r="R15" s="230"/>
      <c r="S15" s="1059"/>
      <c r="T15" s="1060"/>
      <c r="U15" s="230"/>
      <c r="V15" s="1057"/>
      <c r="W15" s="226">
        <f t="shared" ref="W15:W33" si="1">U15*V15</f>
        <v>0</v>
      </c>
      <c r="X15" s="1060"/>
      <c r="Y15" s="1060"/>
      <c r="Z15" s="1060"/>
      <c r="AA15" s="1060"/>
      <c r="AB15" s="1060"/>
    </row>
    <row r="16" spans="1:31" ht="24.75" customHeight="1">
      <c r="A16" s="229">
        <v>1</v>
      </c>
      <c r="B16" s="227" t="s">
        <v>176</v>
      </c>
      <c r="C16" s="226">
        <f>36300*1.2</f>
        <v>43560</v>
      </c>
      <c r="D16" s="226">
        <v>43560</v>
      </c>
      <c r="E16" s="229">
        <v>1</v>
      </c>
      <c r="F16" s="226">
        <f t="shared" si="0"/>
        <v>43560</v>
      </c>
      <c r="G16" s="226"/>
      <c r="H16" s="226"/>
      <c r="I16" s="226">
        <f>W16</f>
        <v>43560</v>
      </c>
      <c r="J16" s="226"/>
      <c r="K16" s="226"/>
      <c r="L16" s="226">
        <f t="shared" ref="L16:L21" si="2">+I16-J16+K16</f>
        <v>43560</v>
      </c>
      <c r="M16" s="226"/>
      <c r="N16" s="226">
        <f>G16</f>
        <v>0</v>
      </c>
      <c r="O16" s="226">
        <f>+P16/D16</f>
        <v>1</v>
      </c>
      <c r="P16" s="226">
        <f>36300*1.2</f>
        <v>43560</v>
      </c>
      <c r="Q16" s="226">
        <v>1</v>
      </c>
      <c r="R16" s="230">
        <v>43560</v>
      </c>
      <c r="S16" s="230"/>
      <c r="T16" s="577">
        <f t="shared" ref="T16:T21" si="3">W16-L16</f>
        <v>0</v>
      </c>
      <c r="U16" s="226">
        <v>43560</v>
      </c>
      <c r="V16" s="229">
        <v>1</v>
      </c>
      <c r="W16" s="226">
        <f t="shared" si="1"/>
        <v>43560</v>
      </c>
      <c r="X16" s="236">
        <v>43560</v>
      </c>
      <c r="Y16" s="577">
        <v>0</v>
      </c>
      <c r="Z16" s="577">
        <v>43560</v>
      </c>
      <c r="AA16" s="577"/>
      <c r="AB16" s="228">
        <v>43560</v>
      </c>
    </row>
    <row r="17" spans="1:28" ht="24.75" customHeight="1">
      <c r="A17" s="1063">
        <v>2</v>
      </c>
      <c r="B17" s="227" t="s">
        <v>177</v>
      </c>
      <c r="C17" s="226">
        <f>45500*1.2</f>
        <v>54600</v>
      </c>
      <c r="D17" s="226">
        <v>54600</v>
      </c>
      <c r="E17" s="229">
        <v>1</v>
      </c>
      <c r="F17" s="226">
        <f t="shared" si="0"/>
        <v>54600</v>
      </c>
      <c r="G17" s="236"/>
      <c r="H17" s="236"/>
      <c r="I17" s="226">
        <f>W17</f>
        <v>54600</v>
      </c>
      <c r="J17" s="226"/>
      <c r="K17" s="236"/>
      <c r="L17" s="226">
        <f t="shared" si="2"/>
        <v>54600</v>
      </c>
      <c r="M17" s="236"/>
      <c r="N17" s="236">
        <f>500/1300*G17</f>
        <v>0</v>
      </c>
      <c r="O17" s="226">
        <f>+P17/D17</f>
        <v>1</v>
      </c>
      <c r="P17" s="233">
        <f>45500*1.2</f>
        <v>54600</v>
      </c>
      <c r="Q17" s="234">
        <v>1</v>
      </c>
      <c r="R17" s="230">
        <v>54600</v>
      </c>
      <c r="S17" s="236"/>
      <c r="T17" s="577">
        <f t="shared" si="3"/>
        <v>0</v>
      </c>
      <c r="U17" s="226">
        <v>54600</v>
      </c>
      <c r="V17" s="229">
        <v>1</v>
      </c>
      <c r="W17" s="226">
        <f t="shared" si="1"/>
        <v>54600</v>
      </c>
      <c r="X17" s="236">
        <v>54600</v>
      </c>
      <c r="Y17" s="236">
        <v>0</v>
      </c>
      <c r="Z17" s="236">
        <v>54600</v>
      </c>
      <c r="AA17" s="236"/>
      <c r="AB17" s="228">
        <v>54600</v>
      </c>
    </row>
    <row r="18" spans="1:28" ht="24.75" customHeight="1">
      <c r="A18" s="239">
        <v>3</v>
      </c>
      <c r="B18" s="235" t="s">
        <v>178</v>
      </c>
      <c r="C18" s="226">
        <f>172500*1.2</f>
        <v>207000</v>
      </c>
      <c r="D18" s="226">
        <v>207000</v>
      </c>
      <c r="E18" s="229">
        <v>1</v>
      </c>
      <c r="F18" s="226">
        <f t="shared" si="0"/>
        <v>207000</v>
      </c>
      <c r="G18" s="236"/>
      <c r="H18" s="236"/>
      <c r="I18" s="226">
        <f>W18</f>
        <v>207000</v>
      </c>
      <c r="J18" s="226"/>
      <c r="K18" s="236"/>
      <c r="L18" s="226">
        <f t="shared" si="2"/>
        <v>207000</v>
      </c>
      <c r="M18" s="236"/>
      <c r="N18" s="236"/>
      <c r="O18" s="226">
        <f>+P18/D18</f>
        <v>1</v>
      </c>
      <c r="P18" s="226">
        <f>172500*1.2</f>
        <v>207000</v>
      </c>
      <c r="Q18" s="234"/>
      <c r="R18" s="236">
        <v>207000</v>
      </c>
      <c r="S18" s="236"/>
      <c r="T18" s="577">
        <f t="shared" si="3"/>
        <v>0</v>
      </c>
      <c r="U18" s="226">
        <v>207000</v>
      </c>
      <c r="V18" s="229">
        <v>1</v>
      </c>
      <c r="W18" s="226">
        <f t="shared" si="1"/>
        <v>207000</v>
      </c>
      <c r="X18" s="236">
        <v>207000</v>
      </c>
      <c r="Y18" s="236"/>
      <c r="Z18" s="236">
        <v>207000</v>
      </c>
      <c r="AA18" s="236"/>
      <c r="AB18" s="228">
        <v>207000</v>
      </c>
    </row>
    <row r="19" spans="1:28" ht="24.75" customHeight="1">
      <c r="A19" s="239">
        <v>4</v>
      </c>
      <c r="B19" s="235" t="s">
        <v>179</v>
      </c>
      <c r="C19" s="226">
        <f>127000*1.2</f>
        <v>152400</v>
      </c>
      <c r="D19" s="228">
        <v>152400</v>
      </c>
      <c r="E19" s="229">
        <v>1</v>
      </c>
      <c r="F19" s="226">
        <f t="shared" si="0"/>
        <v>152400</v>
      </c>
      <c r="G19" s="236"/>
      <c r="H19" s="236"/>
      <c r="I19" s="226">
        <f>W19</f>
        <v>152400</v>
      </c>
      <c r="J19" s="226"/>
      <c r="K19" s="236"/>
      <c r="L19" s="226">
        <f t="shared" si="2"/>
        <v>152400</v>
      </c>
      <c r="M19" s="236"/>
      <c r="N19" s="236"/>
      <c r="O19" s="226">
        <f>+P19/D19</f>
        <v>0.5</v>
      </c>
      <c r="P19" s="226">
        <f>63500*1.2</f>
        <v>76200</v>
      </c>
      <c r="Q19" s="234"/>
      <c r="R19" s="236">
        <v>76200</v>
      </c>
      <c r="S19" s="236"/>
      <c r="T19" s="577">
        <f t="shared" si="3"/>
        <v>0</v>
      </c>
      <c r="U19" s="228">
        <v>152400</v>
      </c>
      <c r="V19" s="229">
        <v>1</v>
      </c>
      <c r="W19" s="226">
        <f t="shared" si="1"/>
        <v>152400</v>
      </c>
      <c r="X19" s="236">
        <v>152400</v>
      </c>
      <c r="Y19" s="236"/>
      <c r="Z19" s="236">
        <v>76200</v>
      </c>
      <c r="AA19" s="236"/>
      <c r="AB19" s="236">
        <v>152400</v>
      </c>
    </row>
    <row r="20" spans="1:28" ht="24.75" customHeight="1">
      <c r="A20" s="229">
        <v>5</v>
      </c>
      <c r="B20" s="237" t="s">
        <v>180</v>
      </c>
      <c r="C20" s="226">
        <f>136200*1.2</f>
        <v>163440</v>
      </c>
      <c r="D20" s="228">
        <v>163440</v>
      </c>
      <c r="E20" s="229">
        <v>1</v>
      </c>
      <c r="F20" s="226">
        <f t="shared" si="0"/>
        <v>163440</v>
      </c>
      <c r="G20" s="236"/>
      <c r="H20" s="236"/>
      <c r="I20" s="226">
        <f>W20</f>
        <v>163440</v>
      </c>
      <c r="J20" s="226"/>
      <c r="K20" s="236"/>
      <c r="L20" s="226">
        <f t="shared" si="2"/>
        <v>163440</v>
      </c>
      <c r="M20" s="236"/>
      <c r="N20" s="236"/>
      <c r="O20" s="236"/>
      <c r="P20" s="236"/>
      <c r="Q20" s="234"/>
      <c r="R20" s="236"/>
      <c r="S20" s="236"/>
      <c r="T20" s="577">
        <f t="shared" si="3"/>
        <v>0</v>
      </c>
      <c r="U20" s="228">
        <v>163440</v>
      </c>
      <c r="V20" s="229">
        <v>1</v>
      </c>
      <c r="W20" s="226">
        <f t="shared" si="1"/>
        <v>163440</v>
      </c>
      <c r="X20" s="236">
        <v>163440</v>
      </c>
      <c r="Y20" s="236"/>
      <c r="Z20" s="236"/>
      <c r="AA20" s="236"/>
      <c r="AB20" s="236">
        <v>163440</v>
      </c>
    </row>
    <row r="21" spans="1:28" ht="24.75" customHeight="1">
      <c r="A21" s="229">
        <v>6</v>
      </c>
      <c r="B21" s="270" t="s">
        <v>181</v>
      </c>
      <c r="C21" s="226">
        <f>22500*1.2</f>
        <v>27000</v>
      </c>
      <c r="D21" s="228">
        <v>27000</v>
      </c>
      <c r="E21" s="229">
        <v>1</v>
      </c>
      <c r="F21" s="226">
        <f t="shared" si="0"/>
        <v>27000</v>
      </c>
      <c r="G21" s="236"/>
      <c r="H21" s="236"/>
      <c r="I21" s="236"/>
      <c r="J21" s="236"/>
      <c r="K21" s="236"/>
      <c r="L21" s="226">
        <f t="shared" si="2"/>
        <v>0</v>
      </c>
      <c r="M21" s="236"/>
      <c r="N21" s="236"/>
      <c r="O21" s="236"/>
      <c r="P21" s="236"/>
      <c r="Q21" s="234"/>
      <c r="R21" s="226"/>
      <c r="S21" s="236"/>
      <c r="T21" s="577">
        <f t="shared" si="3"/>
        <v>27000</v>
      </c>
      <c r="U21" s="228">
        <v>27000</v>
      </c>
      <c r="V21" s="229">
        <v>1</v>
      </c>
      <c r="W21" s="226">
        <f t="shared" si="1"/>
        <v>27000</v>
      </c>
      <c r="X21" s="236">
        <v>0</v>
      </c>
      <c r="Y21" s="236"/>
      <c r="Z21" s="236"/>
      <c r="AA21" s="236"/>
      <c r="AB21" s="236">
        <v>27000</v>
      </c>
    </row>
    <row r="22" spans="1:28">
      <c r="A22" s="239"/>
      <c r="B22" s="271"/>
      <c r="C22" s="226">
        <f t="shared" ref="C22:C33" si="4">D22*E22</f>
        <v>0</v>
      </c>
      <c r="D22" s="228"/>
      <c r="E22" s="229"/>
      <c r="F22" s="226">
        <f t="shared" si="0"/>
        <v>0</v>
      </c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4"/>
      <c r="R22" s="236"/>
      <c r="S22" s="236"/>
      <c r="T22" s="236"/>
      <c r="U22" s="238"/>
      <c r="V22" s="229"/>
      <c r="W22" s="226">
        <f t="shared" si="1"/>
        <v>0</v>
      </c>
      <c r="X22" s="236"/>
      <c r="Y22" s="236"/>
      <c r="Z22" s="236"/>
      <c r="AA22" s="236"/>
      <c r="AB22" s="236"/>
    </row>
    <row r="23" spans="1:28">
      <c r="A23" s="239"/>
      <c r="B23" s="271"/>
      <c r="C23" s="226">
        <f t="shared" si="4"/>
        <v>0</v>
      </c>
      <c r="D23" s="228"/>
      <c r="E23" s="229"/>
      <c r="F23" s="226">
        <f t="shared" si="0"/>
        <v>0</v>
      </c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4"/>
      <c r="R23" s="236"/>
      <c r="S23" s="236"/>
      <c r="T23" s="236"/>
      <c r="U23" s="238"/>
      <c r="V23" s="229"/>
      <c r="W23" s="226">
        <f t="shared" si="1"/>
        <v>0</v>
      </c>
      <c r="X23" s="236"/>
      <c r="Y23" s="236"/>
      <c r="Z23" s="236"/>
      <c r="AA23" s="236"/>
      <c r="AB23" s="236"/>
    </row>
    <row r="24" spans="1:28">
      <c r="A24" s="239"/>
      <c r="B24" s="271"/>
      <c r="C24" s="226">
        <f t="shared" si="4"/>
        <v>0</v>
      </c>
      <c r="D24" s="228"/>
      <c r="E24" s="229"/>
      <c r="F24" s="226">
        <f t="shared" si="0"/>
        <v>0</v>
      </c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4"/>
      <c r="R24" s="236"/>
      <c r="S24" s="236"/>
      <c r="T24" s="236"/>
      <c r="U24" s="238"/>
      <c r="V24" s="229"/>
      <c r="W24" s="226">
        <f t="shared" si="1"/>
        <v>0</v>
      </c>
      <c r="X24" s="236"/>
      <c r="Y24" s="236"/>
      <c r="Z24" s="236"/>
      <c r="AA24" s="236"/>
      <c r="AB24" s="236"/>
    </row>
    <row r="25" spans="1:28">
      <c r="A25" s="239"/>
      <c r="B25" s="271"/>
      <c r="C25" s="226">
        <f t="shared" si="4"/>
        <v>0</v>
      </c>
      <c r="D25" s="228"/>
      <c r="E25" s="229"/>
      <c r="F25" s="226">
        <f t="shared" si="0"/>
        <v>0</v>
      </c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4"/>
      <c r="R25" s="236"/>
      <c r="S25" s="236"/>
      <c r="T25" s="236"/>
      <c r="U25" s="238"/>
      <c r="V25" s="229"/>
      <c r="W25" s="226">
        <f t="shared" si="1"/>
        <v>0</v>
      </c>
      <c r="X25" s="236"/>
      <c r="Y25" s="236"/>
      <c r="Z25" s="236"/>
      <c r="AA25" s="236"/>
      <c r="AB25" s="236"/>
    </row>
    <row r="26" spans="1:28">
      <c r="A26" s="239"/>
      <c r="B26" s="272"/>
      <c r="C26" s="226">
        <f t="shared" si="4"/>
        <v>0</v>
      </c>
      <c r="D26" s="228"/>
      <c r="E26" s="229"/>
      <c r="F26" s="226">
        <f t="shared" si="0"/>
        <v>0</v>
      </c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73"/>
      <c r="R26" s="236"/>
      <c r="S26" s="236"/>
      <c r="T26" s="236"/>
      <c r="U26" s="238"/>
      <c r="V26" s="229"/>
      <c r="W26" s="226">
        <f t="shared" si="1"/>
        <v>0</v>
      </c>
      <c r="X26" s="236"/>
      <c r="Y26" s="236"/>
      <c r="Z26" s="236"/>
      <c r="AA26" s="236"/>
      <c r="AB26" s="236"/>
    </row>
    <row r="27" spans="1:28">
      <c r="A27" s="229"/>
      <c r="B27" s="270"/>
      <c r="C27" s="226">
        <f t="shared" si="4"/>
        <v>0</v>
      </c>
      <c r="D27" s="228"/>
      <c r="E27" s="229"/>
      <c r="F27" s="226">
        <f t="shared" si="0"/>
        <v>0</v>
      </c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73"/>
      <c r="R27" s="236"/>
      <c r="S27" s="236"/>
      <c r="T27" s="236"/>
      <c r="U27" s="238"/>
      <c r="V27" s="229"/>
      <c r="W27" s="226">
        <f t="shared" si="1"/>
        <v>0</v>
      </c>
      <c r="X27" s="236"/>
      <c r="Y27" s="236"/>
      <c r="Z27" s="236"/>
      <c r="AA27" s="236"/>
      <c r="AB27" s="236">
        <v>0</v>
      </c>
    </row>
    <row r="28" spans="1:28">
      <c r="A28" s="239"/>
      <c r="B28" s="271"/>
      <c r="C28" s="226">
        <f t="shared" si="4"/>
        <v>0</v>
      </c>
      <c r="D28" s="228"/>
      <c r="E28" s="229"/>
      <c r="F28" s="226">
        <f t="shared" si="0"/>
        <v>0</v>
      </c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73"/>
      <c r="R28" s="236"/>
      <c r="S28" s="236"/>
      <c r="T28" s="236"/>
      <c r="U28" s="238"/>
      <c r="V28" s="229"/>
      <c r="W28" s="226">
        <f t="shared" si="1"/>
        <v>0</v>
      </c>
      <c r="X28" s="236"/>
      <c r="Y28" s="236"/>
      <c r="Z28" s="236"/>
      <c r="AA28" s="236"/>
      <c r="AB28" s="236">
        <v>0</v>
      </c>
    </row>
    <row r="29" spans="1:28">
      <c r="A29" s="239"/>
      <c r="B29" s="271"/>
      <c r="C29" s="226">
        <f t="shared" si="4"/>
        <v>0</v>
      </c>
      <c r="D29" s="228"/>
      <c r="E29" s="229"/>
      <c r="F29" s="226">
        <f t="shared" si="0"/>
        <v>0</v>
      </c>
      <c r="G29" s="226"/>
      <c r="H29" s="226"/>
      <c r="I29" s="230"/>
      <c r="J29" s="226"/>
      <c r="K29" s="226"/>
      <c r="L29" s="236"/>
      <c r="M29" s="226"/>
      <c r="N29" s="226"/>
      <c r="O29" s="226"/>
      <c r="P29" s="236"/>
      <c r="Q29" s="273"/>
      <c r="R29" s="236"/>
      <c r="S29" s="236"/>
      <c r="T29" s="1064"/>
      <c r="U29" s="238"/>
      <c r="V29" s="229"/>
      <c r="W29" s="226">
        <f t="shared" si="1"/>
        <v>0</v>
      </c>
      <c r="X29" s="1064"/>
      <c r="Y29" s="1064"/>
      <c r="Z29" s="1064"/>
      <c r="AA29" s="1064"/>
      <c r="AB29" s="1064"/>
    </row>
    <row r="30" spans="1:28">
      <c r="A30" s="239"/>
      <c r="B30" s="271"/>
      <c r="C30" s="226">
        <f t="shared" si="4"/>
        <v>0</v>
      </c>
      <c r="D30" s="228"/>
      <c r="E30" s="229"/>
      <c r="F30" s="226">
        <f t="shared" si="0"/>
        <v>0</v>
      </c>
      <c r="G30" s="226"/>
      <c r="H30" s="226"/>
      <c r="I30" s="230"/>
      <c r="J30" s="226"/>
      <c r="K30" s="226"/>
      <c r="L30" s="236"/>
      <c r="M30" s="226"/>
      <c r="N30" s="226"/>
      <c r="O30" s="226"/>
      <c r="P30" s="226"/>
      <c r="Q30" s="273"/>
      <c r="R30" s="236"/>
      <c r="S30" s="236"/>
      <c r="T30" s="1064"/>
      <c r="U30" s="238"/>
      <c r="V30" s="229"/>
      <c r="W30" s="226">
        <f t="shared" si="1"/>
        <v>0</v>
      </c>
      <c r="X30" s="1064"/>
      <c r="Y30" s="1064"/>
      <c r="Z30" s="1064"/>
      <c r="AA30" s="1064"/>
      <c r="AB30" s="1064"/>
    </row>
    <row r="31" spans="1:28">
      <c r="A31" s="239"/>
      <c r="B31" s="271"/>
      <c r="C31" s="226">
        <f t="shared" si="4"/>
        <v>0</v>
      </c>
      <c r="D31" s="228"/>
      <c r="E31" s="229"/>
      <c r="F31" s="226">
        <f t="shared" si="0"/>
        <v>0</v>
      </c>
      <c r="G31" s="226"/>
      <c r="H31" s="226"/>
      <c r="I31" s="230"/>
      <c r="J31" s="226"/>
      <c r="K31" s="226"/>
      <c r="L31" s="236"/>
      <c r="M31" s="226"/>
      <c r="N31" s="226"/>
      <c r="O31" s="226"/>
      <c r="P31" s="226"/>
      <c r="Q31" s="273"/>
      <c r="R31" s="236"/>
      <c r="S31" s="236"/>
      <c r="T31" s="1064"/>
      <c r="U31" s="238"/>
      <c r="V31" s="229"/>
      <c r="W31" s="226">
        <f t="shared" si="1"/>
        <v>0</v>
      </c>
      <c r="X31" s="1064"/>
      <c r="Y31" s="1064"/>
      <c r="Z31" s="1064"/>
      <c r="AA31" s="1064"/>
      <c r="AB31" s="1064"/>
    </row>
    <row r="32" spans="1:28">
      <c r="A32" s="239"/>
      <c r="B32" s="271"/>
      <c r="C32" s="226">
        <f t="shared" si="4"/>
        <v>0</v>
      </c>
      <c r="D32" s="228"/>
      <c r="E32" s="229"/>
      <c r="F32" s="226">
        <f t="shared" si="0"/>
        <v>0</v>
      </c>
      <c r="G32" s="226"/>
      <c r="H32" s="226"/>
      <c r="I32" s="230"/>
      <c r="J32" s="226"/>
      <c r="K32" s="226"/>
      <c r="L32" s="236"/>
      <c r="M32" s="226"/>
      <c r="N32" s="226"/>
      <c r="O32" s="226"/>
      <c r="P32" s="226"/>
      <c r="Q32" s="273"/>
      <c r="R32" s="236"/>
      <c r="S32" s="236"/>
      <c r="T32" s="1064"/>
      <c r="U32" s="238"/>
      <c r="V32" s="229"/>
      <c r="W32" s="226">
        <f t="shared" si="1"/>
        <v>0</v>
      </c>
      <c r="X32" s="1064"/>
      <c r="Y32" s="1064"/>
      <c r="Z32" s="1064"/>
      <c r="AA32" s="1064"/>
      <c r="AB32" s="1064"/>
    </row>
    <row r="33" spans="1:28">
      <c r="A33" s="239"/>
      <c r="B33" s="271"/>
      <c r="C33" s="226">
        <f t="shared" si="4"/>
        <v>0</v>
      </c>
      <c r="D33" s="228"/>
      <c r="E33" s="229"/>
      <c r="F33" s="226">
        <f t="shared" si="0"/>
        <v>0</v>
      </c>
      <c r="G33" s="226"/>
      <c r="H33" s="226"/>
      <c r="I33" s="230"/>
      <c r="J33" s="226"/>
      <c r="K33" s="226"/>
      <c r="L33" s="236"/>
      <c r="M33" s="226"/>
      <c r="N33" s="226"/>
      <c r="O33" s="226"/>
      <c r="P33" s="226"/>
      <c r="Q33" s="273"/>
      <c r="R33" s="236"/>
      <c r="S33" s="236"/>
      <c r="T33" s="1064"/>
      <c r="U33" s="238"/>
      <c r="V33" s="229"/>
      <c r="W33" s="226">
        <f t="shared" si="1"/>
        <v>0</v>
      </c>
      <c r="X33" s="1064"/>
      <c r="Y33" s="1064"/>
      <c r="Z33" s="1064"/>
      <c r="AA33" s="1064"/>
      <c r="AB33" s="1064"/>
    </row>
    <row r="34" spans="1:28">
      <c r="A34" s="239"/>
      <c r="B34" s="271"/>
      <c r="C34" s="226"/>
      <c r="D34" s="228"/>
      <c r="E34" s="229"/>
      <c r="F34" s="226"/>
      <c r="G34" s="226"/>
      <c r="H34" s="226"/>
      <c r="I34" s="230"/>
      <c r="J34" s="226"/>
      <c r="K34" s="226"/>
      <c r="L34" s="236"/>
      <c r="M34" s="226"/>
      <c r="N34" s="226"/>
      <c r="O34" s="226"/>
      <c r="P34" s="226"/>
      <c r="Q34" s="273"/>
      <c r="R34" s="236"/>
      <c r="S34" s="236"/>
      <c r="T34" s="1064"/>
      <c r="U34" s="238"/>
      <c r="V34" s="229"/>
      <c r="W34" s="226"/>
      <c r="X34" s="1064"/>
      <c r="Y34" s="1064"/>
      <c r="Z34" s="1064"/>
      <c r="AA34" s="1064"/>
      <c r="AB34" s="1064"/>
    </row>
    <row r="35" spans="1:28">
      <c r="A35" s="239"/>
      <c r="B35" s="271"/>
      <c r="C35" s="226"/>
      <c r="D35" s="228"/>
      <c r="E35" s="229"/>
      <c r="F35" s="226"/>
      <c r="G35" s="226"/>
      <c r="H35" s="226"/>
      <c r="I35" s="230"/>
      <c r="J35" s="226"/>
      <c r="K35" s="226"/>
      <c r="L35" s="236"/>
      <c r="M35" s="226"/>
      <c r="N35" s="226"/>
      <c r="O35" s="226"/>
      <c r="P35" s="226"/>
      <c r="Q35" s="273"/>
      <c r="R35" s="236"/>
      <c r="S35" s="236"/>
      <c r="T35" s="1064"/>
      <c r="U35" s="238"/>
      <c r="V35" s="229"/>
      <c r="W35" s="226"/>
      <c r="X35" s="1064"/>
      <c r="Y35" s="1064"/>
      <c r="Z35" s="1064"/>
      <c r="AA35" s="1064"/>
      <c r="AB35" s="1064"/>
    </row>
    <row r="36" spans="1:28">
      <c r="A36" s="239"/>
      <c r="B36" s="271"/>
      <c r="C36" s="226"/>
      <c r="D36" s="228"/>
      <c r="E36" s="229"/>
      <c r="F36" s="226"/>
      <c r="G36" s="226"/>
      <c r="H36" s="226"/>
      <c r="I36" s="230"/>
      <c r="J36" s="226"/>
      <c r="K36" s="226"/>
      <c r="L36" s="236"/>
      <c r="M36" s="226"/>
      <c r="N36" s="226"/>
      <c r="O36" s="226"/>
      <c r="P36" s="226"/>
      <c r="Q36" s="273"/>
      <c r="R36" s="236"/>
      <c r="S36" s="236"/>
      <c r="T36" s="1064"/>
      <c r="U36" s="238"/>
      <c r="V36" s="229"/>
      <c r="W36" s="226"/>
      <c r="X36" s="1064"/>
      <c r="Y36" s="1064"/>
      <c r="Z36" s="1064"/>
      <c r="AA36" s="1064"/>
      <c r="AB36" s="1064"/>
    </row>
    <row r="37" spans="1:28">
      <c r="A37" s="239"/>
      <c r="B37" s="271"/>
      <c r="C37" s="226"/>
      <c r="D37" s="228"/>
      <c r="E37" s="229"/>
      <c r="F37" s="226"/>
      <c r="G37" s="226"/>
      <c r="H37" s="226"/>
      <c r="I37" s="230"/>
      <c r="J37" s="226"/>
      <c r="K37" s="226"/>
      <c r="L37" s="236"/>
      <c r="M37" s="226"/>
      <c r="N37" s="226"/>
      <c r="O37" s="226"/>
      <c r="P37" s="226"/>
      <c r="Q37" s="273"/>
      <c r="R37" s="236"/>
      <c r="S37" s="236"/>
      <c r="T37" s="1064"/>
      <c r="U37" s="238"/>
      <c r="V37" s="229"/>
      <c r="W37" s="226"/>
      <c r="X37" s="1064"/>
      <c r="Y37" s="1064"/>
      <c r="Z37" s="1064"/>
      <c r="AA37" s="1064"/>
      <c r="AB37" s="1064"/>
    </row>
    <row r="38" spans="1:28">
      <c r="A38" s="239"/>
      <c r="B38" s="271"/>
      <c r="C38" s="226"/>
      <c r="D38" s="228"/>
      <c r="E38" s="229"/>
      <c r="F38" s="226"/>
      <c r="G38" s="226"/>
      <c r="H38" s="226"/>
      <c r="I38" s="230"/>
      <c r="J38" s="226"/>
      <c r="K38" s="226"/>
      <c r="L38" s="236"/>
      <c r="M38" s="226"/>
      <c r="N38" s="226"/>
      <c r="O38" s="226"/>
      <c r="P38" s="226"/>
      <c r="Q38" s="273"/>
      <c r="R38" s="236"/>
      <c r="S38" s="236"/>
      <c r="T38" s="1064"/>
      <c r="U38" s="238"/>
      <c r="V38" s="229"/>
      <c r="W38" s="226"/>
      <c r="X38" s="1064"/>
      <c r="Y38" s="1064"/>
      <c r="Z38" s="1064"/>
      <c r="AA38" s="1064"/>
      <c r="AB38" s="1064"/>
    </row>
    <row r="39" spans="1:28">
      <c r="A39" s="239"/>
      <c r="B39" s="271"/>
      <c r="C39" s="226">
        <f>D39*E39</f>
        <v>0</v>
      </c>
      <c r="D39" s="228"/>
      <c r="E39" s="229"/>
      <c r="F39" s="226">
        <f>D39*E39</f>
        <v>0</v>
      </c>
      <c r="G39" s="226"/>
      <c r="H39" s="226"/>
      <c r="I39" s="230"/>
      <c r="J39" s="226"/>
      <c r="K39" s="226"/>
      <c r="L39" s="236"/>
      <c r="M39" s="226"/>
      <c r="N39" s="226"/>
      <c r="O39" s="226"/>
      <c r="P39" s="236"/>
      <c r="Q39" s="226"/>
      <c r="R39" s="236"/>
      <c r="S39" s="236"/>
      <c r="T39" s="1064"/>
      <c r="U39" s="238"/>
      <c r="V39" s="229"/>
      <c r="W39" s="226">
        <f>U39*V39</f>
        <v>0</v>
      </c>
      <c r="X39" s="1064"/>
      <c r="Y39" s="1064"/>
      <c r="Z39" s="1064"/>
      <c r="AA39" s="1064"/>
      <c r="AB39" s="1064"/>
    </row>
    <row r="40" spans="1:28">
      <c r="A40" s="239"/>
      <c r="B40" s="271"/>
      <c r="C40" s="226"/>
      <c r="D40" s="228"/>
      <c r="E40" s="229"/>
      <c r="F40" s="226"/>
      <c r="G40" s="226"/>
      <c r="H40" s="226"/>
      <c r="I40" s="230"/>
      <c r="J40" s="226"/>
      <c r="K40" s="226"/>
      <c r="L40" s="236"/>
      <c r="M40" s="226"/>
      <c r="N40" s="226"/>
      <c r="O40" s="226"/>
      <c r="P40" s="236"/>
      <c r="Q40" s="226"/>
      <c r="R40" s="236"/>
      <c r="S40" s="236"/>
      <c r="T40" s="1064"/>
      <c r="U40" s="238"/>
      <c r="V40" s="229"/>
      <c r="W40" s="226"/>
      <c r="X40" s="1064"/>
      <c r="Y40" s="1064"/>
      <c r="Z40" s="1064"/>
      <c r="AA40" s="1064"/>
      <c r="AB40" s="1064"/>
    </row>
    <row r="41" spans="1:28">
      <c r="A41" s="239"/>
      <c r="B41" s="271"/>
      <c r="C41" s="226"/>
      <c r="D41" s="228"/>
      <c r="E41" s="229"/>
      <c r="F41" s="226"/>
      <c r="G41" s="226"/>
      <c r="H41" s="226"/>
      <c r="I41" s="230"/>
      <c r="J41" s="226"/>
      <c r="K41" s="226"/>
      <c r="L41" s="236"/>
      <c r="M41" s="226"/>
      <c r="N41" s="226"/>
      <c r="O41" s="226"/>
      <c r="P41" s="236"/>
      <c r="Q41" s="226"/>
      <c r="R41" s="236"/>
      <c r="S41" s="236"/>
      <c r="T41" s="1064"/>
      <c r="U41" s="238"/>
      <c r="V41" s="229"/>
      <c r="W41" s="226"/>
      <c r="X41" s="1064"/>
      <c r="Y41" s="1064"/>
      <c r="Z41" s="1064"/>
      <c r="AA41" s="1064"/>
      <c r="AB41" s="1064"/>
    </row>
    <row r="42" spans="1:28">
      <c r="A42" s="239"/>
      <c r="B42" s="271"/>
      <c r="C42" s="226"/>
      <c r="D42" s="228"/>
      <c r="E42" s="229"/>
      <c r="F42" s="226"/>
      <c r="G42" s="226"/>
      <c r="H42" s="226"/>
      <c r="I42" s="230"/>
      <c r="J42" s="226"/>
      <c r="K42" s="226"/>
      <c r="L42" s="236"/>
      <c r="M42" s="226"/>
      <c r="N42" s="226"/>
      <c r="O42" s="226"/>
      <c r="P42" s="236"/>
      <c r="Q42" s="226"/>
      <c r="R42" s="236"/>
      <c r="S42" s="236"/>
      <c r="T42" s="1064"/>
      <c r="U42" s="238"/>
      <c r="V42" s="229"/>
      <c r="W42" s="226"/>
      <c r="X42" s="1064"/>
      <c r="Y42" s="1064"/>
      <c r="Z42" s="1064"/>
      <c r="AA42" s="1064"/>
      <c r="AB42" s="1064"/>
    </row>
    <row r="43" spans="1:28">
      <c r="A43" s="239"/>
      <c r="B43" s="271"/>
      <c r="C43" s="226"/>
      <c r="D43" s="228"/>
      <c r="E43" s="229"/>
      <c r="F43" s="226"/>
      <c r="G43" s="226"/>
      <c r="H43" s="226"/>
      <c r="I43" s="230"/>
      <c r="J43" s="226"/>
      <c r="K43" s="226"/>
      <c r="L43" s="236"/>
      <c r="M43" s="226"/>
      <c r="N43" s="226"/>
      <c r="O43" s="226"/>
      <c r="P43" s="236"/>
      <c r="Q43" s="226"/>
      <c r="R43" s="236"/>
      <c r="S43" s="236"/>
      <c r="T43" s="1064"/>
      <c r="U43" s="238"/>
      <c r="V43" s="229"/>
      <c r="W43" s="226"/>
      <c r="X43" s="1064"/>
      <c r="Y43" s="1064"/>
      <c r="Z43" s="1064"/>
      <c r="AA43" s="1064"/>
      <c r="AB43" s="1064"/>
    </row>
    <row r="44" spans="1:28">
      <c r="A44" s="239"/>
      <c r="B44" s="271"/>
      <c r="C44" s="226"/>
      <c r="D44" s="228"/>
      <c r="E44" s="229"/>
      <c r="F44" s="226"/>
      <c r="G44" s="226"/>
      <c r="H44" s="226"/>
      <c r="I44" s="230"/>
      <c r="J44" s="226"/>
      <c r="K44" s="226"/>
      <c r="L44" s="236"/>
      <c r="M44" s="226"/>
      <c r="N44" s="226"/>
      <c r="O44" s="226"/>
      <c r="P44" s="236"/>
      <c r="Q44" s="226"/>
      <c r="R44" s="236"/>
      <c r="S44" s="236"/>
      <c r="T44" s="1064"/>
      <c r="U44" s="238"/>
      <c r="V44" s="229"/>
      <c r="W44" s="226"/>
      <c r="X44" s="1064"/>
      <c r="Y44" s="1064"/>
      <c r="Z44" s="1064"/>
      <c r="AA44" s="1064"/>
      <c r="AB44" s="1064"/>
    </row>
    <row r="45" spans="1:28">
      <c r="A45" s="239"/>
      <c r="B45" s="271"/>
      <c r="C45" s="226"/>
      <c r="D45" s="228"/>
      <c r="E45" s="229"/>
      <c r="F45" s="226"/>
      <c r="G45" s="226"/>
      <c r="H45" s="226"/>
      <c r="I45" s="230"/>
      <c r="J45" s="226"/>
      <c r="K45" s="226"/>
      <c r="L45" s="236"/>
      <c r="M45" s="226"/>
      <c r="N45" s="226"/>
      <c r="O45" s="226"/>
      <c r="P45" s="236"/>
      <c r="Q45" s="226"/>
      <c r="R45" s="236"/>
      <c r="S45" s="236"/>
      <c r="T45" s="1064"/>
      <c r="U45" s="238"/>
      <c r="V45" s="229"/>
      <c r="W45" s="226"/>
      <c r="X45" s="1064"/>
      <c r="Y45" s="1064"/>
      <c r="Z45" s="1064"/>
      <c r="AA45" s="1064"/>
      <c r="AB45" s="1064"/>
    </row>
    <row r="46" spans="1:28">
      <c r="A46" s="239"/>
      <c r="B46" s="271"/>
      <c r="C46" s="226">
        <f>D46*E46</f>
        <v>0</v>
      </c>
      <c r="D46" s="228"/>
      <c r="E46" s="229"/>
      <c r="F46" s="226">
        <f>D46*E46</f>
        <v>0</v>
      </c>
      <c r="G46" s="226"/>
      <c r="H46" s="226"/>
      <c r="I46" s="230"/>
      <c r="J46" s="226"/>
      <c r="K46" s="226"/>
      <c r="L46" s="236"/>
      <c r="M46" s="226"/>
      <c r="N46" s="226"/>
      <c r="O46" s="226"/>
      <c r="P46" s="236"/>
      <c r="Q46" s="226"/>
      <c r="R46" s="236"/>
      <c r="S46" s="236"/>
      <c r="T46" s="1064"/>
      <c r="U46" s="238"/>
      <c r="V46" s="229"/>
      <c r="W46" s="226">
        <f>U46*V46</f>
        <v>0</v>
      </c>
      <c r="X46" s="1064"/>
      <c r="Y46" s="1064"/>
      <c r="Z46" s="1064"/>
      <c r="AA46" s="1064"/>
      <c r="AB46" s="1064"/>
    </row>
    <row r="47" spans="1:28">
      <c r="A47" s="239"/>
      <c r="B47" s="271"/>
      <c r="C47" s="226">
        <f>D47*E47</f>
        <v>0</v>
      </c>
      <c r="D47" s="228"/>
      <c r="E47" s="229"/>
      <c r="F47" s="226">
        <f>D47*E47</f>
        <v>0</v>
      </c>
      <c r="G47" s="226"/>
      <c r="H47" s="226"/>
      <c r="I47" s="230"/>
      <c r="J47" s="226"/>
      <c r="K47" s="226"/>
      <c r="L47" s="236"/>
      <c r="M47" s="226"/>
      <c r="N47" s="226"/>
      <c r="O47" s="226"/>
      <c r="P47" s="236"/>
      <c r="Q47" s="226"/>
      <c r="R47" s="236"/>
      <c r="S47" s="236"/>
      <c r="T47" s="1064"/>
      <c r="U47" s="238"/>
      <c r="V47" s="229"/>
      <c r="W47" s="226">
        <f>U47*V47</f>
        <v>0</v>
      </c>
      <c r="X47" s="1064"/>
      <c r="Y47" s="1064"/>
      <c r="Z47" s="1064"/>
      <c r="AA47" s="1064"/>
      <c r="AB47" s="1064"/>
    </row>
    <row r="48" spans="1:28">
      <c r="A48" s="239"/>
      <c r="B48" s="271"/>
      <c r="C48" s="226">
        <f>D48*E48</f>
        <v>0</v>
      </c>
      <c r="D48" s="228"/>
      <c r="E48" s="239"/>
      <c r="F48" s="226">
        <f>D48*E48</f>
        <v>0</v>
      </c>
      <c r="G48" s="226"/>
      <c r="H48" s="226"/>
      <c r="I48" s="230"/>
      <c r="J48" s="226"/>
      <c r="K48" s="226"/>
      <c r="L48" s="236"/>
      <c r="M48" s="226"/>
      <c r="N48" s="226"/>
      <c r="O48" s="226"/>
      <c r="P48" s="236"/>
      <c r="Q48" s="226"/>
      <c r="R48" s="236"/>
      <c r="S48" s="236"/>
      <c r="T48" s="1064"/>
      <c r="U48" s="238"/>
      <c r="V48" s="239"/>
      <c r="W48" s="226">
        <f>U48*V48</f>
        <v>0</v>
      </c>
      <c r="X48" s="1064"/>
      <c r="Y48" s="1064"/>
      <c r="Z48" s="1064"/>
      <c r="AA48" s="1064"/>
      <c r="AB48" s="1064"/>
    </row>
    <row r="49" spans="1:28">
      <c r="A49" s="239"/>
      <c r="B49" s="271"/>
      <c r="C49" s="226"/>
      <c r="D49" s="228"/>
      <c r="E49" s="239"/>
      <c r="F49" s="226"/>
      <c r="G49" s="226"/>
      <c r="H49" s="226"/>
      <c r="I49" s="230"/>
      <c r="J49" s="226"/>
      <c r="K49" s="226"/>
      <c r="L49" s="236"/>
      <c r="M49" s="226"/>
      <c r="N49" s="226"/>
      <c r="O49" s="226"/>
      <c r="P49" s="236"/>
      <c r="Q49" s="226"/>
      <c r="R49" s="236"/>
      <c r="S49" s="236"/>
      <c r="T49" s="1064"/>
      <c r="U49" s="238"/>
      <c r="V49" s="239"/>
      <c r="W49" s="226"/>
      <c r="X49" s="1064"/>
      <c r="Y49" s="1064"/>
      <c r="Z49" s="1064"/>
      <c r="AA49" s="1064"/>
      <c r="AB49" s="1064"/>
    </row>
    <row r="50" spans="1:28">
      <c r="A50" s="239"/>
      <c r="B50" s="271"/>
      <c r="C50" s="226"/>
      <c r="D50" s="228"/>
      <c r="E50" s="239"/>
      <c r="F50" s="226"/>
      <c r="G50" s="226"/>
      <c r="H50" s="226"/>
      <c r="I50" s="230"/>
      <c r="J50" s="226"/>
      <c r="K50" s="226"/>
      <c r="L50" s="236"/>
      <c r="M50" s="226"/>
      <c r="N50" s="226"/>
      <c r="O50" s="226"/>
      <c r="P50" s="236"/>
      <c r="Q50" s="226"/>
      <c r="R50" s="236"/>
      <c r="S50" s="236"/>
      <c r="T50" s="1064"/>
      <c r="U50" s="238"/>
      <c r="V50" s="239"/>
      <c r="W50" s="226"/>
      <c r="X50" s="1064"/>
      <c r="Y50" s="1064"/>
      <c r="Z50" s="1064"/>
      <c r="AA50" s="1064"/>
      <c r="AB50" s="1064"/>
    </row>
    <row r="51" spans="1:28">
      <c r="A51" s="239"/>
      <c r="B51" s="271"/>
      <c r="C51" s="226">
        <f t="shared" ref="C51:C56" si="5">D51*E51</f>
        <v>0</v>
      </c>
      <c r="D51" s="228"/>
      <c r="E51" s="239"/>
      <c r="F51" s="226">
        <f t="shared" ref="F51:F56" si="6">D51*E51</f>
        <v>0</v>
      </c>
      <c r="G51" s="226"/>
      <c r="H51" s="226"/>
      <c r="I51" s="230"/>
      <c r="J51" s="226"/>
      <c r="K51" s="226"/>
      <c r="L51" s="236"/>
      <c r="M51" s="226"/>
      <c r="N51" s="226"/>
      <c r="O51" s="226"/>
      <c r="P51" s="236"/>
      <c r="Q51" s="226"/>
      <c r="R51" s="236"/>
      <c r="S51" s="236"/>
      <c r="T51" s="1064"/>
      <c r="U51" s="238"/>
      <c r="V51" s="239"/>
      <c r="W51" s="226">
        <f t="shared" ref="W51:W56" si="7">U51*V51</f>
        <v>0</v>
      </c>
      <c r="X51" s="1064"/>
      <c r="Y51" s="1064"/>
      <c r="Z51" s="1064"/>
      <c r="AA51" s="1064"/>
      <c r="AB51" s="1064"/>
    </row>
    <row r="52" spans="1:28">
      <c r="A52" s="239"/>
      <c r="B52" s="271"/>
      <c r="C52" s="226">
        <f t="shared" si="5"/>
        <v>0</v>
      </c>
      <c r="D52" s="228"/>
      <c r="E52" s="239"/>
      <c r="F52" s="226">
        <f t="shared" si="6"/>
        <v>0</v>
      </c>
      <c r="G52" s="226"/>
      <c r="H52" s="226"/>
      <c r="I52" s="230"/>
      <c r="J52" s="226"/>
      <c r="K52" s="226"/>
      <c r="L52" s="236"/>
      <c r="M52" s="226"/>
      <c r="N52" s="226"/>
      <c r="O52" s="226"/>
      <c r="P52" s="236"/>
      <c r="Q52" s="226"/>
      <c r="R52" s="236"/>
      <c r="S52" s="236"/>
      <c r="T52" s="1064"/>
      <c r="U52" s="238"/>
      <c r="V52" s="239"/>
      <c r="W52" s="226">
        <f t="shared" si="7"/>
        <v>0</v>
      </c>
      <c r="X52" s="1064"/>
      <c r="Y52" s="1064"/>
      <c r="Z52" s="1064"/>
      <c r="AA52" s="1064"/>
      <c r="AB52" s="1064"/>
    </row>
    <row r="53" spans="1:28">
      <c r="A53" s="239"/>
      <c r="B53" s="271"/>
      <c r="C53" s="226">
        <f t="shared" si="5"/>
        <v>0</v>
      </c>
      <c r="D53" s="228"/>
      <c r="E53" s="239"/>
      <c r="F53" s="226">
        <f t="shared" si="6"/>
        <v>0</v>
      </c>
      <c r="G53" s="226"/>
      <c r="H53" s="226"/>
      <c r="I53" s="230"/>
      <c r="J53" s="226"/>
      <c r="K53" s="226"/>
      <c r="L53" s="236"/>
      <c r="M53" s="226"/>
      <c r="N53" s="226"/>
      <c r="O53" s="226"/>
      <c r="P53" s="236"/>
      <c r="Q53" s="226"/>
      <c r="R53" s="236"/>
      <c r="S53" s="236"/>
      <c r="T53" s="1064"/>
      <c r="U53" s="238"/>
      <c r="V53" s="239"/>
      <c r="W53" s="226">
        <f t="shared" si="7"/>
        <v>0</v>
      </c>
      <c r="X53" s="1064"/>
      <c r="Y53" s="1064"/>
      <c r="Z53" s="1064"/>
      <c r="AA53" s="1064"/>
      <c r="AB53" s="1064"/>
    </row>
    <row r="54" spans="1:28">
      <c r="A54" s="239"/>
      <c r="B54" s="271"/>
      <c r="C54" s="226">
        <f t="shared" si="5"/>
        <v>0</v>
      </c>
      <c r="D54" s="228"/>
      <c r="E54" s="239"/>
      <c r="F54" s="226">
        <f t="shared" si="6"/>
        <v>0</v>
      </c>
      <c r="G54" s="226"/>
      <c r="H54" s="226"/>
      <c r="I54" s="230"/>
      <c r="J54" s="226"/>
      <c r="K54" s="226"/>
      <c r="L54" s="236"/>
      <c r="M54" s="226"/>
      <c r="N54" s="226"/>
      <c r="O54" s="226"/>
      <c r="P54" s="236"/>
      <c r="Q54" s="226"/>
      <c r="R54" s="236"/>
      <c r="S54" s="236"/>
      <c r="T54" s="1064"/>
      <c r="U54" s="238"/>
      <c r="V54" s="239"/>
      <c r="W54" s="226">
        <f t="shared" si="7"/>
        <v>0</v>
      </c>
      <c r="X54" s="1064"/>
      <c r="Y54" s="1064"/>
      <c r="Z54" s="1064"/>
      <c r="AA54" s="1064"/>
      <c r="AB54" s="1064"/>
    </row>
    <row r="55" spans="1:28">
      <c r="A55" s="239"/>
      <c r="B55" s="271"/>
      <c r="C55" s="226">
        <f t="shared" si="5"/>
        <v>0</v>
      </c>
      <c r="D55" s="228"/>
      <c r="E55" s="239"/>
      <c r="F55" s="226">
        <f t="shared" si="6"/>
        <v>0</v>
      </c>
      <c r="G55" s="226"/>
      <c r="H55" s="226"/>
      <c r="I55" s="230"/>
      <c r="J55" s="226"/>
      <c r="K55" s="226"/>
      <c r="L55" s="236"/>
      <c r="M55" s="226"/>
      <c r="N55" s="226"/>
      <c r="O55" s="226"/>
      <c r="P55" s="236"/>
      <c r="Q55" s="226"/>
      <c r="R55" s="236"/>
      <c r="S55" s="236"/>
      <c r="T55" s="1064"/>
      <c r="U55" s="238"/>
      <c r="V55" s="239"/>
      <c r="W55" s="226">
        <f t="shared" si="7"/>
        <v>0</v>
      </c>
      <c r="X55" s="1064"/>
      <c r="Y55" s="1064"/>
      <c r="Z55" s="1064"/>
      <c r="AA55" s="1064"/>
      <c r="AB55" s="1064"/>
    </row>
    <row r="56" spans="1:28">
      <c r="A56" s="239"/>
      <c r="B56" s="271"/>
      <c r="C56" s="226">
        <f t="shared" si="5"/>
        <v>0</v>
      </c>
      <c r="D56" s="228"/>
      <c r="E56" s="229"/>
      <c r="F56" s="226">
        <f t="shared" si="6"/>
        <v>0</v>
      </c>
      <c r="G56" s="226"/>
      <c r="H56" s="226"/>
      <c r="I56" s="226"/>
      <c r="J56" s="226"/>
      <c r="K56" s="226"/>
      <c r="L56" s="236"/>
      <c r="M56" s="226"/>
      <c r="N56" s="226"/>
      <c r="O56" s="226"/>
      <c r="P56" s="236"/>
      <c r="Q56" s="226"/>
      <c r="R56" s="236"/>
      <c r="S56" s="236"/>
      <c r="T56" s="1064"/>
      <c r="U56" s="238"/>
      <c r="V56" s="229"/>
      <c r="W56" s="226">
        <f t="shared" si="7"/>
        <v>0</v>
      </c>
      <c r="X56" s="1064"/>
      <c r="Y56" s="1064"/>
      <c r="Z56" s="1064"/>
      <c r="AA56" s="1064"/>
      <c r="AB56" s="1064"/>
    </row>
    <row r="57" spans="1:28">
      <c r="A57" s="274"/>
      <c r="B57" s="275" t="s">
        <v>17</v>
      </c>
      <c r="C57" s="892">
        <f t="shared" ref="C57:AB57" si="8">SUM(C15:C56)</f>
        <v>648000</v>
      </c>
      <c r="D57" s="892">
        <f t="shared" si="8"/>
        <v>648000</v>
      </c>
      <c r="E57" s="892">
        <f t="shared" si="8"/>
        <v>6</v>
      </c>
      <c r="F57" s="892">
        <f t="shared" si="8"/>
        <v>648000</v>
      </c>
      <c r="G57" s="892">
        <f t="shared" si="8"/>
        <v>0</v>
      </c>
      <c r="H57" s="892">
        <f t="shared" si="8"/>
        <v>0</v>
      </c>
      <c r="I57" s="892">
        <f t="shared" si="8"/>
        <v>621000</v>
      </c>
      <c r="J57" s="892">
        <f t="shared" si="8"/>
        <v>0</v>
      </c>
      <c r="K57" s="892">
        <f t="shared" si="8"/>
        <v>0</v>
      </c>
      <c r="L57" s="892">
        <f t="shared" si="8"/>
        <v>621000</v>
      </c>
      <c r="M57" s="892">
        <f t="shared" si="8"/>
        <v>0</v>
      </c>
      <c r="N57" s="892">
        <f t="shared" si="8"/>
        <v>0</v>
      </c>
      <c r="O57" s="892">
        <f t="shared" si="8"/>
        <v>3.5</v>
      </c>
      <c r="P57" s="892">
        <f t="shared" si="8"/>
        <v>381360</v>
      </c>
      <c r="Q57" s="892">
        <f t="shared" si="8"/>
        <v>2</v>
      </c>
      <c r="R57" s="892">
        <f t="shared" si="8"/>
        <v>381360</v>
      </c>
      <c r="S57" s="892">
        <f t="shared" si="8"/>
        <v>0</v>
      </c>
      <c r="T57" s="893">
        <f>W57-L57</f>
        <v>27000</v>
      </c>
      <c r="U57" s="892">
        <f t="shared" si="8"/>
        <v>648000</v>
      </c>
      <c r="V57" s="892">
        <f t="shared" si="8"/>
        <v>6</v>
      </c>
      <c r="W57" s="892">
        <f t="shared" si="8"/>
        <v>648000</v>
      </c>
      <c r="X57" s="892">
        <f t="shared" si="8"/>
        <v>621000</v>
      </c>
      <c r="Y57" s="892">
        <f t="shared" si="8"/>
        <v>0</v>
      </c>
      <c r="Z57" s="892">
        <f t="shared" si="8"/>
        <v>381360</v>
      </c>
      <c r="AA57" s="892">
        <f t="shared" si="8"/>
        <v>0</v>
      </c>
      <c r="AB57" s="892">
        <f t="shared" si="8"/>
        <v>648000</v>
      </c>
    </row>
    <row r="58" spans="1:28">
      <c r="A58" s="277"/>
      <c r="B58" s="278"/>
      <c r="F58" s="279"/>
      <c r="G58" s="279"/>
      <c r="H58" s="279"/>
      <c r="I58" s="279"/>
      <c r="J58" s="279"/>
      <c r="K58" s="279"/>
      <c r="L58" s="279"/>
      <c r="M58" s="279"/>
      <c r="N58" s="279"/>
      <c r="P58" s="279"/>
      <c r="Q58" s="247"/>
      <c r="R58" s="247"/>
      <c r="W58" s="279"/>
    </row>
    <row r="59" spans="1:28">
      <c r="A59" s="280"/>
      <c r="B59" s="278"/>
      <c r="F59" s="279"/>
      <c r="G59" s="279"/>
      <c r="H59" s="279"/>
      <c r="I59" s="279"/>
      <c r="J59" s="279"/>
      <c r="K59" s="279"/>
      <c r="L59" s="279"/>
      <c r="M59" s="279"/>
      <c r="N59" s="279"/>
      <c r="P59" s="279"/>
      <c r="Q59" s="247"/>
      <c r="R59" s="247"/>
      <c r="W59" s="279"/>
    </row>
    <row r="60" spans="1:28">
      <c r="F60" s="279"/>
      <c r="P60" s="792"/>
      <c r="Q60" s="792"/>
      <c r="R60" s="247"/>
      <c r="W60" s="279"/>
    </row>
    <row r="61" spans="1:28">
      <c r="F61" s="279"/>
      <c r="R61" s="247"/>
      <c r="W61" s="279"/>
    </row>
    <row r="62" spans="1:28">
      <c r="R62" s="247"/>
    </row>
    <row r="63" spans="1:28">
      <c r="A63" s="247" t="s">
        <v>59</v>
      </c>
      <c r="F63" s="279"/>
      <c r="W63" s="279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33" type="noConversion"/>
  <conditionalFormatting sqref="U8:W9 X8:AB12">
    <cfRule type="cellIs" dxfId="31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2">
    <pageSetUpPr fitToPage="1"/>
  </sheetPr>
  <dimension ref="A1:AE56"/>
  <sheetViews>
    <sheetView showGridLines="0" showZeros="0" topLeftCell="J1" workbookViewId="0">
      <pane ySplit="13" topLeftCell="A14" activePane="bottomLeft" state="frozen"/>
      <selection activeCell="E81" sqref="E81:P81"/>
      <selection pane="bottomLeft" activeCell="Z17" sqref="Z17:Z21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8.875" style="67" bestFit="1" customWidth="1"/>
    <col min="6" max="6" width="12.5" style="67" customWidth="1"/>
    <col min="7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2430" t="s">
        <v>548</v>
      </c>
      <c r="C2" s="2430"/>
      <c r="D2" s="2430"/>
      <c r="E2" s="2430"/>
      <c r="F2" s="2430"/>
      <c r="G2" s="2430"/>
      <c r="H2" s="2430"/>
      <c r="I2" s="2430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547</v>
      </c>
      <c r="G3" s="65" t="s">
        <v>499</v>
      </c>
      <c r="H3" s="65"/>
      <c r="I3" s="1076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 ht="25.5" customHeight="1">
      <c r="A4" s="1346" t="s">
        <v>61</v>
      </c>
      <c r="B4" s="71" t="s">
        <v>546</v>
      </c>
      <c r="C4" s="2148" t="s">
        <v>81</v>
      </c>
      <c r="D4" s="216"/>
      <c r="E4" s="216"/>
      <c r="F4" s="217"/>
      <c r="G4" s="217"/>
      <c r="H4" s="217"/>
      <c r="I4" s="1075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3">
        <v>201100576</v>
      </c>
      <c r="C5" s="1076"/>
      <c r="D5" s="1076"/>
      <c r="E5" s="1076"/>
      <c r="F5" s="1075"/>
      <c r="G5" s="1075"/>
      <c r="H5" s="1079"/>
      <c r="I5" s="1079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72"/>
      <c r="B6" s="74"/>
      <c r="C6" s="69"/>
      <c r="D6" s="2394"/>
      <c r="E6" s="2394"/>
      <c r="F6" s="64"/>
      <c r="G6" s="64"/>
      <c r="H6" s="75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8.25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903"/>
      <c r="V9" s="904"/>
      <c r="W9" s="905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110" t="s">
        <v>86</v>
      </c>
      <c r="Y13" s="1110"/>
      <c r="Z13" s="1110"/>
      <c r="AA13" s="1110"/>
      <c r="AB13" s="1110"/>
    </row>
    <row r="14" spans="1:31">
      <c r="A14" s="1111"/>
      <c r="B14" s="121"/>
      <c r="C14" s="135"/>
      <c r="D14" s="522"/>
      <c r="E14" s="1111"/>
      <c r="F14" s="134"/>
      <c r="G14" s="134"/>
      <c r="H14" s="134"/>
      <c r="I14" s="134"/>
      <c r="J14" s="134"/>
      <c r="K14" s="134"/>
      <c r="L14" s="134"/>
      <c r="M14" s="134"/>
      <c r="N14" s="134"/>
      <c r="O14" s="135"/>
      <c r="P14" s="134"/>
      <c r="Q14" s="135"/>
      <c r="R14" s="135"/>
      <c r="S14" s="521"/>
      <c r="T14" s="1112"/>
      <c r="U14" s="135"/>
      <c r="V14" s="1111"/>
      <c r="W14" s="134"/>
      <c r="X14" s="134"/>
      <c r="Y14" s="134"/>
      <c r="Z14" s="134"/>
      <c r="AA14" s="135"/>
      <c r="AB14" s="1112"/>
    </row>
    <row r="15" spans="1:31" ht="13.5" customHeight="1">
      <c r="A15" s="1111"/>
      <c r="B15" s="121"/>
      <c r="C15" s="124">
        <f>D15*E15</f>
        <v>0</v>
      </c>
      <c r="D15" s="519"/>
      <c r="E15" s="520"/>
      <c r="F15" s="124">
        <f>D15*E15</f>
        <v>0</v>
      </c>
      <c r="G15" s="124"/>
      <c r="H15" s="124"/>
      <c r="I15" s="124"/>
      <c r="J15" s="124"/>
      <c r="K15" s="124"/>
      <c r="L15" s="124"/>
      <c r="M15" s="124"/>
      <c r="N15" s="124"/>
      <c r="O15" s="191"/>
      <c r="P15" s="124"/>
      <c r="Q15" s="191"/>
      <c r="R15" s="191"/>
      <c r="S15" s="995"/>
      <c r="T15" s="894"/>
      <c r="U15" s="191"/>
      <c r="V15" s="520"/>
      <c r="W15" s="124">
        <f>U15*V15</f>
        <v>0</v>
      </c>
      <c r="X15" s="124"/>
      <c r="Y15" s="124"/>
      <c r="Z15" s="124"/>
      <c r="AA15" s="191"/>
      <c r="AB15" s="894"/>
    </row>
    <row r="16" spans="1:31" ht="12.75" customHeight="1">
      <c r="A16" s="1113"/>
      <c r="B16" s="1114"/>
      <c r="C16" s="124">
        <f>D16*E16</f>
        <v>0</v>
      </c>
      <c r="D16" s="519"/>
      <c r="E16" s="520"/>
      <c r="F16" s="124">
        <f>D16*E16</f>
        <v>0</v>
      </c>
      <c r="G16" s="124"/>
      <c r="H16" s="124"/>
      <c r="I16" s="124"/>
      <c r="J16" s="124"/>
      <c r="K16" s="124"/>
      <c r="L16" s="124"/>
      <c r="M16" s="124"/>
      <c r="N16" s="124"/>
      <c r="O16" s="191"/>
      <c r="P16" s="124">
        <v>0</v>
      </c>
      <c r="Q16" s="191"/>
      <c r="R16" s="191">
        <v>0</v>
      </c>
      <c r="S16" s="191"/>
      <c r="T16" s="894"/>
      <c r="U16" s="519"/>
      <c r="V16" s="520"/>
      <c r="W16" s="124">
        <f>U16*V16</f>
        <v>0</v>
      </c>
      <c r="X16" s="124"/>
      <c r="Y16" s="124"/>
      <c r="Z16" s="124">
        <v>0</v>
      </c>
      <c r="AA16" s="191">
        <v>0</v>
      </c>
      <c r="AB16" s="894"/>
    </row>
    <row r="17" spans="1:30" ht="18" customHeight="1">
      <c r="A17" s="132">
        <v>1</v>
      </c>
      <c r="B17" s="189" t="s">
        <v>545</v>
      </c>
      <c r="C17" s="190">
        <f>D17*E17</f>
        <v>732474.18</v>
      </c>
      <c r="D17" s="131">
        <f>732474.18</f>
        <v>732474.18</v>
      </c>
      <c r="E17" s="132">
        <v>1</v>
      </c>
      <c r="F17" s="124">
        <f>D17:D49*E17</f>
        <v>732474.18</v>
      </c>
      <c r="G17" s="124">
        <v>385000</v>
      </c>
      <c r="H17" s="124" t="s">
        <v>98</v>
      </c>
      <c r="I17" s="124">
        <f>U17</f>
        <v>700037.0432069056</v>
      </c>
      <c r="J17" s="124"/>
      <c r="K17" s="124"/>
      <c r="L17" s="124">
        <f>I17-J17+K17</f>
        <v>700037.0432069056</v>
      </c>
      <c r="M17" s="124"/>
      <c r="N17" s="124">
        <v>429925</v>
      </c>
      <c r="O17" s="124">
        <v>1</v>
      </c>
      <c r="P17" s="124">
        <v>732474.18</v>
      </c>
      <c r="Q17" s="124"/>
      <c r="R17" s="124">
        <v>426292.67332669377</v>
      </c>
      <c r="S17" s="191">
        <f t="shared" ref="S17:S48" si="0">+P17-R17</f>
        <v>306181.50667330628</v>
      </c>
      <c r="T17" s="895"/>
      <c r="U17" s="131">
        <f>C17*1851720.63/1937522.54</f>
        <v>700037.0432069056</v>
      </c>
      <c r="V17" s="132">
        <v>1</v>
      </c>
      <c r="W17" s="124">
        <f>U17:U49*V17</f>
        <v>700037.0432069056</v>
      </c>
      <c r="X17" s="500">
        <v>700037.0432069056</v>
      </c>
      <c r="Y17" s="124">
        <v>429925</v>
      </c>
      <c r="Z17" s="124">
        <v>700037.0432069056</v>
      </c>
      <c r="AA17" s="191">
        <v>426292.67332669377</v>
      </c>
      <c r="AB17" s="895">
        <v>0</v>
      </c>
      <c r="AC17" s="384"/>
      <c r="AD17" s="384"/>
    </row>
    <row r="18" spans="1:30" ht="12.75" hidden="1" customHeight="1">
      <c r="A18" s="996"/>
      <c r="B18" s="1114"/>
      <c r="C18" s="124"/>
      <c r="D18" s="1116"/>
      <c r="E18" s="132"/>
      <c r="F18" s="124"/>
      <c r="G18" s="124"/>
      <c r="H18" s="124"/>
      <c r="I18" s="124">
        <f>U18</f>
        <v>0</v>
      </c>
      <c r="J18" s="124"/>
      <c r="K18" s="124"/>
      <c r="L18" s="124">
        <f>I18-J18+K18</f>
        <v>0</v>
      </c>
      <c r="M18" s="124"/>
      <c r="N18" s="124"/>
      <c r="O18" s="124"/>
      <c r="P18" s="124">
        <v>0</v>
      </c>
      <c r="Q18" s="124"/>
      <c r="R18" s="191"/>
      <c r="S18" s="191">
        <f t="shared" si="0"/>
        <v>0</v>
      </c>
      <c r="T18" s="895"/>
      <c r="U18" s="131">
        <f>C18*1851720.63/1937522.54</f>
        <v>0</v>
      </c>
      <c r="V18" s="132"/>
      <c r="W18" s="124"/>
      <c r="X18" s="500">
        <v>0</v>
      </c>
      <c r="Y18" s="124"/>
      <c r="Z18" s="124">
        <v>0</v>
      </c>
      <c r="AA18" s="191"/>
      <c r="AB18" s="877">
        <v>732474.18</v>
      </c>
      <c r="AC18" s="384"/>
      <c r="AD18" s="384"/>
    </row>
    <row r="19" spans="1:30" ht="12.75" hidden="1" customHeight="1">
      <c r="A19" s="997"/>
      <c r="B19" s="130"/>
      <c r="C19" s="124"/>
      <c r="D19" s="1116"/>
      <c r="E19" s="132"/>
      <c r="F19" s="124"/>
      <c r="G19" s="124"/>
      <c r="H19" s="124"/>
      <c r="I19" s="124">
        <f>U19</f>
        <v>0</v>
      </c>
      <c r="J19" s="124"/>
      <c r="K19" s="124"/>
      <c r="L19" s="124">
        <f>I19-J19+K19</f>
        <v>0</v>
      </c>
      <c r="M19" s="124"/>
      <c r="N19" s="124"/>
      <c r="O19" s="124"/>
      <c r="P19" s="124">
        <v>0</v>
      </c>
      <c r="Q19" s="124"/>
      <c r="R19" s="191"/>
      <c r="S19" s="191">
        <f t="shared" si="0"/>
        <v>0</v>
      </c>
      <c r="T19" s="895"/>
      <c r="U19" s="131">
        <f>C19*1851720.63/1937522.54</f>
        <v>0</v>
      </c>
      <c r="V19" s="132"/>
      <c r="W19" s="124"/>
      <c r="X19" s="500">
        <v>0</v>
      </c>
      <c r="Y19" s="124"/>
      <c r="Z19" s="124">
        <v>0</v>
      </c>
      <c r="AA19" s="191"/>
      <c r="AB19" s="877"/>
      <c r="AC19" s="384"/>
      <c r="AD19" s="384"/>
    </row>
    <row r="20" spans="1:30" ht="27" customHeight="1">
      <c r="A20" s="998">
        <v>2</v>
      </c>
      <c r="B20" s="130" t="s">
        <v>544</v>
      </c>
      <c r="C20" s="124">
        <f t="shared" ref="C20:C49" si="1">D20*E20</f>
        <v>674674.17</v>
      </c>
      <c r="D20" s="131">
        <f>674674.17</f>
        <v>674674.17</v>
      </c>
      <c r="E20" s="132">
        <v>1</v>
      </c>
      <c r="F20" s="124">
        <f t="shared" ref="F20:F49" si="2">D20*E20</f>
        <v>674674.17</v>
      </c>
      <c r="G20" s="143"/>
      <c r="H20" s="143"/>
      <c r="I20" s="124">
        <f>U20</f>
        <v>644796.66859366046</v>
      </c>
      <c r="J20" s="143"/>
      <c r="K20" s="143"/>
      <c r="L20" s="124">
        <f>I20-J20+K20</f>
        <v>644796.66859366046</v>
      </c>
      <c r="M20" s="143"/>
      <c r="N20" s="143"/>
      <c r="O20" s="143">
        <v>1</v>
      </c>
      <c r="P20" s="140">
        <v>674674.17</v>
      </c>
      <c r="Q20" s="141"/>
      <c r="R20" s="124">
        <v>392653.64350968419</v>
      </c>
      <c r="S20" s="191">
        <f t="shared" si="0"/>
        <v>282020.52649031585</v>
      </c>
      <c r="T20" s="895"/>
      <c r="U20" s="131">
        <f>C20*1851720.63/1937522.54</f>
        <v>644796.66859366046</v>
      </c>
      <c r="V20" s="132">
        <v>1</v>
      </c>
      <c r="W20" s="124">
        <f t="shared" ref="W20:W49" si="3">U20*V20</f>
        <v>644796.66859366046</v>
      </c>
      <c r="X20" s="500">
        <v>644796.66859366046</v>
      </c>
      <c r="Y20" s="143"/>
      <c r="Z20" s="140">
        <v>644796.66859366046</v>
      </c>
      <c r="AA20" s="124">
        <v>392653.64350968419</v>
      </c>
      <c r="AB20" s="143"/>
      <c r="AC20" s="384"/>
      <c r="AD20" s="384"/>
    </row>
    <row r="21" spans="1:30" ht="31.5" customHeight="1">
      <c r="A21" s="146">
        <v>3</v>
      </c>
      <c r="B21" s="142" t="s">
        <v>543</v>
      </c>
      <c r="C21" s="124">
        <f t="shared" si="1"/>
        <v>530374.18999999994</v>
      </c>
      <c r="D21" s="131">
        <f>530374.19</f>
        <v>530374.18999999994</v>
      </c>
      <c r="E21" s="132">
        <v>1</v>
      </c>
      <c r="F21" s="124">
        <f t="shared" si="2"/>
        <v>530374.18999999994</v>
      </c>
      <c r="G21" s="143"/>
      <c r="H21" s="143"/>
      <c r="I21" s="124">
        <f>U21</f>
        <v>506886.91819943395</v>
      </c>
      <c r="J21" s="124"/>
      <c r="K21" s="143"/>
      <c r="L21" s="124">
        <f>I21-J21+K21</f>
        <v>506886.91819943395</v>
      </c>
      <c r="M21" s="143"/>
      <c r="N21" s="143"/>
      <c r="O21" s="143">
        <v>1</v>
      </c>
      <c r="P21" s="124">
        <v>530374.18999999994</v>
      </c>
      <c r="Q21" s="141"/>
      <c r="R21" s="143">
        <v>308672.49316362216</v>
      </c>
      <c r="S21" s="191">
        <f t="shared" si="0"/>
        <v>221701.69683637779</v>
      </c>
      <c r="T21" s="895"/>
      <c r="U21" s="131">
        <f>C21*1851720.63/1937522.54</f>
        <v>506886.91819943395</v>
      </c>
      <c r="V21" s="132">
        <v>1</v>
      </c>
      <c r="W21" s="124">
        <f t="shared" si="3"/>
        <v>506886.91819943395</v>
      </c>
      <c r="X21" s="500">
        <v>506886.91819943395</v>
      </c>
      <c r="Y21" s="143"/>
      <c r="Z21" s="124">
        <v>506886.91819943395</v>
      </c>
      <c r="AA21" s="143">
        <v>308672.49316362216</v>
      </c>
      <c r="AB21" s="143">
        <v>674674.17</v>
      </c>
      <c r="AC21" s="384"/>
      <c r="AD21" s="384"/>
    </row>
    <row r="22" spans="1:30">
      <c r="A22" s="146"/>
      <c r="B22" s="142"/>
      <c r="C22" s="124">
        <f t="shared" si="1"/>
        <v>0</v>
      </c>
      <c r="D22" s="131"/>
      <c r="E22" s="132"/>
      <c r="F22" s="124">
        <f t="shared" si="2"/>
        <v>0</v>
      </c>
      <c r="G22" s="143"/>
      <c r="H22" s="143"/>
      <c r="I22" s="143"/>
      <c r="J22" s="143"/>
      <c r="K22" s="143"/>
      <c r="L22" s="143"/>
      <c r="M22" s="143"/>
      <c r="N22" s="143"/>
      <c r="O22" s="143"/>
      <c r="P22" s="124"/>
      <c r="Q22" s="141"/>
      <c r="R22" s="143"/>
      <c r="S22" s="191">
        <f t="shared" si="0"/>
        <v>0</v>
      </c>
      <c r="T22" s="143"/>
      <c r="U22" s="131"/>
      <c r="V22" s="132"/>
      <c r="W22" s="124">
        <f t="shared" si="3"/>
        <v>0</v>
      </c>
      <c r="X22" s="143"/>
      <c r="Y22" s="143"/>
      <c r="Z22" s="124"/>
      <c r="AA22" s="143"/>
      <c r="AB22" s="143">
        <v>530374.18999999994</v>
      </c>
      <c r="AC22" s="384"/>
      <c r="AD22" s="384"/>
    </row>
    <row r="23" spans="1:30">
      <c r="A23" s="132"/>
      <c r="B23" s="145"/>
      <c r="C23" s="124">
        <f t="shared" si="1"/>
        <v>0</v>
      </c>
      <c r="D23" s="131"/>
      <c r="E23" s="132"/>
      <c r="F23" s="124">
        <f t="shared" si="2"/>
        <v>0</v>
      </c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1"/>
      <c r="R23" s="143"/>
      <c r="S23" s="191">
        <f t="shared" si="0"/>
        <v>0</v>
      </c>
      <c r="T23" s="143"/>
      <c r="U23" s="144"/>
      <c r="V23" s="132"/>
      <c r="W23" s="124">
        <f t="shared" si="3"/>
        <v>0</v>
      </c>
      <c r="X23" s="143"/>
      <c r="Y23" s="143"/>
      <c r="Z23" s="143"/>
      <c r="AA23" s="143"/>
      <c r="AB23" s="143"/>
      <c r="AC23" s="384"/>
      <c r="AD23" s="384"/>
    </row>
    <row r="24" spans="1:30" ht="12.75" hidden="1" customHeight="1">
      <c r="A24" s="132"/>
      <c r="B24" s="145"/>
      <c r="C24" s="124">
        <f t="shared" si="1"/>
        <v>0</v>
      </c>
      <c r="D24" s="131"/>
      <c r="E24" s="146"/>
      <c r="F24" s="124">
        <f t="shared" si="2"/>
        <v>0</v>
      </c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7"/>
      <c r="R24" s="124"/>
      <c r="S24" s="191">
        <f t="shared" si="0"/>
        <v>0</v>
      </c>
      <c r="T24" s="143"/>
      <c r="U24" s="144"/>
      <c r="V24" s="146"/>
      <c r="W24" s="124">
        <f t="shared" si="3"/>
        <v>0</v>
      </c>
      <c r="X24" s="143"/>
      <c r="Y24" s="143"/>
      <c r="Z24" s="143"/>
      <c r="AA24" s="124"/>
      <c r="AB24" s="143"/>
      <c r="AC24" s="384"/>
      <c r="AD24" s="384"/>
    </row>
    <row r="25" spans="1:30" ht="0.75" hidden="1" customHeight="1">
      <c r="A25" s="1115"/>
      <c r="B25" s="148"/>
      <c r="C25" s="124">
        <f t="shared" si="1"/>
        <v>0</v>
      </c>
      <c r="D25" s="131"/>
      <c r="E25" s="132"/>
      <c r="F25" s="124">
        <f t="shared" si="2"/>
        <v>0</v>
      </c>
      <c r="G25" s="143"/>
      <c r="H25" s="143"/>
      <c r="I25" s="143"/>
      <c r="J25" s="143"/>
      <c r="K25" s="143"/>
      <c r="L25" s="143"/>
      <c r="M25" s="143"/>
      <c r="N25" s="143"/>
      <c r="O25" s="143"/>
      <c r="P25" s="124"/>
      <c r="Q25" s="141"/>
      <c r="R25" s="124"/>
      <c r="S25" s="191">
        <f t="shared" si="0"/>
        <v>0</v>
      </c>
      <c r="T25" s="143"/>
      <c r="U25" s="144"/>
      <c r="V25" s="132"/>
      <c r="W25" s="124">
        <f t="shared" si="3"/>
        <v>0</v>
      </c>
      <c r="X25" s="143"/>
      <c r="Y25" s="143"/>
      <c r="Z25" s="124"/>
      <c r="AA25" s="124"/>
      <c r="AB25" s="143"/>
      <c r="AC25" s="384"/>
      <c r="AD25" s="384"/>
    </row>
    <row r="26" spans="1:30" ht="12.75" hidden="1" customHeight="1">
      <c r="A26" s="1115"/>
      <c r="B26" s="150"/>
      <c r="C26" s="124">
        <f t="shared" si="1"/>
        <v>0</v>
      </c>
      <c r="D26" s="131"/>
      <c r="E26" s="132"/>
      <c r="F26" s="124">
        <f t="shared" si="2"/>
        <v>0</v>
      </c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1"/>
      <c r="R26" s="124"/>
      <c r="S26" s="191">
        <f t="shared" si="0"/>
        <v>0</v>
      </c>
      <c r="T26" s="143"/>
      <c r="U26" s="144"/>
      <c r="V26" s="132"/>
      <c r="W26" s="124">
        <f t="shared" si="3"/>
        <v>0</v>
      </c>
      <c r="X26" s="143"/>
      <c r="Y26" s="143"/>
      <c r="Z26" s="143"/>
      <c r="AA26" s="124"/>
      <c r="AB26" s="143"/>
      <c r="AC26" s="384"/>
      <c r="AD26" s="384"/>
    </row>
    <row r="27" spans="1:30">
      <c r="A27" s="999"/>
      <c r="B27" s="151"/>
      <c r="C27" s="124">
        <f t="shared" si="1"/>
        <v>0</v>
      </c>
      <c r="D27" s="131"/>
      <c r="E27" s="132"/>
      <c r="F27" s="124">
        <f t="shared" si="2"/>
        <v>0</v>
      </c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24"/>
      <c r="S27" s="191">
        <f t="shared" si="0"/>
        <v>0</v>
      </c>
      <c r="T27" s="143"/>
      <c r="U27" s="144"/>
      <c r="V27" s="132"/>
      <c r="W27" s="124">
        <f t="shared" si="3"/>
        <v>0</v>
      </c>
      <c r="X27" s="143"/>
      <c r="Y27" s="143"/>
      <c r="Z27" s="143"/>
      <c r="AA27" s="124"/>
      <c r="AB27" s="143"/>
      <c r="AC27" s="384"/>
      <c r="AD27" s="384"/>
    </row>
    <row r="28" spans="1:30" ht="12" customHeight="1">
      <c r="A28" s="157"/>
      <c r="B28" s="152"/>
      <c r="C28" s="124">
        <f t="shared" si="1"/>
        <v>0</v>
      </c>
      <c r="D28" s="131"/>
      <c r="E28" s="132"/>
      <c r="F28" s="124">
        <f t="shared" si="2"/>
        <v>0</v>
      </c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43"/>
      <c r="S28" s="191">
        <f t="shared" si="0"/>
        <v>0</v>
      </c>
      <c r="T28" s="143"/>
      <c r="U28" s="144"/>
      <c r="V28" s="132"/>
      <c r="W28" s="124">
        <f t="shared" si="3"/>
        <v>0</v>
      </c>
      <c r="X28" s="143"/>
      <c r="Y28" s="143"/>
      <c r="Z28" s="143"/>
      <c r="AA28" s="143"/>
      <c r="AB28" s="143"/>
      <c r="AC28" s="384"/>
      <c r="AD28" s="384"/>
    </row>
    <row r="29" spans="1:30">
      <c r="A29" s="146"/>
      <c r="B29" s="152"/>
      <c r="C29" s="124">
        <f t="shared" si="1"/>
        <v>0</v>
      </c>
      <c r="D29" s="131"/>
      <c r="E29" s="132"/>
      <c r="F29" s="124">
        <f t="shared" si="2"/>
        <v>0</v>
      </c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1"/>
      <c r="R29" s="143"/>
      <c r="S29" s="191">
        <f t="shared" si="0"/>
        <v>0</v>
      </c>
      <c r="T29" s="143"/>
      <c r="U29" s="144"/>
      <c r="V29" s="132"/>
      <c r="W29" s="124">
        <f t="shared" si="3"/>
        <v>0</v>
      </c>
      <c r="X29" s="143"/>
      <c r="Y29" s="143"/>
      <c r="Z29" s="143"/>
      <c r="AA29" s="143"/>
      <c r="AB29" s="143"/>
      <c r="AC29" s="384"/>
      <c r="AD29" s="384"/>
    </row>
    <row r="30" spans="1:30">
      <c r="A30" s="157"/>
      <c r="B30" s="152"/>
      <c r="C30" s="124">
        <f t="shared" si="1"/>
        <v>0</v>
      </c>
      <c r="D30" s="131"/>
      <c r="E30" s="132"/>
      <c r="F30" s="124">
        <f t="shared" si="2"/>
        <v>0</v>
      </c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91">
        <f t="shared" si="0"/>
        <v>0</v>
      </c>
      <c r="T30" s="143"/>
      <c r="U30" s="144"/>
      <c r="V30" s="132"/>
      <c r="W30" s="124">
        <f t="shared" si="3"/>
        <v>0</v>
      </c>
      <c r="X30" s="143"/>
      <c r="Y30" s="143"/>
      <c r="Z30" s="143"/>
      <c r="AA30" s="143"/>
      <c r="AB30" s="143"/>
      <c r="AC30" s="384"/>
      <c r="AD30" s="384"/>
    </row>
    <row r="31" spans="1:30">
      <c r="A31" s="157"/>
      <c r="B31" s="152"/>
      <c r="C31" s="124">
        <f t="shared" si="1"/>
        <v>0</v>
      </c>
      <c r="D31" s="131"/>
      <c r="E31" s="132"/>
      <c r="F31" s="124">
        <f t="shared" si="2"/>
        <v>0</v>
      </c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1"/>
      <c r="R31" s="143"/>
      <c r="S31" s="191">
        <f t="shared" si="0"/>
        <v>0</v>
      </c>
      <c r="T31" s="143"/>
      <c r="U31" s="144"/>
      <c r="V31" s="132"/>
      <c r="W31" s="124">
        <f t="shared" si="3"/>
        <v>0</v>
      </c>
      <c r="X31" s="143"/>
      <c r="Y31" s="143"/>
      <c r="Z31" s="143"/>
      <c r="AA31" s="143"/>
      <c r="AB31" s="143"/>
      <c r="AC31" s="384"/>
      <c r="AD31" s="384"/>
    </row>
    <row r="32" spans="1:30">
      <c r="A32" s="157"/>
      <c r="B32" s="154"/>
      <c r="C32" s="124">
        <f t="shared" si="1"/>
        <v>0</v>
      </c>
      <c r="D32" s="131"/>
      <c r="E32" s="132"/>
      <c r="F32" s="124">
        <f t="shared" si="2"/>
        <v>0</v>
      </c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91">
        <f t="shared" si="0"/>
        <v>0</v>
      </c>
      <c r="T32" s="143"/>
      <c r="U32" s="144"/>
      <c r="V32" s="132"/>
      <c r="W32" s="124">
        <f t="shared" si="3"/>
        <v>0</v>
      </c>
      <c r="X32" s="143"/>
      <c r="Y32" s="143"/>
      <c r="Z32" s="143"/>
      <c r="AA32" s="143"/>
      <c r="AB32" s="143"/>
      <c r="AC32" s="384"/>
      <c r="AD32" s="384"/>
    </row>
    <row r="33" spans="1:30">
      <c r="A33" s="999"/>
      <c r="B33" s="151"/>
      <c r="C33" s="124">
        <f t="shared" si="1"/>
        <v>0</v>
      </c>
      <c r="D33" s="131"/>
      <c r="E33" s="132"/>
      <c r="F33" s="124">
        <f t="shared" si="2"/>
        <v>0</v>
      </c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91">
        <f t="shared" si="0"/>
        <v>0</v>
      </c>
      <c r="T33" s="143"/>
      <c r="U33" s="144"/>
      <c r="V33" s="132"/>
      <c r="W33" s="124">
        <f t="shared" si="3"/>
        <v>0</v>
      </c>
      <c r="X33" s="143"/>
      <c r="Y33" s="143"/>
      <c r="Z33" s="143"/>
      <c r="AA33" s="143"/>
      <c r="AB33" s="143">
        <v>0</v>
      </c>
      <c r="AC33" s="384"/>
      <c r="AD33" s="384"/>
    </row>
    <row r="34" spans="1:30" ht="0.75" hidden="1" customHeight="1">
      <c r="A34" s="157"/>
      <c r="B34" s="152"/>
      <c r="C34" s="124">
        <f t="shared" si="1"/>
        <v>0</v>
      </c>
      <c r="D34" s="131"/>
      <c r="E34" s="132"/>
      <c r="F34" s="124">
        <f t="shared" si="2"/>
        <v>0</v>
      </c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84"/>
      <c r="R34" s="143"/>
      <c r="S34" s="191">
        <f t="shared" si="0"/>
        <v>0</v>
      </c>
      <c r="T34" s="143"/>
      <c r="U34" s="144"/>
      <c r="V34" s="132"/>
      <c r="W34" s="124">
        <f t="shared" si="3"/>
        <v>0</v>
      </c>
      <c r="X34" s="143"/>
      <c r="Y34" s="143"/>
      <c r="Z34" s="143"/>
      <c r="AA34" s="143"/>
      <c r="AB34" s="143">
        <v>0</v>
      </c>
      <c r="AC34" s="384"/>
      <c r="AD34" s="384"/>
    </row>
    <row r="35" spans="1:30" ht="0.75" hidden="1" customHeight="1">
      <c r="A35" s="146"/>
      <c r="B35" s="152"/>
      <c r="C35" s="124">
        <f t="shared" si="1"/>
        <v>0</v>
      </c>
      <c r="D35" s="131"/>
      <c r="E35" s="132"/>
      <c r="F35" s="124">
        <f t="shared" si="2"/>
        <v>0</v>
      </c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84"/>
      <c r="R35" s="143"/>
      <c r="S35" s="191">
        <f t="shared" si="0"/>
        <v>0</v>
      </c>
      <c r="T35" s="877"/>
      <c r="U35" s="144"/>
      <c r="V35" s="132"/>
      <c r="W35" s="124">
        <f t="shared" si="3"/>
        <v>0</v>
      </c>
      <c r="X35" s="143"/>
      <c r="Y35" s="124"/>
      <c r="Z35" s="143"/>
      <c r="AA35" s="143"/>
      <c r="AB35" s="877"/>
      <c r="AC35" s="384"/>
      <c r="AD35" s="384"/>
    </row>
    <row r="36" spans="1:30">
      <c r="A36" s="157"/>
      <c r="B36" s="152"/>
      <c r="C36" s="124">
        <f t="shared" si="1"/>
        <v>0</v>
      </c>
      <c r="D36" s="131"/>
      <c r="E36" s="132"/>
      <c r="F36" s="124">
        <f t="shared" si="2"/>
        <v>0</v>
      </c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91">
        <f t="shared" si="0"/>
        <v>0</v>
      </c>
      <c r="T36" s="877"/>
      <c r="U36" s="144"/>
      <c r="V36" s="132"/>
      <c r="W36" s="124">
        <f t="shared" si="3"/>
        <v>0</v>
      </c>
      <c r="X36" s="143"/>
      <c r="Y36" s="124"/>
      <c r="Z36" s="124"/>
      <c r="AA36" s="143"/>
      <c r="AB36" s="877"/>
      <c r="AC36" s="384"/>
      <c r="AD36" s="384"/>
    </row>
    <row r="37" spans="1:30">
      <c r="A37" s="157"/>
      <c r="B37" s="152"/>
      <c r="C37" s="124">
        <f t="shared" si="1"/>
        <v>0</v>
      </c>
      <c r="D37" s="131"/>
      <c r="E37" s="132"/>
      <c r="F37" s="124">
        <f t="shared" si="2"/>
        <v>0</v>
      </c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91">
        <f t="shared" si="0"/>
        <v>0</v>
      </c>
      <c r="T37" s="877"/>
      <c r="U37" s="144"/>
      <c r="V37" s="132"/>
      <c r="W37" s="124">
        <f t="shared" si="3"/>
        <v>0</v>
      </c>
      <c r="X37" s="143"/>
      <c r="Y37" s="124"/>
      <c r="Z37" s="124"/>
      <c r="AA37" s="143"/>
      <c r="AB37" s="877"/>
      <c r="AC37" s="384"/>
      <c r="AD37" s="384"/>
    </row>
    <row r="38" spans="1:30">
      <c r="A38" s="157"/>
      <c r="B38" s="152"/>
      <c r="C38" s="124">
        <f t="shared" si="1"/>
        <v>0</v>
      </c>
      <c r="D38" s="131"/>
      <c r="E38" s="132"/>
      <c r="F38" s="124">
        <f t="shared" si="2"/>
        <v>0</v>
      </c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91">
        <f t="shared" si="0"/>
        <v>0</v>
      </c>
      <c r="T38" s="877"/>
      <c r="U38" s="144"/>
      <c r="V38" s="132"/>
      <c r="W38" s="124">
        <f t="shared" si="3"/>
        <v>0</v>
      </c>
      <c r="X38" s="143"/>
      <c r="Y38" s="124"/>
      <c r="Z38" s="124"/>
      <c r="AA38" s="143"/>
      <c r="AB38" s="877"/>
      <c r="AC38" s="384"/>
      <c r="AD38" s="384"/>
    </row>
    <row r="39" spans="1:30">
      <c r="A39" s="157"/>
      <c r="B39" s="152"/>
      <c r="C39" s="124">
        <f t="shared" si="1"/>
        <v>0</v>
      </c>
      <c r="D39" s="131"/>
      <c r="E39" s="132"/>
      <c r="F39" s="124">
        <f t="shared" si="2"/>
        <v>0</v>
      </c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91">
        <f t="shared" si="0"/>
        <v>0</v>
      </c>
      <c r="T39" s="877"/>
      <c r="U39" s="144"/>
      <c r="V39" s="132"/>
      <c r="W39" s="124">
        <f t="shared" si="3"/>
        <v>0</v>
      </c>
      <c r="X39" s="143"/>
      <c r="Y39" s="124"/>
      <c r="Z39" s="124"/>
      <c r="AA39" s="143"/>
      <c r="AB39" s="877"/>
      <c r="AC39" s="384"/>
      <c r="AD39" s="384"/>
    </row>
    <row r="40" spans="1:30">
      <c r="A40" s="157"/>
      <c r="B40" s="152"/>
      <c r="C40" s="124">
        <f t="shared" si="1"/>
        <v>0</v>
      </c>
      <c r="D40" s="131"/>
      <c r="E40" s="132"/>
      <c r="F40" s="124">
        <f t="shared" si="2"/>
        <v>0</v>
      </c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91">
        <f t="shared" si="0"/>
        <v>0</v>
      </c>
      <c r="T40" s="877"/>
      <c r="U40" s="144"/>
      <c r="V40" s="132"/>
      <c r="W40" s="124">
        <f t="shared" si="3"/>
        <v>0</v>
      </c>
      <c r="X40" s="143"/>
      <c r="Y40" s="124"/>
      <c r="Z40" s="143"/>
      <c r="AA40" s="143"/>
      <c r="AB40" s="877"/>
      <c r="AC40" s="384"/>
      <c r="AD40" s="384"/>
    </row>
    <row r="41" spans="1:30">
      <c r="A41" s="157"/>
      <c r="B41" s="152"/>
      <c r="C41" s="124">
        <f t="shared" si="1"/>
        <v>0</v>
      </c>
      <c r="D41" s="131"/>
      <c r="E41" s="132"/>
      <c r="F41" s="124">
        <f t="shared" si="2"/>
        <v>0</v>
      </c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91">
        <f t="shared" si="0"/>
        <v>0</v>
      </c>
      <c r="T41" s="877"/>
      <c r="U41" s="144"/>
      <c r="V41" s="132"/>
      <c r="W41" s="124">
        <f t="shared" si="3"/>
        <v>0</v>
      </c>
      <c r="X41" s="143"/>
      <c r="Y41" s="124"/>
      <c r="Z41" s="143"/>
      <c r="AA41" s="143"/>
      <c r="AB41" s="877"/>
      <c r="AC41" s="384"/>
      <c r="AD41" s="384"/>
    </row>
    <row r="42" spans="1:30">
      <c r="A42" s="157"/>
      <c r="B42" s="152"/>
      <c r="C42" s="124">
        <f t="shared" si="1"/>
        <v>0</v>
      </c>
      <c r="D42" s="131"/>
      <c r="E42" s="132"/>
      <c r="F42" s="124">
        <f t="shared" si="2"/>
        <v>0</v>
      </c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91">
        <f t="shared" si="0"/>
        <v>0</v>
      </c>
      <c r="T42" s="877"/>
      <c r="U42" s="144"/>
      <c r="V42" s="132"/>
      <c r="W42" s="124">
        <f t="shared" si="3"/>
        <v>0</v>
      </c>
      <c r="X42" s="143"/>
      <c r="Y42" s="124"/>
      <c r="Z42" s="143"/>
      <c r="AA42" s="143"/>
      <c r="AB42" s="877"/>
      <c r="AC42" s="384"/>
      <c r="AD42" s="384"/>
    </row>
    <row r="43" spans="1:30">
      <c r="A43" s="157"/>
      <c r="B43" s="152"/>
      <c r="C43" s="124">
        <f t="shared" si="1"/>
        <v>0</v>
      </c>
      <c r="D43" s="131"/>
      <c r="E43" s="146"/>
      <c r="F43" s="124">
        <f t="shared" si="2"/>
        <v>0</v>
      </c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91">
        <f t="shared" si="0"/>
        <v>0</v>
      </c>
      <c r="T43" s="877"/>
      <c r="U43" s="144"/>
      <c r="V43" s="146"/>
      <c r="W43" s="124">
        <f t="shared" si="3"/>
        <v>0</v>
      </c>
      <c r="X43" s="143"/>
      <c r="Y43" s="124"/>
      <c r="Z43" s="143"/>
      <c r="AA43" s="143"/>
      <c r="AB43" s="877"/>
      <c r="AC43" s="384"/>
      <c r="AD43" s="384"/>
    </row>
    <row r="44" spans="1:30">
      <c r="A44" s="157"/>
      <c r="B44" s="152"/>
      <c r="C44" s="124">
        <f t="shared" si="1"/>
        <v>0</v>
      </c>
      <c r="D44" s="131"/>
      <c r="E44" s="146"/>
      <c r="F44" s="124">
        <f t="shared" si="2"/>
        <v>0</v>
      </c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91">
        <f t="shared" si="0"/>
        <v>0</v>
      </c>
      <c r="T44" s="877"/>
      <c r="U44" s="144"/>
      <c r="V44" s="146"/>
      <c r="W44" s="124">
        <f t="shared" si="3"/>
        <v>0</v>
      </c>
      <c r="X44" s="143"/>
      <c r="Y44" s="124"/>
      <c r="Z44" s="143"/>
      <c r="AA44" s="143"/>
      <c r="AB44" s="877"/>
      <c r="AC44" s="384"/>
      <c r="AD44" s="384"/>
    </row>
    <row r="45" spans="1:30">
      <c r="A45" s="157"/>
      <c r="B45" s="152"/>
      <c r="C45" s="124">
        <f t="shared" si="1"/>
        <v>0</v>
      </c>
      <c r="D45" s="131"/>
      <c r="E45" s="146"/>
      <c r="F45" s="124">
        <f t="shared" si="2"/>
        <v>0</v>
      </c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91">
        <f t="shared" si="0"/>
        <v>0</v>
      </c>
      <c r="T45" s="877"/>
      <c r="U45" s="144"/>
      <c r="V45" s="146"/>
      <c r="W45" s="124">
        <f t="shared" si="3"/>
        <v>0</v>
      </c>
      <c r="X45" s="143"/>
      <c r="Y45" s="124"/>
      <c r="Z45" s="143"/>
      <c r="AA45" s="143"/>
      <c r="AB45" s="877"/>
      <c r="AC45" s="384"/>
      <c r="AD45" s="384"/>
    </row>
    <row r="46" spans="1:30">
      <c r="A46" s="157"/>
      <c r="B46" s="152" t="s">
        <v>542</v>
      </c>
      <c r="C46" s="124">
        <f t="shared" si="1"/>
        <v>0</v>
      </c>
      <c r="D46" s="131"/>
      <c r="E46" s="146"/>
      <c r="F46" s="124">
        <f t="shared" si="2"/>
        <v>0</v>
      </c>
      <c r="G46" s="124"/>
      <c r="H46" s="124"/>
      <c r="I46" s="191"/>
      <c r="J46" s="124"/>
      <c r="K46" s="124"/>
      <c r="L46" s="143"/>
      <c r="M46" s="124"/>
      <c r="N46" s="124"/>
      <c r="O46" s="124"/>
      <c r="P46" s="143">
        <v>-85801.9</v>
      </c>
      <c r="Q46" s="124"/>
      <c r="R46" s="143"/>
      <c r="S46" s="191">
        <f t="shared" si="0"/>
        <v>-85801.9</v>
      </c>
      <c r="T46" s="877"/>
      <c r="U46" s="144"/>
      <c r="V46" s="146"/>
      <c r="W46" s="124">
        <f t="shared" si="3"/>
        <v>0</v>
      </c>
      <c r="X46" s="143"/>
      <c r="Y46" s="124"/>
      <c r="Z46" s="143">
        <v>-85801.9</v>
      </c>
      <c r="AA46" s="143"/>
      <c r="AB46" s="877"/>
      <c r="AC46" s="384"/>
      <c r="AD46" s="384"/>
    </row>
    <row r="47" spans="1:30">
      <c r="A47" s="157"/>
      <c r="B47" s="152"/>
      <c r="C47" s="124">
        <f t="shared" si="1"/>
        <v>0</v>
      </c>
      <c r="D47" s="131"/>
      <c r="E47" s="146"/>
      <c r="F47" s="124">
        <f t="shared" si="2"/>
        <v>0</v>
      </c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91">
        <f t="shared" si="0"/>
        <v>0</v>
      </c>
      <c r="T47" s="877"/>
      <c r="U47" s="144"/>
      <c r="V47" s="146"/>
      <c r="W47" s="124">
        <f t="shared" si="3"/>
        <v>0</v>
      </c>
      <c r="X47" s="143"/>
      <c r="Y47" s="124"/>
      <c r="Z47" s="143"/>
      <c r="AA47" s="143"/>
      <c r="AB47" s="877"/>
      <c r="AC47" s="384"/>
      <c r="AD47" s="384"/>
    </row>
    <row r="48" spans="1:30">
      <c r="A48" s="157"/>
      <c r="B48" s="152"/>
      <c r="C48" s="124">
        <f t="shared" si="1"/>
        <v>0</v>
      </c>
      <c r="D48" s="131"/>
      <c r="E48" s="146"/>
      <c r="F48" s="124">
        <f t="shared" si="2"/>
        <v>0</v>
      </c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91">
        <f t="shared" si="0"/>
        <v>0</v>
      </c>
      <c r="T48" s="877"/>
      <c r="U48" s="144"/>
      <c r="V48" s="146"/>
      <c r="W48" s="124">
        <f t="shared" si="3"/>
        <v>0</v>
      </c>
      <c r="X48" s="143"/>
      <c r="Y48" s="124"/>
      <c r="Z48" s="143"/>
      <c r="AA48" s="143"/>
      <c r="AB48" s="877"/>
      <c r="AC48" s="384"/>
      <c r="AD48" s="384"/>
    </row>
    <row r="49" spans="1:30">
      <c r="A49" s="157"/>
      <c r="B49" s="158"/>
      <c r="C49" s="124">
        <f t="shared" si="1"/>
        <v>0</v>
      </c>
      <c r="D49" s="131"/>
      <c r="E49" s="132"/>
      <c r="F49" s="124">
        <f t="shared" si="2"/>
        <v>0</v>
      </c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32"/>
      <c r="W49" s="124">
        <f t="shared" si="3"/>
        <v>0</v>
      </c>
      <c r="X49" s="143"/>
      <c r="Y49" s="124"/>
      <c r="Z49" s="143"/>
      <c r="AA49" s="143"/>
      <c r="AB49" s="877"/>
      <c r="AC49" s="384"/>
      <c r="AD49" s="384"/>
    </row>
    <row r="50" spans="1:30">
      <c r="A50" s="159"/>
      <c r="B50" s="160" t="s">
        <v>17</v>
      </c>
      <c r="C50" s="1117">
        <f>SUM(C15:C49)</f>
        <v>1937522.54</v>
      </c>
      <c r="D50" s="900"/>
      <c r="E50" s="900"/>
      <c r="F50" s="900">
        <f>SUM(F15:F49)</f>
        <v>1937522.54</v>
      </c>
      <c r="G50" s="900">
        <f t="shared" ref="G50:N50" si="4">SUM(G17:G49)</f>
        <v>385000</v>
      </c>
      <c r="H50" s="900">
        <f t="shared" si="4"/>
        <v>0</v>
      </c>
      <c r="I50" s="900">
        <f t="shared" si="4"/>
        <v>1851720.63</v>
      </c>
      <c r="J50" s="900">
        <f t="shared" si="4"/>
        <v>0</v>
      </c>
      <c r="K50" s="900">
        <f t="shared" si="4"/>
        <v>0</v>
      </c>
      <c r="L50" s="900">
        <f t="shared" si="4"/>
        <v>1851720.63</v>
      </c>
      <c r="M50" s="900">
        <f t="shared" si="4"/>
        <v>0</v>
      </c>
      <c r="N50" s="900">
        <f t="shared" si="4"/>
        <v>429925</v>
      </c>
      <c r="O50" s="900">
        <f>SUM(O14:O49)</f>
        <v>3</v>
      </c>
      <c r="P50" s="900">
        <f>SUM(P14:P49)</f>
        <v>1851720.6400000001</v>
      </c>
      <c r="Q50" s="900">
        <f>SUM(Q14:Q49)</f>
        <v>0</v>
      </c>
      <c r="R50" s="900">
        <f>SUM(R14:R49)</f>
        <v>1127618.81</v>
      </c>
      <c r="S50" s="900">
        <f>SUM(S17:S49)</f>
        <v>724101.83</v>
      </c>
      <c r="T50" s="893">
        <f>W50-L50</f>
        <v>0</v>
      </c>
      <c r="U50" s="900"/>
      <c r="V50" s="900"/>
      <c r="W50" s="900">
        <f>SUM(W14:W49)</f>
        <v>1851720.63</v>
      </c>
      <c r="X50" s="900">
        <f>SUM(X14:X49)</f>
        <v>1851720.63</v>
      </c>
      <c r="Y50" s="900">
        <f>SUM(Y14:Y49)</f>
        <v>429925</v>
      </c>
      <c r="Z50" s="900">
        <f>SUM(Z14:Z49)</f>
        <v>1765918.73</v>
      </c>
      <c r="AA50" s="900">
        <f>SUM(AA14:AA49)</f>
        <v>1127618.81</v>
      </c>
      <c r="AB50" s="900">
        <f>SUM(AB17:AB49)</f>
        <v>1937522.54</v>
      </c>
      <c r="AC50" s="384"/>
      <c r="AD50" s="384"/>
    </row>
    <row r="51" spans="1:30">
      <c r="A51" s="161"/>
      <c r="B51" s="162"/>
      <c r="F51" s="163"/>
      <c r="G51" s="163"/>
      <c r="H51" s="163"/>
      <c r="I51" s="163"/>
      <c r="J51" s="163"/>
      <c r="K51" s="163"/>
      <c r="L51" s="163"/>
      <c r="M51" s="163"/>
      <c r="N51" s="163"/>
      <c r="P51" s="163"/>
      <c r="Q51" s="67"/>
      <c r="R51" s="67">
        <f>+R50-1127618.81</f>
        <v>0</v>
      </c>
      <c r="W51" s="163"/>
      <c r="AC51" s="384"/>
      <c r="AD51" s="384"/>
    </row>
    <row r="52" spans="1:30">
      <c r="A52" s="164"/>
      <c r="B52" s="162"/>
      <c r="F52" s="163"/>
      <c r="G52" s="163"/>
      <c r="H52" s="163"/>
      <c r="I52" s="163"/>
      <c r="J52" s="163"/>
      <c r="K52" s="163"/>
      <c r="L52" s="163"/>
      <c r="M52" s="163"/>
      <c r="N52" s="163"/>
      <c r="P52" s="163"/>
      <c r="Q52" s="67"/>
      <c r="R52" s="67"/>
      <c r="W52" s="163"/>
      <c r="AC52" s="384"/>
      <c r="AD52" s="384"/>
    </row>
    <row r="53" spans="1:30">
      <c r="F53" s="163"/>
      <c r="R53" s="67"/>
      <c r="W53" s="163"/>
      <c r="AC53" s="384"/>
      <c r="AD53" s="384"/>
    </row>
    <row r="54" spans="1:30">
      <c r="F54" s="163"/>
      <c r="R54" s="67"/>
      <c r="W54" s="163"/>
      <c r="AC54" s="384"/>
      <c r="AD54" s="384"/>
    </row>
    <row r="55" spans="1:30">
      <c r="R55" s="67"/>
      <c r="AC55" s="384"/>
      <c r="AD55" s="384"/>
    </row>
    <row r="56" spans="1:30">
      <c r="A56" s="67" t="s">
        <v>59</v>
      </c>
      <c r="F56" s="163"/>
      <c r="W56" s="163"/>
      <c r="AC56" s="384"/>
      <c r="AD56" s="384"/>
    </row>
  </sheetData>
  <mergeCells count="8">
    <mergeCell ref="AB8:AB12"/>
    <mergeCell ref="B2:I2"/>
    <mergeCell ref="D6:E6"/>
    <mergeCell ref="X8:X12"/>
    <mergeCell ref="E1:F1"/>
    <mergeCell ref="Y8:Y12"/>
    <mergeCell ref="Z8:Z12"/>
    <mergeCell ref="AA8:AA12"/>
  </mergeCells>
  <conditionalFormatting sqref="U8:W9 X8:AC12">
    <cfRule type="cellIs" dxfId="30" priority="1" stopIfTrue="1" operator="equal">
      <formula>0</formula>
    </cfRule>
  </conditionalFormatting>
  <pageMargins left="0.2" right="0.19" top="0.26" bottom="0.39" header="0.17" footer="0.2"/>
  <pageSetup paperSize="9" scale="42" orientation="landscape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0"/>
  <dimension ref="A1:AE63"/>
  <sheetViews>
    <sheetView showGridLines="0" showZeros="0" zoomScaleNormal="100" workbookViewId="0">
      <pane ySplit="13" topLeftCell="A14" activePane="bottomLeft" state="frozen"/>
      <selection activeCell="E81" sqref="E81:P81"/>
      <selection pane="bottomLeft" activeCell="J20" sqref="J20"/>
    </sheetView>
  </sheetViews>
  <sheetFormatPr baseColWidth="10" defaultRowHeight="12.75"/>
  <cols>
    <col min="1" max="1" width="10.25" style="247" customWidth="1"/>
    <col min="2" max="2" width="35.375" style="247" customWidth="1"/>
    <col min="3" max="3" width="10.125" style="247" customWidth="1"/>
    <col min="4" max="4" width="10.375" style="247" customWidth="1"/>
    <col min="5" max="5" width="4.875" style="247" customWidth="1"/>
    <col min="6" max="9" width="10.25" style="247" customWidth="1"/>
    <col min="10" max="10" width="12" style="247" customWidth="1"/>
    <col min="11" max="11" width="10.25" style="247" customWidth="1"/>
    <col min="12" max="12" width="9" style="247" customWidth="1"/>
    <col min="13" max="13" width="9.75" style="247" customWidth="1"/>
    <col min="14" max="14" width="8.75" style="247" customWidth="1"/>
    <col min="15" max="15" width="6.5" style="247" customWidth="1"/>
    <col min="16" max="16" width="11" style="247"/>
    <col min="17" max="17" width="5.875" style="231" customWidth="1"/>
    <col min="18" max="19" width="11" style="231"/>
    <col min="20" max="20" width="10.875" style="231" customWidth="1"/>
    <col min="21" max="21" width="9" style="247" customWidth="1"/>
    <col min="22" max="22" width="4.875" style="247" customWidth="1"/>
    <col min="23" max="23" width="10.25" style="247" customWidth="1"/>
    <col min="24" max="28" width="10.875" style="231" customWidth="1"/>
    <col min="29" max="31" width="11" style="231"/>
    <col min="32" max="16384" width="11" style="232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11" t="s">
        <v>49</v>
      </c>
      <c r="B2" s="243" t="s">
        <v>182</v>
      </c>
      <c r="C2" s="243"/>
      <c r="D2" s="243"/>
      <c r="E2" s="243"/>
      <c r="F2" s="243"/>
      <c r="G2" s="243"/>
      <c r="H2" s="246"/>
      <c r="I2" s="246"/>
      <c r="J2" s="1014"/>
      <c r="K2" s="1014"/>
      <c r="Q2" s="247"/>
      <c r="R2" s="247"/>
    </row>
    <row r="3" spans="1:31">
      <c r="A3" s="1013" t="s">
        <v>60</v>
      </c>
      <c r="B3" s="1013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106</v>
      </c>
      <c r="H3" s="1014"/>
      <c r="I3" s="1014"/>
      <c r="J3" s="1014"/>
      <c r="K3" s="1014"/>
      <c r="L3" s="249"/>
      <c r="M3" s="249"/>
      <c r="N3" s="249"/>
      <c r="O3" s="249"/>
      <c r="P3" s="249"/>
      <c r="Q3" s="249"/>
      <c r="R3" s="249"/>
      <c r="S3" s="250"/>
      <c r="T3" s="250"/>
      <c r="U3" s="248"/>
      <c r="V3" s="249"/>
      <c r="W3" s="249"/>
      <c r="X3" s="250"/>
      <c r="Y3" s="250"/>
      <c r="Z3" s="250"/>
      <c r="AA3" s="250"/>
      <c r="AB3" s="250"/>
    </row>
    <row r="4" spans="1:31">
      <c r="A4" s="1118" t="s">
        <v>61</v>
      </c>
      <c r="B4" s="246" t="s">
        <v>183</v>
      </c>
      <c r="C4" s="2144" t="s">
        <v>81</v>
      </c>
      <c r="D4" s="2144"/>
      <c r="E4" s="2144"/>
      <c r="F4" s="2145"/>
      <c r="G4" s="2145"/>
      <c r="H4" s="1011"/>
      <c r="I4" s="1011"/>
      <c r="J4" s="1011"/>
      <c r="K4" s="1011"/>
      <c r="L4" s="245"/>
      <c r="M4" s="245"/>
      <c r="N4" s="245"/>
      <c r="O4" s="249"/>
      <c r="P4" s="245"/>
      <c r="Q4" s="249"/>
      <c r="R4" s="249"/>
      <c r="S4" s="250"/>
      <c r="T4" s="250"/>
      <c r="U4" s="249"/>
      <c r="V4" s="249"/>
      <c r="W4" s="245"/>
      <c r="X4" s="250"/>
      <c r="Y4" s="250"/>
      <c r="Z4" s="250"/>
      <c r="AA4" s="250"/>
      <c r="AB4" s="250"/>
    </row>
    <row r="5" spans="1:31">
      <c r="A5" s="1016" t="s">
        <v>62</v>
      </c>
      <c r="B5" s="253">
        <v>201100504</v>
      </c>
      <c r="C5" s="1014"/>
      <c r="D5" s="1014"/>
      <c r="E5" s="1014"/>
      <c r="F5" s="1011"/>
      <c r="G5" s="1011"/>
      <c r="H5" s="1014"/>
      <c r="I5" s="1014"/>
      <c r="J5" s="1011"/>
      <c r="K5" s="1017"/>
      <c r="L5" s="245"/>
      <c r="M5" s="245"/>
      <c r="N5" s="245"/>
      <c r="O5" s="249"/>
      <c r="P5" s="245"/>
      <c r="Q5" s="249"/>
      <c r="R5" s="249"/>
      <c r="S5" s="245"/>
      <c r="T5" s="250"/>
      <c r="U5" s="249"/>
      <c r="V5" s="249"/>
      <c r="W5" s="245"/>
      <c r="X5" s="250"/>
      <c r="Y5" s="250"/>
      <c r="Z5" s="250"/>
      <c r="AA5" s="250"/>
      <c r="AB5" s="250"/>
    </row>
    <row r="6" spans="1:31">
      <c r="A6" s="1016" t="s">
        <v>51</v>
      </c>
      <c r="B6" s="244" t="s">
        <v>184</v>
      </c>
      <c r="C6" s="1014"/>
      <c r="D6" s="2431"/>
      <c r="E6" s="2431"/>
      <c r="F6" s="1011"/>
      <c r="G6" s="1011"/>
      <c r="H6" s="1018"/>
      <c r="I6" s="1018"/>
      <c r="J6" s="1119"/>
      <c r="K6" s="1118"/>
      <c r="L6" s="251"/>
      <c r="M6" s="250"/>
      <c r="N6" s="231"/>
      <c r="O6" s="231"/>
      <c r="P6" s="231"/>
      <c r="Q6" s="250"/>
      <c r="R6" s="249"/>
      <c r="S6" s="250"/>
      <c r="T6" s="250"/>
      <c r="U6" s="249"/>
      <c r="V6" s="249"/>
      <c r="W6" s="245"/>
      <c r="X6" s="250"/>
      <c r="Y6" s="250"/>
      <c r="Z6" s="250"/>
      <c r="AA6" s="250"/>
      <c r="AB6" s="250"/>
    </row>
    <row r="7" spans="1:31">
      <c r="A7" s="252"/>
      <c r="B7" s="257"/>
      <c r="C7" s="249"/>
      <c r="D7" s="249"/>
      <c r="E7" s="249"/>
      <c r="F7" s="245"/>
      <c r="G7" s="245"/>
      <c r="H7" s="254"/>
      <c r="I7" s="255"/>
      <c r="J7" s="256"/>
      <c r="K7" s="251"/>
      <c r="L7" s="251"/>
      <c r="M7" s="250"/>
      <c r="N7" s="231"/>
      <c r="O7" s="231"/>
      <c r="P7" s="231"/>
      <c r="Q7" s="250"/>
      <c r="R7" s="249"/>
      <c r="S7" s="250"/>
      <c r="T7" s="250"/>
      <c r="U7" s="249"/>
      <c r="V7" s="249"/>
      <c r="W7" s="245"/>
      <c r="X7" s="250"/>
      <c r="Y7" s="250"/>
      <c r="Z7" s="250"/>
      <c r="AA7" s="250"/>
      <c r="AB7" s="250"/>
    </row>
    <row r="8" spans="1:31" s="259" customFormat="1" ht="16.5">
      <c r="A8" s="1021" t="s">
        <v>0</v>
      </c>
      <c r="B8" s="1021" t="s">
        <v>1</v>
      </c>
      <c r="C8" s="1022" t="s">
        <v>2</v>
      </c>
      <c r="D8" s="1023" t="s">
        <v>3</v>
      </c>
      <c r="E8" s="1024"/>
      <c r="F8" s="1025"/>
      <c r="G8" s="1026" t="s">
        <v>4</v>
      </c>
      <c r="H8" s="1027"/>
      <c r="I8" s="1026" t="s">
        <v>5</v>
      </c>
      <c r="J8" s="1027"/>
      <c r="K8" s="1028" t="s">
        <v>6</v>
      </c>
      <c r="L8" s="1028"/>
      <c r="M8" s="1028"/>
      <c r="N8" s="1028"/>
      <c r="O8" s="1024" t="s">
        <v>7</v>
      </c>
      <c r="P8" s="1025"/>
      <c r="Q8" s="1024" t="s">
        <v>8</v>
      </c>
      <c r="R8" s="1025"/>
      <c r="S8" s="1029"/>
      <c r="T8" s="1030"/>
      <c r="U8" s="1031" t="s">
        <v>82</v>
      </c>
      <c r="V8" s="1032"/>
      <c r="W8" s="1033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27" t="s">
        <v>64</v>
      </c>
      <c r="AC8" s="258"/>
      <c r="AD8" s="258"/>
      <c r="AE8" s="258"/>
    </row>
    <row r="9" spans="1:31" s="259" customFormat="1" ht="10.5">
      <c r="A9" s="1034" t="s">
        <v>9</v>
      </c>
      <c r="B9" s="1035"/>
      <c r="C9" s="1036"/>
      <c r="D9" s="1037"/>
      <c r="E9" s="1038"/>
      <c r="F9" s="1039"/>
      <c r="G9" s="1040"/>
      <c r="H9" s="1041"/>
      <c r="I9" s="1040" t="s">
        <v>10</v>
      </c>
      <c r="J9" s="1040"/>
      <c r="K9" s="1042" t="s">
        <v>11</v>
      </c>
      <c r="L9" s="1042"/>
      <c r="M9" s="1042"/>
      <c r="N9" s="1042" t="s">
        <v>12</v>
      </c>
      <c r="O9" s="1038"/>
      <c r="P9" s="1039"/>
      <c r="Q9" s="1038"/>
      <c r="R9" s="1043"/>
      <c r="S9" s="1044" t="s">
        <v>13</v>
      </c>
      <c r="T9" s="1045" t="s">
        <v>14</v>
      </c>
      <c r="U9" s="223"/>
      <c r="V9" s="224"/>
      <c r="W9" s="225"/>
      <c r="X9" s="2428"/>
      <c r="Y9" s="2428"/>
      <c r="Z9" s="2428"/>
      <c r="AA9" s="2428"/>
      <c r="AB9" s="2428"/>
      <c r="AC9" s="258"/>
      <c r="AD9" s="258"/>
      <c r="AE9" s="258"/>
    </row>
    <row r="10" spans="1:31" s="259" customFormat="1" ht="8.25">
      <c r="A10" s="1035"/>
      <c r="B10" s="1035"/>
      <c r="C10" s="1036"/>
      <c r="D10" s="1046" t="s">
        <v>15</v>
      </c>
      <c r="E10" s="1046" t="s">
        <v>16</v>
      </c>
      <c r="F10" s="1028" t="s">
        <v>17</v>
      </c>
      <c r="G10" s="1040"/>
      <c r="H10" s="1041"/>
      <c r="I10" s="1040"/>
      <c r="J10" s="1040"/>
      <c r="K10" s="1047" t="s">
        <v>18</v>
      </c>
      <c r="L10" s="1047" t="s">
        <v>17</v>
      </c>
      <c r="M10" s="1047" t="s">
        <v>19</v>
      </c>
      <c r="N10" s="1047" t="s">
        <v>20</v>
      </c>
      <c r="O10" s="1046" t="s">
        <v>16</v>
      </c>
      <c r="P10" s="1028" t="s">
        <v>17</v>
      </c>
      <c r="Q10" s="1046" t="s">
        <v>16</v>
      </c>
      <c r="R10" s="1028" t="s">
        <v>17</v>
      </c>
      <c r="S10" s="1044" t="s">
        <v>21</v>
      </c>
      <c r="T10" s="1045" t="s">
        <v>22</v>
      </c>
      <c r="U10" s="1046" t="s">
        <v>15</v>
      </c>
      <c r="V10" s="1046" t="s">
        <v>16</v>
      </c>
      <c r="W10" s="1028" t="s">
        <v>17</v>
      </c>
      <c r="X10" s="2428"/>
      <c r="Y10" s="2428"/>
      <c r="Z10" s="2428"/>
      <c r="AA10" s="2428"/>
      <c r="AB10" s="2428"/>
      <c r="AC10" s="258"/>
      <c r="AD10" s="258"/>
      <c r="AE10" s="258"/>
    </row>
    <row r="11" spans="1:31" s="259" customFormat="1" ht="8.25">
      <c r="A11" s="1035"/>
      <c r="B11" s="1035"/>
      <c r="C11" s="1036"/>
      <c r="D11" s="1044" t="s">
        <v>23</v>
      </c>
      <c r="E11" s="1044"/>
      <c r="F11" s="1042" t="s">
        <v>23</v>
      </c>
      <c r="G11" s="1028" t="s">
        <v>24</v>
      </c>
      <c r="H11" s="1028" t="s">
        <v>25</v>
      </c>
      <c r="I11" s="1028" t="s">
        <v>26</v>
      </c>
      <c r="J11" s="1028" t="s">
        <v>27</v>
      </c>
      <c r="K11" s="1042" t="s">
        <v>28</v>
      </c>
      <c r="L11" s="1042" t="s">
        <v>29</v>
      </c>
      <c r="M11" s="1042" t="s">
        <v>30</v>
      </c>
      <c r="N11" s="1042" t="s">
        <v>31</v>
      </c>
      <c r="O11" s="1044"/>
      <c r="P11" s="1042" t="s">
        <v>23</v>
      </c>
      <c r="Q11" s="1044"/>
      <c r="R11" s="1042" t="s">
        <v>23</v>
      </c>
      <c r="S11" s="1036"/>
      <c r="T11" s="1045" t="s">
        <v>32</v>
      </c>
      <c r="U11" s="1044" t="s">
        <v>23</v>
      </c>
      <c r="V11" s="1044"/>
      <c r="W11" s="1042" t="s">
        <v>23</v>
      </c>
      <c r="X11" s="2428"/>
      <c r="Y11" s="2428"/>
      <c r="Z11" s="2428"/>
      <c r="AA11" s="2428"/>
      <c r="AB11" s="2428"/>
      <c r="AC11" s="258"/>
      <c r="AD11" s="258"/>
      <c r="AE11" s="258"/>
    </row>
    <row r="12" spans="1:31">
      <c r="A12" s="1035"/>
      <c r="B12" s="1035"/>
      <c r="C12" s="1036"/>
      <c r="D12" s="1036"/>
      <c r="E12" s="1036"/>
      <c r="F12" s="1048"/>
      <c r="G12" s="1048"/>
      <c r="H12" s="1048"/>
      <c r="I12" s="1048"/>
      <c r="J12" s="1042" t="s">
        <v>33</v>
      </c>
      <c r="K12" s="1042" t="s">
        <v>34</v>
      </c>
      <c r="L12" s="1042"/>
      <c r="M12" s="1042"/>
      <c r="N12" s="1042"/>
      <c r="O12" s="1036"/>
      <c r="P12" s="1048"/>
      <c r="Q12" s="1036"/>
      <c r="R12" s="1048"/>
      <c r="S12" s="1049"/>
      <c r="T12" s="1050"/>
      <c r="U12" s="1036"/>
      <c r="V12" s="1036"/>
      <c r="W12" s="1048"/>
      <c r="X12" s="2428"/>
      <c r="Y12" s="2428"/>
      <c r="Z12" s="2428"/>
      <c r="AA12" s="2428"/>
      <c r="AB12" s="2428"/>
    </row>
    <row r="13" spans="1:31">
      <c r="A13" s="1051"/>
      <c r="B13" s="1051" t="s">
        <v>35</v>
      </c>
      <c r="C13" s="1052" t="s">
        <v>36</v>
      </c>
      <c r="D13" s="1052"/>
      <c r="E13" s="1052"/>
      <c r="F13" s="1053" t="s">
        <v>37</v>
      </c>
      <c r="G13" s="1053" t="s">
        <v>38</v>
      </c>
      <c r="H13" s="1053" t="s">
        <v>39</v>
      </c>
      <c r="I13" s="1053" t="s">
        <v>40</v>
      </c>
      <c r="J13" s="1053" t="s">
        <v>41</v>
      </c>
      <c r="K13" s="1053" t="s">
        <v>42</v>
      </c>
      <c r="L13" s="1053" t="s">
        <v>43</v>
      </c>
      <c r="M13" s="1053" t="s">
        <v>44</v>
      </c>
      <c r="N13" s="1053" t="s">
        <v>45</v>
      </c>
      <c r="O13" s="1052"/>
      <c r="P13" s="1053" t="s">
        <v>37</v>
      </c>
      <c r="Q13" s="1052" t="s">
        <v>46</v>
      </c>
      <c r="R13" s="1052"/>
      <c r="S13" s="1054" t="s">
        <v>47</v>
      </c>
      <c r="T13" s="1055" t="s">
        <v>48</v>
      </c>
      <c r="U13" s="1052"/>
      <c r="V13" s="1052"/>
      <c r="W13" s="1053" t="s">
        <v>37</v>
      </c>
      <c r="X13" s="263" t="s">
        <v>86</v>
      </c>
      <c r="Y13" s="263"/>
      <c r="Z13" s="263"/>
      <c r="AA13" s="263"/>
      <c r="AB13" s="263"/>
    </row>
    <row r="14" spans="1:31">
      <c r="A14" s="264"/>
      <c r="B14" s="265"/>
      <c r="C14" s="261"/>
      <c r="D14" s="266"/>
      <c r="E14" s="264"/>
      <c r="F14" s="260"/>
      <c r="G14" s="260"/>
      <c r="H14" s="260"/>
      <c r="I14" s="260"/>
      <c r="J14" s="260"/>
      <c r="K14" s="260"/>
      <c r="L14" s="260"/>
      <c r="M14" s="260"/>
      <c r="N14" s="260"/>
      <c r="O14" s="261"/>
      <c r="P14" s="260"/>
      <c r="Q14" s="261"/>
      <c r="R14" s="261"/>
      <c r="S14" s="267"/>
      <c r="T14" s="262"/>
      <c r="U14" s="261"/>
      <c r="V14" s="264"/>
      <c r="W14" s="260"/>
      <c r="X14" s="262"/>
      <c r="Y14" s="262"/>
      <c r="Z14" s="262"/>
      <c r="AA14" s="262"/>
      <c r="AB14" s="262"/>
    </row>
    <row r="15" spans="1:31" ht="13.5" customHeight="1">
      <c r="A15" s="1057"/>
      <c r="B15" s="265"/>
      <c r="C15" s="226">
        <f>D15*E15</f>
        <v>0</v>
      </c>
      <c r="D15" s="1058"/>
      <c r="E15" s="1057"/>
      <c r="F15" s="226">
        <f>D15*E15</f>
        <v>0</v>
      </c>
      <c r="G15" s="226"/>
      <c r="H15" s="226"/>
      <c r="I15" s="226"/>
      <c r="J15" s="226"/>
      <c r="K15" s="226"/>
      <c r="L15" s="226"/>
      <c r="M15" s="226"/>
      <c r="N15" s="226"/>
      <c r="O15" s="230"/>
      <c r="P15" s="226"/>
      <c r="Q15" s="230"/>
      <c r="R15" s="230"/>
      <c r="S15" s="1059"/>
      <c r="T15" s="1060"/>
      <c r="U15" s="230"/>
      <c r="V15" s="1057"/>
      <c r="W15" s="226">
        <f>U15*V15</f>
        <v>0</v>
      </c>
      <c r="X15" s="1060"/>
      <c r="Y15" s="1060"/>
      <c r="Z15" s="1060"/>
      <c r="AA15" s="1060"/>
      <c r="AB15" s="1060"/>
    </row>
    <row r="16" spans="1:31" ht="37.5" customHeight="1">
      <c r="A16" s="229">
        <v>1</v>
      </c>
      <c r="B16" s="227" t="s">
        <v>100</v>
      </c>
      <c r="C16" s="226">
        <f>D16*E16</f>
        <v>216000</v>
      </c>
      <c r="D16" s="226">
        <f>180000*1.2</f>
        <v>216000</v>
      </c>
      <c r="E16" s="229">
        <v>1</v>
      </c>
      <c r="F16" s="226">
        <f>D16*E16</f>
        <v>216000</v>
      </c>
      <c r="G16" s="226">
        <v>10200</v>
      </c>
      <c r="H16" s="226" t="s">
        <v>104</v>
      </c>
      <c r="I16" s="226">
        <f>U16</f>
        <v>216000</v>
      </c>
      <c r="J16" s="226"/>
      <c r="K16" s="226"/>
      <c r="L16" s="226">
        <f>+I16-J16+K16</f>
        <v>216000</v>
      </c>
      <c r="M16" s="226"/>
      <c r="N16" s="226">
        <f>G16</f>
        <v>10200</v>
      </c>
      <c r="O16" s="226">
        <v>1</v>
      </c>
      <c r="P16" s="226">
        <f>+O16*D16</f>
        <v>216000</v>
      </c>
      <c r="Q16" s="226"/>
      <c r="R16" s="230"/>
      <c r="S16" s="230">
        <f>P16-R16</f>
        <v>216000</v>
      </c>
      <c r="T16" s="577">
        <f>W16-L16</f>
        <v>0</v>
      </c>
      <c r="U16" s="226">
        <f>180000*1.2</f>
        <v>216000</v>
      </c>
      <c r="V16" s="229">
        <v>1</v>
      </c>
      <c r="W16" s="226">
        <f>U16*V16</f>
        <v>216000</v>
      </c>
      <c r="X16" s="226">
        <v>216000</v>
      </c>
      <c r="Y16" s="226">
        <v>10200</v>
      </c>
      <c r="Z16" s="226">
        <v>216000</v>
      </c>
      <c r="AA16" s="577"/>
      <c r="AB16" s="228">
        <v>216000</v>
      </c>
    </row>
    <row r="17" spans="1:28" hidden="1">
      <c r="A17" s="1061"/>
      <c r="B17" s="268"/>
      <c r="C17" s="226"/>
      <c r="D17" s="226"/>
      <c r="E17" s="229"/>
      <c r="F17" s="226"/>
      <c r="G17" s="226">
        <v>10200</v>
      </c>
      <c r="H17" s="226"/>
      <c r="I17" s="226">
        <f t="shared" ref="I17:I19" si="0">U17</f>
        <v>0</v>
      </c>
      <c r="J17" s="226"/>
      <c r="K17" s="226"/>
      <c r="L17" s="226">
        <f>+I17-J17+K17</f>
        <v>0</v>
      </c>
      <c r="M17" s="226"/>
      <c r="N17" s="226"/>
      <c r="O17" s="226"/>
      <c r="P17" s="226"/>
      <c r="Q17" s="226"/>
      <c r="R17" s="230"/>
      <c r="S17" s="230"/>
      <c r="T17" s="577">
        <f>W17-L17</f>
        <v>0</v>
      </c>
      <c r="U17" s="226"/>
      <c r="V17" s="229"/>
      <c r="W17" s="226"/>
      <c r="X17" s="226">
        <v>0</v>
      </c>
      <c r="Y17" s="226"/>
      <c r="Z17" s="226"/>
      <c r="AA17" s="1064"/>
      <c r="AB17" s="1065"/>
    </row>
    <row r="18" spans="1:28" hidden="1">
      <c r="A18" s="1062"/>
      <c r="B18" s="268"/>
      <c r="C18" s="226"/>
      <c r="D18" s="226"/>
      <c r="E18" s="229"/>
      <c r="F18" s="226"/>
      <c r="G18" s="226">
        <v>10200</v>
      </c>
      <c r="H18" s="226"/>
      <c r="I18" s="226">
        <f t="shared" si="0"/>
        <v>0</v>
      </c>
      <c r="J18" s="226"/>
      <c r="K18" s="226"/>
      <c r="L18" s="226">
        <f>+I18-J18+K18</f>
        <v>0</v>
      </c>
      <c r="M18" s="226"/>
      <c r="N18" s="226"/>
      <c r="O18" s="226"/>
      <c r="P18" s="226"/>
      <c r="Q18" s="226"/>
      <c r="R18" s="230"/>
      <c r="S18" s="230"/>
      <c r="T18" s="577">
        <f>W18-L18</f>
        <v>0</v>
      </c>
      <c r="U18" s="226"/>
      <c r="V18" s="229"/>
      <c r="W18" s="226"/>
      <c r="X18" s="226">
        <v>0</v>
      </c>
      <c r="Y18" s="226"/>
      <c r="Z18" s="226"/>
      <c r="AA18" s="1064"/>
      <c r="AB18" s="1065"/>
    </row>
    <row r="19" spans="1:28" ht="29.25" customHeight="1">
      <c r="A19" s="1063">
        <v>2</v>
      </c>
      <c r="B19" s="227" t="s">
        <v>101</v>
      </c>
      <c r="C19" s="226">
        <f t="shared" ref="C19:C34" si="1">D19*E19</f>
        <v>252000</v>
      </c>
      <c r="D19" s="226">
        <f>210000*1.2</f>
        <v>252000</v>
      </c>
      <c r="E19" s="229">
        <v>1</v>
      </c>
      <c r="F19" s="226">
        <f t="shared" ref="F19:F34" si="2">D19*E19</f>
        <v>252000</v>
      </c>
      <c r="G19" s="226">
        <v>12965.92</v>
      </c>
      <c r="H19" s="236" t="s">
        <v>364</v>
      </c>
      <c r="I19" s="226">
        <f t="shared" si="0"/>
        <v>252000</v>
      </c>
      <c r="J19" s="236">
        <f>+I19*0.5</f>
        <v>126000</v>
      </c>
      <c r="K19" s="236"/>
      <c r="L19" s="226">
        <f>+I19-J19+K19</f>
        <v>126000</v>
      </c>
      <c r="M19" s="236"/>
      <c r="N19" s="236">
        <v>12965.92</v>
      </c>
      <c r="O19" s="236"/>
      <c r="P19" s="233"/>
      <c r="Q19" s="234"/>
      <c r="R19" s="226"/>
      <c r="S19" s="236"/>
      <c r="T19" s="577">
        <f>W19-L19</f>
        <v>126000</v>
      </c>
      <c r="U19" s="226">
        <f>210000*1.2</f>
        <v>252000</v>
      </c>
      <c r="V19" s="229">
        <v>1</v>
      </c>
      <c r="W19" s="226">
        <f t="shared" ref="W19:W34" si="3">U19*V19</f>
        <v>252000</v>
      </c>
      <c r="X19" s="226"/>
      <c r="Y19" s="236">
        <v>12965.92</v>
      </c>
      <c r="Z19" s="233"/>
      <c r="AA19" s="236"/>
      <c r="AB19" s="228">
        <v>252000</v>
      </c>
    </row>
    <row r="20" spans="1:28" ht="21.75" customHeight="1">
      <c r="A20" s="239">
        <v>3</v>
      </c>
      <c r="B20" s="235" t="s">
        <v>90</v>
      </c>
      <c r="C20" s="226">
        <f t="shared" si="1"/>
        <v>120000</v>
      </c>
      <c r="D20" s="226">
        <f>100000*1.2</f>
        <v>120000</v>
      </c>
      <c r="E20" s="229">
        <v>1</v>
      </c>
      <c r="F20" s="226">
        <f t="shared" si="2"/>
        <v>120000</v>
      </c>
      <c r="G20" s="236">
        <v>4571.43</v>
      </c>
      <c r="H20" s="236" t="s">
        <v>94</v>
      </c>
      <c r="I20" s="236"/>
      <c r="J20" s="236"/>
      <c r="K20" s="236"/>
      <c r="L20" s="226">
        <f>+I20-J20+K20</f>
        <v>0</v>
      </c>
      <c r="M20" s="236"/>
      <c r="N20" s="2375">
        <v>4571.43</v>
      </c>
      <c r="O20" s="236"/>
      <c r="P20" s="226"/>
      <c r="Q20" s="234"/>
      <c r="R20" s="236"/>
      <c r="S20" s="236"/>
      <c r="T20" s="577">
        <f>W20-L20</f>
        <v>120000</v>
      </c>
      <c r="U20" s="226">
        <f>100000*1.2</f>
        <v>120000</v>
      </c>
      <c r="V20" s="229">
        <v>1</v>
      </c>
      <c r="W20" s="226">
        <f t="shared" si="3"/>
        <v>120000</v>
      </c>
      <c r="X20" s="236"/>
      <c r="Y20" s="236">
        <v>4571.43</v>
      </c>
      <c r="Z20" s="236"/>
      <c r="AA20" s="236"/>
      <c r="AB20" s="228">
        <v>120000</v>
      </c>
    </row>
    <row r="21" spans="1:28">
      <c r="A21" s="239"/>
      <c r="B21" s="235"/>
      <c r="C21" s="226">
        <f t="shared" si="1"/>
        <v>0</v>
      </c>
      <c r="D21" s="228"/>
      <c r="E21" s="229"/>
      <c r="F21" s="226">
        <f t="shared" si="2"/>
        <v>0</v>
      </c>
      <c r="G21" s="2328">
        <v>64800</v>
      </c>
      <c r="H21" s="2328" t="s">
        <v>104</v>
      </c>
      <c r="I21" s="236"/>
      <c r="J21" s="236"/>
      <c r="K21" s="236"/>
      <c r="L21" s="236"/>
      <c r="M21" s="236"/>
      <c r="N21" s="2375">
        <v>64800</v>
      </c>
      <c r="O21" s="236"/>
      <c r="P21" s="226"/>
      <c r="Q21" s="234"/>
      <c r="R21" s="236"/>
      <c r="S21" s="236"/>
      <c r="T21" s="236"/>
      <c r="U21" s="228"/>
      <c r="V21" s="229"/>
      <c r="W21" s="226">
        <f t="shared" si="3"/>
        <v>0</v>
      </c>
      <c r="X21" s="236"/>
      <c r="Y21" s="236"/>
      <c r="Z21" s="236"/>
      <c r="AA21" s="236"/>
      <c r="AB21" s="236"/>
    </row>
    <row r="22" spans="1:28">
      <c r="A22" s="229"/>
      <c r="B22" s="237"/>
      <c r="C22" s="226">
        <f t="shared" si="1"/>
        <v>0</v>
      </c>
      <c r="D22" s="228"/>
      <c r="E22" s="229"/>
      <c r="F22" s="226">
        <f t="shared" si="2"/>
        <v>0</v>
      </c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4"/>
      <c r="R22" s="236"/>
      <c r="S22" s="236"/>
      <c r="T22" s="236"/>
      <c r="U22" s="238"/>
      <c r="V22" s="229"/>
      <c r="W22" s="226">
        <f t="shared" si="3"/>
        <v>0</v>
      </c>
      <c r="X22" s="236"/>
      <c r="Y22" s="236"/>
      <c r="Z22" s="236"/>
      <c r="AA22" s="236"/>
      <c r="AB22" s="236"/>
    </row>
    <row r="23" spans="1:28" hidden="1">
      <c r="A23" s="229"/>
      <c r="B23" s="237"/>
      <c r="C23" s="226">
        <f t="shared" si="1"/>
        <v>0</v>
      </c>
      <c r="D23" s="228"/>
      <c r="E23" s="239"/>
      <c r="F23" s="226">
        <f t="shared" si="2"/>
        <v>0</v>
      </c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40"/>
      <c r="R23" s="226"/>
      <c r="S23" s="236"/>
      <c r="T23" s="236"/>
      <c r="U23" s="238"/>
      <c r="V23" s="239"/>
      <c r="W23" s="226">
        <f t="shared" si="3"/>
        <v>0</v>
      </c>
      <c r="X23" s="236"/>
      <c r="Y23" s="236"/>
      <c r="Z23" s="236"/>
      <c r="AA23" s="236"/>
      <c r="AB23" s="236"/>
    </row>
    <row r="24" spans="1:28" ht="0.75" hidden="1" customHeight="1">
      <c r="A24" s="1061"/>
      <c r="B24" s="269"/>
      <c r="C24" s="226">
        <f t="shared" si="1"/>
        <v>0</v>
      </c>
      <c r="D24" s="228"/>
      <c r="E24" s="229"/>
      <c r="F24" s="226">
        <f t="shared" si="2"/>
        <v>0</v>
      </c>
      <c r="G24" s="236"/>
      <c r="H24" s="236"/>
      <c r="I24" s="236"/>
      <c r="J24" s="236"/>
      <c r="K24" s="236"/>
      <c r="L24" s="236"/>
      <c r="M24" s="236"/>
      <c r="N24" s="236"/>
      <c r="O24" s="236"/>
      <c r="P24" s="226"/>
      <c r="Q24" s="234"/>
      <c r="R24" s="226"/>
      <c r="S24" s="236">
        <f>+P24-R24</f>
        <v>0</v>
      </c>
      <c r="T24" s="236"/>
      <c r="U24" s="238"/>
      <c r="V24" s="229"/>
      <c r="W24" s="226">
        <f t="shared" si="3"/>
        <v>0</v>
      </c>
      <c r="X24" s="236"/>
      <c r="Y24" s="236"/>
      <c r="Z24" s="236"/>
      <c r="AA24" s="236"/>
      <c r="AB24" s="236"/>
    </row>
    <row r="25" spans="1:28" hidden="1">
      <c r="A25" s="1061"/>
      <c r="B25" s="237"/>
      <c r="C25" s="226">
        <f t="shared" si="1"/>
        <v>0</v>
      </c>
      <c r="D25" s="228"/>
      <c r="E25" s="229"/>
      <c r="F25" s="226">
        <f t="shared" si="2"/>
        <v>0</v>
      </c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4"/>
      <c r="R25" s="226"/>
      <c r="S25" s="236">
        <f>+P25-R25</f>
        <v>0</v>
      </c>
      <c r="T25" s="236"/>
      <c r="U25" s="238"/>
      <c r="V25" s="229"/>
      <c r="W25" s="226">
        <f t="shared" si="3"/>
        <v>0</v>
      </c>
      <c r="X25" s="236"/>
      <c r="Y25" s="236"/>
      <c r="Z25" s="236"/>
      <c r="AA25" s="236"/>
      <c r="AB25" s="236"/>
    </row>
    <row r="26" spans="1:28">
      <c r="A26" s="229"/>
      <c r="B26" s="270"/>
      <c r="C26" s="226">
        <f t="shared" si="1"/>
        <v>0</v>
      </c>
      <c r="D26" s="228"/>
      <c r="E26" s="229"/>
      <c r="F26" s="226">
        <f t="shared" si="2"/>
        <v>0</v>
      </c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4"/>
      <c r="R26" s="226"/>
      <c r="S26" s="236"/>
      <c r="T26" s="236"/>
      <c r="U26" s="238"/>
      <c r="V26" s="229"/>
      <c r="W26" s="226">
        <f t="shared" si="3"/>
        <v>0</v>
      </c>
      <c r="X26" s="236"/>
      <c r="Y26" s="236"/>
      <c r="Z26" s="236"/>
      <c r="AA26" s="236"/>
      <c r="AB26" s="236"/>
    </row>
    <row r="27" spans="1:28" ht="12" customHeight="1">
      <c r="A27" s="239"/>
      <c r="B27" s="271"/>
      <c r="C27" s="226">
        <f t="shared" si="1"/>
        <v>0</v>
      </c>
      <c r="D27" s="228"/>
      <c r="E27" s="229"/>
      <c r="F27" s="226">
        <f t="shared" si="2"/>
        <v>0</v>
      </c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4"/>
      <c r="R27" s="236"/>
      <c r="S27" s="236"/>
      <c r="T27" s="236"/>
      <c r="U27" s="238"/>
      <c r="V27" s="229"/>
      <c r="W27" s="226">
        <f t="shared" si="3"/>
        <v>0</v>
      </c>
      <c r="X27" s="236"/>
      <c r="Y27" s="236"/>
      <c r="Z27" s="236"/>
      <c r="AA27" s="236"/>
      <c r="AB27" s="236"/>
    </row>
    <row r="28" spans="1:28">
      <c r="A28" s="239"/>
      <c r="B28" s="271"/>
      <c r="C28" s="226">
        <f t="shared" si="1"/>
        <v>0</v>
      </c>
      <c r="D28" s="228"/>
      <c r="E28" s="229"/>
      <c r="F28" s="226">
        <f t="shared" si="2"/>
        <v>0</v>
      </c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4"/>
      <c r="R28" s="236"/>
      <c r="S28" s="236"/>
      <c r="T28" s="236"/>
      <c r="U28" s="238"/>
      <c r="V28" s="229"/>
      <c r="W28" s="226">
        <f t="shared" si="3"/>
        <v>0</v>
      </c>
      <c r="X28" s="236"/>
      <c r="Y28" s="236"/>
      <c r="Z28" s="236"/>
      <c r="AA28" s="236"/>
      <c r="AB28" s="236"/>
    </row>
    <row r="29" spans="1:28">
      <c r="A29" s="239"/>
      <c r="B29" s="271"/>
      <c r="C29" s="226">
        <f t="shared" si="1"/>
        <v>0</v>
      </c>
      <c r="D29" s="228"/>
      <c r="E29" s="229"/>
      <c r="F29" s="226">
        <f t="shared" si="2"/>
        <v>0</v>
      </c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4"/>
      <c r="R29" s="236"/>
      <c r="S29" s="236"/>
      <c r="T29" s="236"/>
      <c r="U29" s="238"/>
      <c r="V29" s="229"/>
      <c r="W29" s="226">
        <f t="shared" si="3"/>
        <v>0</v>
      </c>
      <c r="X29" s="236"/>
      <c r="Y29" s="236"/>
      <c r="Z29" s="236"/>
      <c r="AA29" s="236"/>
      <c r="AB29" s="236"/>
    </row>
    <row r="30" spans="1:28">
      <c r="A30" s="239"/>
      <c r="B30" s="271"/>
      <c r="C30" s="226">
        <f t="shared" si="1"/>
        <v>0</v>
      </c>
      <c r="D30" s="228"/>
      <c r="E30" s="229"/>
      <c r="F30" s="226">
        <f t="shared" si="2"/>
        <v>0</v>
      </c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4"/>
      <c r="R30" s="236"/>
      <c r="S30" s="236"/>
      <c r="T30" s="236"/>
      <c r="U30" s="238"/>
      <c r="V30" s="229"/>
      <c r="W30" s="226">
        <f t="shared" si="3"/>
        <v>0</v>
      </c>
      <c r="X30" s="236"/>
      <c r="Y30" s="236"/>
      <c r="Z30" s="236"/>
      <c r="AA30" s="236"/>
      <c r="AB30" s="236"/>
    </row>
    <row r="31" spans="1:28">
      <c r="A31" s="239"/>
      <c r="B31" s="272"/>
      <c r="C31" s="226">
        <f t="shared" si="1"/>
        <v>0</v>
      </c>
      <c r="D31" s="228"/>
      <c r="E31" s="229"/>
      <c r="F31" s="226">
        <f t="shared" si="2"/>
        <v>0</v>
      </c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73"/>
      <c r="R31" s="236"/>
      <c r="S31" s="236"/>
      <c r="T31" s="236"/>
      <c r="U31" s="238"/>
      <c r="V31" s="229"/>
      <c r="W31" s="226">
        <f t="shared" si="3"/>
        <v>0</v>
      </c>
      <c r="X31" s="236"/>
      <c r="Y31" s="236"/>
      <c r="Z31" s="236"/>
      <c r="AA31" s="236"/>
      <c r="AB31" s="236"/>
    </row>
    <row r="32" spans="1:28">
      <c r="A32" s="229"/>
      <c r="B32" s="270"/>
      <c r="C32" s="226">
        <f t="shared" si="1"/>
        <v>0</v>
      </c>
      <c r="D32" s="228"/>
      <c r="E32" s="229"/>
      <c r="F32" s="226">
        <f t="shared" si="2"/>
        <v>0</v>
      </c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73"/>
      <c r="R32" s="236"/>
      <c r="S32" s="236"/>
      <c r="T32" s="236"/>
      <c r="U32" s="238"/>
      <c r="V32" s="229"/>
      <c r="W32" s="226">
        <f t="shared" si="3"/>
        <v>0</v>
      </c>
      <c r="X32" s="236"/>
      <c r="Y32" s="236"/>
      <c r="Z32" s="236"/>
      <c r="AA32" s="236"/>
      <c r="AB32" s="236">
        <v>0</v>
      </c>
    </row>
    <row r="33" spans="1:28" ht="0.75" hidden="1" customHeight="1">
      <c r="A33" s="239"/>
      <c r="B33" s="271"/>
      <c r="C33" s="226">
        <f t="shared" si="1"/>
        <v>0</v>
      </c>
      <c r="D33" s="228"/>
      <c r="E33" s="229"/>
      <c r="F33" s="226">
        <f t="shared" si="2"/>
        <v>0</v>
      </c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73"/>
      <c r="R33" s="236"/>
      <c r="S33" s="236"/>
      <c r="T33" s="236"/>
      <c r="U33" s="238"/>
      <c r="V33" s="229"/>
      <c r="W33" s="226">
        <f t="shared" si="3"/>
        <v>0</v>
      </c>
      <c r="X33" s="236"/>
      <c r="Y33" s="236"/>
      <c r="Z33" s="236"/>
      <c r="AA33" s="236"/>
      <c r="AB33" s="236">
        <v>0</v>
      </c>
    </row>
    <row r="34" spans="1:28" ht="0.75" hidden="1" customHeight="1">
      <c r="A34" s="239"/>
      <c r="B34" s="271"/>
      <c r="C34" s="226">
        <f t="shared" si="1"/>
        <v>0</v>
      </c>
      <c r="D34" s="228"/>
      <c r="E34" s="229"/>
      <c r="F34" s="226">
        <f t="shared" si="2"/>
        <v>0</v>
      </c>
      <c r="G34" s="226"/>
      <c r="H34" s="226"/>
      <c r="I34" s="230"/>
      <c r="J34" s="226"/>
      <c r="K34" s="226"/>
      <c r="L34" s="236"/>
      <c r="M34" s="226"/>
      <c r="N34" s="226"/>
      <c r="O34" s="226"/>
      <c r="P34" s="236"/>
      <c r="Q34" s="273"/>
      <c r="R34" s="236"/>
      <c r="S34" s="236"/>
      <c r="T34" s="1064"/>
      <c r="U34" s="238"/>
      <c r="V34" s="229"/>
      <c r="W34" s="226">
        <f t="shared" si="3"/>
        <v>0</v>
      </c>
      <c r="X34" s="1064"/>
      <c r="Y34" s="1064"/>
      <c r="Z34" s="1064"/>
      <c r="AA34" s="1064"/>
      <c r="AB34" s="1064"/>
    </row>
    <row r="35" spans="1:28" ht="0.75" customHeight="1">
      <c r="A35" s="239"/>
      <c r="B35" s="271"/>
      <c r="C35" s="226"/>
      <c r="D35" s="228"/>
      <c r="E35" s="229"/>
      <c r="F35" s="226"/>
      <c r="G35" s="226"/>
      <c r="H35" s="226"/>
      <c r="I35" s="230"/>
      <c r="J35" s="226"/>
      <c r="K35" s="226"/>
      <c r="L35" s="236"/>
      <c r="M35" s="226"/>
      <c r="N35" s="226"/>
      <c r="O35" s="226"/>
      <c r="P35" s="236"/>
      <c r="Q35" s="273"/>
      <c r="R35" s="236"/>
      <c r="S35" s="236"/>
      <c r="T35" s="1064"/>
      <c r="U35" s="238"/>
      <c r="V35" s="229"/>
      <c r="W35" s="226"/>
      <c r="X35" s="1064"/>
      <c r="Y35" s="1064"/>
      <c r="Z35" s="1064"/>
      <c r="AA35" s="1064"/>
      <c r="AB35" s="1064"/>
    </row>
    <row r="36" spans="1:28" ht="0.75" customHeight="1">
      <c r="A36" s="239"/>
      <c r="B36" s="271"/>
      <c r="C36" s="226"/>
      <c r="D36" s="228"/>
      <c r="E36" s="229"/>
      <c r="F36" s="226"/>
      <c r="G36" s="226"/>
      <c r="H36" s="226"/>
      <c r="I36" s="230"/>
      <c r="J36" s="226"/>
      <c r="K36" s="226"/>
      <c r="L36" s="236"/>
      <c r="M36" s="226"/>
      <c r="N36" s="226"/>
      <c r="O36" s="226"/>
      <c r="P36" s="236"/>
      <c r="Q36" s="273"/>
      <c r="R36" s="236"/>
      <c r="S36" s="236"/>
      <c r="T36" s="1064"/>
      <c r="U36" s="238"/>
      <c r="V36" s="229"/>
      <c r="W36" s="226"/>
      <c r="X36" s="1064"/>
      <c r="Y36" s="1064"/>
      <c r="Z36" s="1064"/>
      <c r="AA36" s="1064"/>
      <c r="AB36" s="1064"/>
    </row>
    <row r="37" spans="1:28" ht="0.75" customHeight="1">
      <c r="A37" s="239"/>
      <c r="B37" s="271"/>
      <c r="C37" s="226"/>
      <c r="D37" s="228"/>
      <c r="E37" s="229"/>
      <c r="F37" s="226"/>
      <c r="G37" s="226"/>
      <c r="H37" s="226"/>
      <c r="I37" s="230"/>
      <c r="J37" s="226"/>
      <c r="K37" s="226"/>
      <c r="L37" s="236"/>
      <c r="M37" s="226"/>
      <c r="N37" s="226"/>
      <c r="O37" s="226"/>
      <c r="P37" s="236"/>
      <c r="Q37" s="273"/>
      <c r="R37" s="236"/>
      <c r="S37" s="236"/>
      <c r="T37" s="1064"/>
      <c r="U37" s="238"/>
      <c r="V37" s="229"/>
      <c r="W37" s="226"/>
      <c r="X37" s="1064"/>
      <c r="Y37" s="1064"/>
      <c r="Z37" s="1064"/>
      <c r="AA37" s="1064"/>
      <c r="AB37" s="1064"/>
    </row>
    <row r="38" spans="1:28" ht="0.75" customHeight="1">
      <c r="A38" s="239"/>
      <c r="B38" s="271"/>
      <c r="C38" s="226"/>
      <c r="D38" s="228"/>
      <c r="E38" s="229"/>
      <c r="F38" s="226"/>
      <c r="G38" s="226"/>
      <c r="H38" s="226"/>
      <c r="I38" s="230"/>
      <c r="J38" s="226"/>
      <c r="K38" s="226"/>
      <c r="L38" s="236"/>
      <c r="M38" s="226"/>
      <c r="N38" s="226"/>
      <c r="O38" s="226"/>
      <c r="P38" s="236"/>
      <c r="Q38" s="273"/>
      <c r="R38" s="236"/>
      <c r="S38" s="236"/>
      <c r="T38" s="1064"/>
      <c r="U38" s="238"/>
      <c r="V38" s="229"/>
      <c r="W38" s="226"/>
      <c r="X38" s="1064"/>
      <c r="Y38" s="1064"/>
      <c r="Z38" s="1064"/>
      <c r="AA38" s="1064"/>
      <c r="AB38" s="1064"/>
    </row>
    <row r="39" spans="1:28" ht="0.75" customHeight="1">
      <c r="A39" s="239"/>
      <c r="B39" s="271"/>
      <c r="C39" s="226"/>
      <c r="D39" s="228"/>
      <c r="E39" s="229"/>
      <c r="F39" s="226"/>
      <c r="G39" s="226"/>
      <c r="H39" s="226"/>
      <c r="I39" s="230"/>
      <c r="J39" s="226"/>
      <c r="K39" s="226"/>
      <c r="L39" s="236"/>
      <c r="M39" s="226"/>
      <c r="N39" s="226"/>
      <c r="O39" s="226"/>
      <c r="P39" s="236"/>
      <c r="Q39" s="273"/>
      <c r="R39" s="236"/>
      <c r="S39" s="236"/>
      <c r="T39" s="1064"/>
      <c r="U39" s="238"/>
      <c r="V39" s="229"/>
      <c r="W39" s="226"/>
      <c r="X39" s="1064"/>
      <c r="Y39" s="1064"/>
      <c r="Z39" s="1064"/>
      <c r="AA39" s="1064"/>
      <c r="AB39" s="1064"/>
    </row>
    <row r="40" spans="1:28" ht="0.75" customHeight="1">
      <c r="A40" s="239"/>
      <c r="B40" s="271"/>
      <c r="C40" s="226"/>
      <c r="D40" s="228"/>
      <c r="E40" s="229"/>
      <c r="F40" s="226"/>
      <c r="G40" s="226"/>
      <c r="H40" s="226"/>
      <c r="I40" s="230"/>
      <c r="J40" s="226"/>
      <c r="K40" s="226"/>
      <c r="L40" s="236"/>
      <c r="M40" s="226"/>
      <c r="N40" s="226"/>
      <c r="O40" s="226"/>
      <c r="P40" s="236"/>
      <c r="Q40" s="273"/>
      <c r="R40" s="236"/>
      <c r="S40" s="236"/>
      <c r="T40" s="1064"/>
      <c r="U40" s="238"/>
      <c r="V40" s="229"/>
      <c r="W40" s="226"/>
      <c r="X40" s="1064"/>
      <c r="Y40" s="1064"/>
      <c r="Z40" s="1064"/>
      <c r="AA40" s="1064"/>
      <c r="AB40" s="1064"/>
    </row>
    <row r="41" spans="1:28" ht="0.75" customHeight="1">
      <c r="A41" s="239"/>
      <c r="B41" s="271"/>
      <c r="C41" s="226"/>
      <c r="D41" s="228"/>
      <c r="E41" s="229"/>
      <c r="F41" s="226"/>
      <c r="G41" s="226"/>
      <c r="H41" s="226"/>
      <c r="I41" s="230"/>
      <c r="J41" s="226"/>
      <c r="K41" s="226"/>
      <c r="L41" s="236"/>
      <c r="M41" s="226"/>
      <c r="N41" s="226"/>
      <c r="O41" s="226"/>
      <c r="P41" s="236"/>
      <c r="Q41" s="273"/>
      <c r="R41" s="236"/>
      <c r="S41" s="236"/>
      <c r="T41" s="1064"/>
      <c r="U41" s="238"/>
      <c r="V41" s="229"/>
      <c r="W41" s="226"/>
      <c r="X41" s="1064"/>
      <c r="Y41" s="1064"/>
      <c r="Z41" s="1064"/>
      <c r="AA41" s="1064"/>
      <c r="AB41" s="1064"/>
    </row>
    <row r="42" spans="1:28">
      <c r="A42" s="239"/>
      <c r="B42" s="271"/>
      <c r="C42" s="226">
        <f t="shared" ref="C42:C53" si="4">D42*E42</f>
        <v>0</v>
      </c>
      <c r="D42" s="228"/>
      <c r="E42" s="229"/>
      <c r="F42" s="226">
        <f t="shared" ref="F42:F53" si="5">D42*E42</f>
        <v>0</v>
      </c>
      <c r="G42" s="226"/>
      <c r="H42" s="226"/>
      <c r="I42" s="230"/>
      <c r="J42" s="226"/>
      <c r="K42" s="226"/>
      <c r="L42" s="236"/>
      <c r="M42" s="226"/>
      <c r="N42" s="226"/>
      <c r="O42" s="226"/>
      <c r="P42" s="226"/>
      <c r="Q42" s="273"/>
      <c r="R42" s="236"/>
      <c r="S42" s="236"/>
      <c r="T42" s="1064"/>
      <c r="U42" s="238"/>
      <c r="V42" s="229"/>
      <c r="W42" s="226">
        <f t="shared" ref="W42:W51" si="6">U42*V42</f>
        <v>0</v>
      </c>
      <c r="X42" s="1064"/>
      <c r="Y42" s="1064"/>
      <c r="Z42" s="1064"/>
      <c r="AA42" s="1064"/>
      <c r="AB42" s="1064"/>
    </row>
    <row r="43" spans="1:28">
      <c r="A43" s="239"/>
      <c r="B43" s="271"/>
      <c r="C43" s="226">
        <f t="shared" si="4"/>
        <v>0</v>
      </c>
      <c r="D43" s="228"/>
      <c r="E43" s="229"/>
      <c r="F43" s="226">
        <f t="shared" si="5"/>
        <v>0</v>
      </c>
      <c r="G43" s="226"/>
      <c r="H43" s="226"/>
      <c r="I43" s="230"/>
      <c r="J43" s="226"/>
      <c r="K43" s="226"/>
      <c r="L43" s="236"/>
      <c r="M43" s="226"/>
      <c r="N43" s="226"/>
      <c r="O43" s="226"/>
      <c r="P43" s="226"/>
      <c r="Q43" s="273"/>
      <c r="R43" s="236"/>
      <c r="S43" s="236"/>
      <c r="T43" s="1064"/>
      <c r="U43" s="238"/>
      <c r="V43" s="229"/>
      <c r="W43" s="226">
        <f t="shared" si="6"/>
        <v>0</v>
      </c>
      <c r="X43" s="1064"/>
      <c r="Y43" s="1064"/>
      <c r="Z43" s="1064"/>
      <c r="AA43" s="1064"/>
      <c r="AB43" s="1064"/>
    </row>
    <row r="44" spans="1:28">
      <c r="A44" s="239"/>
      <c r="B44" s="271"/>
      <c r="C44" s="226">
        <f t="shared" si="4"/>
        <v>0</v>
      </c>
      <c r="D44" s="228"/>
      <c r="E44" s="229"/>
      <c r="F44" s="226">
        <f t="shared" si="5"/>
        <v>0</v>
      </c>
      <c r="G44" s="226"/>
      <c r="H44" s="226"/>
      <c r="I44" s="230"/>
      <c r="J44" s="226"/>
      <c r="K44" s="226"/>
      <c r="L44" s="236"/>
      <c r="M44" s="226"/>
      <c r="N44" s="226"/>
      <c r="O44" s="226"/>
      <c r="P44" s="226"/>
      <c r="Q44" s="273"/>
      <c r="R44" s="236"/>
      <c r="S44" s="236"/>
      <c r="T44" s="1064"/>
      <c r="U44" s="238"/>
      <c r="V44" s="229"/>
      <c r="W44" s="226">
        <f t="shared" si="6"/>
        <v>0</v>
      </c>
      <c r="X44" s="1064"/>
      <c r="Y44" s="1064"/>
      <c r="Z44" s="1064"/>
      <c r="AA44" s="1064"/>
      <c r="AB44" s="1064"/>
    </row>
    <row r="45" spans="1:28">
      <c r="A45" s="239"/>
      <c r="B45" s="271"/>
      <c r="C45" s="226">
        <f t="shared" si="4"/>
        <v>0</v>
      </c>
      <c r="D45" s="228"/>
      <c r="E45" s="229"/>
      <c r="F45" s="226">
        <f t="shared" si="5"/>
        <v>0</v>
      </c>
      <c r="G45" s="226"/>
      <c r="H45" s="226"/>
      <c r="I45" s="230"/>
      <c r="J45" s="226"/>
      <c r="K45" s="226"/>
      <c r="L45" s="236"/>
      <c r="M45" s="226"/>
      <c r="N45" s="226"/>
      <c r="O45" s="226"/>
      <c r="P45" s="226"/>
      <c r="Q45" s="273"/>
      <c r="R45" s="236"/>
      <c r="S45" s="236"/>
      <c r="T45" s="1064"/>
      <c r="U45" s="238"/>
      <c r="V45" s="229"/>
      <c r="W45" s="226">
        <f t="shared" si="6"/>
        <v>0</v>
      </c>
      <c r="X45" s="1064"/>
      <c r="Y45" s="1064"/>
      <c r="Z45" s="1064"/>
      <c r="AA45" s="1064"/>
      <c r="AB45" s="1064"/>
    </row>
    <row r="46" spans="1:28">
      <c r="A46" s="239"/>
      <c r="B46" s="271"/>
      <c r="C46" s="226">
        <f t="shared" si="4"/>
        <v>0</v>
      </c>
      <c r="D46" s="228"/>
      <c r="E46" s="229"/>
      <c r="F46" s="226">
        <f t="shared" si="5"/>
        <v>0</v>
      </c>
      <c r="G46" s="226"/>
      <c r="H46" s="226"/>
      <c r="I46" s="230"/>
      <c r="J46" s="226"/>
      <c r="K46" s="226"/>
      <c r="L46" s="236"/>
      <c r="M46" s="226"/>
      <c r="N46" s="226"/>
      <c r="O46" s="226"/>
      <c r="P46" s="236"/>
      <c r="Q46" s="226"/>
      <c r="R46" s="236"/>
      <c r="S46" s="236"/>
      <c r="T46" s="1064"/>
      <c r="U46" s="238"/>
      <c r="V46" s="229"/>
      <c r="W46" s="226">
        <f t="shared" si="6"/>
        <v>0</v>
      </c>
      <c r="X46" s="1064"/>
      <c r="Y46" s="1064"/>
      <c r="Z46" s="1064"/>
      <c r="AA46" s="1064"/>
      <c r="AB46" s="1064"/>
    </row>
    <row r="47" spans="1:28">
      <c r="A47" s="239"/>
      <c r="B47" s="271"/>
      <c r="C47" s="226">
        <f t="shared" si="4"/>
        <v>0</v>
      </c>
      <c r="D47" s="228"/>
      <c r="E47" s="229"/>
      <c r="F47" s="226">
        <f t="shared" si="5"/>
        <v>0</v>
      </c>
      <c r="G47" s="226"/>
      <c r="H47" s="226"/>
      <c r="I47" s="230"/>
      <c r="J47" s="226"/>
      <c r="K47" s="226"/>
      <c r="L47" s="236"/>
      <c r="M47" s="226"/>
      <c r="N47" s="226"/>
      <c r="O47" s="226"/>
      <c r="P47" s="236"/>
      <c r="Q47" s="226"/>
      <c r="R47" s="236"/>
      <c r="S47" s="236"/>
      <c r="T47" s="1064"/>
      <c r="U47" s="238"/>
      <c r="V47" s="229"/>
      <c r="W47" s="226">
        <f t="shared" si="6"/>
        <v>0</v>
      </c>
      <c r="X47" s="1064"/>
      <c r="Y47" s="1064"/>
      <c r="Z47" s="1064"/>
      <c r="AA47" s="1064"/>
      <c r="AB47" s="1064"/>
    </row>
    <row r="48" spans="1:28">
      <c r="A48" s="239"/>
      <c r="B48" s="271"/>
      <c r="C48" s="226">
        <f t="shared" si="4"/>
        <v>0</v>
      </c>
      <c r="D48" s="228"/>
      <c r="E48" s="229"/>
      <c r="F48" s="226">
        <f t="shared" si="5"/>
        <v>0</v>
      </c>
      <c r="G48" s="226"/>
      <c r="H48" s="226"/>
      <c r="I48" s="230"/>
      <c r="J48" s="226"/>
      <c r="K48" s="226"/>
      <c r="L48" s="236"/>
      <c r="M48" s="226"/>
      <c r="N48" s="226"/>
      <c r="O48" s="226"/>
      <c r="P48" s="236"/>
      <c r="Q48" s="226"/>
      <c r="R48" s="236"/>
      <c r="S48" s="236"/>
      <c r="T48" s="1064"/>
      <c r="U48" s="238"/>
      <c r="V48" s="229"/>
      <c r="W48" s="226">
        <f t="shared" si="6"/>
        <v>0</v>
      </c>
      <c r="X48" s="1064"/>
      <c r="Y48" s="1064"/>
      <c r="Z48" s="1064"/>
      <c r="AA48" s="1064"/>
      <c r="AB48" s="1064"/>
    </row>
    <row r="49" spans="1:28">
      <c r="A49" s="239"/>
      <c r="B49" s="271"/>
      <c r="C49" s="226">
        <f t="shared" si="4"/>
        <v>0</v>
      </c>
      <c r="D49" s="228"/>
      <c r="E49" s="239"/>
      <c r="F49" s="226">
        <f t="shared" si="5"/>
        <v>0</v>
      </c>
      <c r="G49" s="226"/>
      <c r="H49" s="226"/>
      <c r="I49" s="230"/>
      <c r="J49" s="226"/>
      <c r="K49" s="226"/>
      <c r="L49" s="236"/>
      <c r="M49" s="226"/>
      <c r="N49" s="226"/>
      <c r="O49" s="226"/>
      <c r="P49" s="236"/>
      <c r="Q49" s="226"/>
      <c r="R49" s="236"/>
      <c r="S49" s="236"/>
      <c r="T49" s="1064"/>
      <c r="U49" s="238"/>
      <c r="V49" s="239"/>
      <c r="W49" s="226">
        <f t="shared" si="6"/>
        <v>0</v>
      </c>
      <c r="X49" s="1064"/>
      <c r="Y49" s="1064"/>
      <c r="Z49" s="1064"/>
      <c r="AA49" s="1064"/>
      <c r="AB49" s="1064"/>
    </row>
    <row r="50" spans="1:28">
      <c r="A50" s="239"/>
      <c r="B50" s="271"/>
      <c r="C50" s="226">
        <f t="shared" si="4"/>
        <v>0</v>
      </c>
      <c r="D50" s="228"/>
      <c r="E50" s="239"/>
      <c r="F50" s="226">
        <f t="shared" si="5"/>
        <v>0</v>
      </c>
      <c r="G50" s="226"/>
      <c r="H50" s="226"/>
      <c r="I50" s="230"/>
      <c r="J50" s="226"/>
      <c r="K50" s="226"/>
      <c r="L50" s="236"/>
      <c r="M50" s="226"/>
      <c r="N50" s="226"/>
      <c r="O50" s="226"/>
      <c r="P50" s="236"/>
      <c r="Q50" s="226"/>
      <c r="R50" s="236"/>
      <c r="S50" s="236"/>
      <c r="T50" s="1064"/>
      <c r="U50" s="238"/>
      <c r="V50" s="239"/>
      <c r="W50" s="226">
        <f t="shared" si="6"/>
        <v>0</v>
      </c>
      <c r="X50" s="1064"/>
      <c r="Y50" s="1064"/>
      <c r="Z50" s="1064"/>
      <c r="AA50" s="1064"/>
      <c r="AB50" s="1064"/>
    </row>
    <row r="51" spans="1:28">
      <c r="A51" s="239"/>
      <c r="B51" s="271"/>
      <c r="C51" s="226">
        <f t="shared" si="4"/>
        <v>0</v>
      </c>
      <c r="D51" s="228"/>
      <c r="E51" s="239"/>
      <c r="F51" s="226">
        <f t="shared" si="5"/>
        <v>0</v>
      </c>
      <c r="G51" s="226"/>
      <c r="H51" s="226"/>
      <c r="I51" s="230"/>
      <c r="J51" s="226"/>
      <c r="K51" s="226"/>
      <c r="L51" s="236"/>
      <c r="M51" s="226"/>
      <c r="N51" s="226"/>
      <c r="O51" s="226"/>
      <c r="P51" s="236"/>
      <c r="Q51" s="226"/>
      <c r="R51" s="236"/>
      <c r="S51" s="236"/>
      <c r="T51" s="1064"/>
      <c r="U51" s="238"/>
      <c r="V51" s="239"/>
      <c r="W51" s="226">
        <f t="shared" si="6"/>
        <v>0</v>
      </c>
      <c r="X51" s="1064"/>
      <c r="Y51" s="1064"/>
      <c r="Z51" s="1064"/>
      <c r="AA51" s="1064"/>
      <c r="AB51" s="1064"/>
    </row>
    <row r="52" spans="1:28">
      <c r="A52" s="239"/>
      <c r="B52" s="271"/>
      <c r="C52" s="226">
        <f t="shared" si="4"/>
        <v>0</v>
      </c>
      <c r="D52" s="228"/>
      <c r="E52" s="239"/>
      <c r="F52" s="226">
        <f t="shared" si="5"/>
        <v>0</v>
      </c>
      <c r="G52" s="226"/>
      <c r="H52" s="226"/>
      <c r="I52" s="230"/>
      <c r="J52" s="226"/>
      <c r="K52" s="226"/>
      <c r="L52" s="236"/>
      <c r="M52" s="226"/>
      <c r="N52" s="226"/>
      <c r="O52" s="226"/>
      <c r="P52" s="236"/>
      <c r="Q52" s="226"/>
      <c r="R52" s="236"/>
      <c r="S52" s="236"/>
      <c r="T52" s="1064"/>
      <c r="U52" s="238"/>
      <c r="V52" s="239"/>
      <c r="W52" s="226"/>
      <c r="X52" s="1064"/>
      <c r="Y52" s="1064"/>
      <c r="Z52" s="1064"/>
      <c r="AA52" s="1064"/>
      <c r="AB52" s="1064"/>
    </row>
    <row r="53" spans="1:28">
      <c r="A53" s="239"/>
      <c r="B53" s="271"/>
      <c r="C53" s="226">
        <f t="shared" si="4"/>
        <v>0</v>
      </c>
      <c r="D53" s="228"/>
      <c r="E53" s="239"/>
      <c r="F53" s="226">
        <f t="shared" si="5"/>
        <v>0</v>
      </c>
      <c r="G53" s="226"/>
      <c r="H53" s="226"/>
      <c r="I53" s="230"/>
      <c r="J53" s="226"/>
      <c r="K53" s="226"/>
      <c r="L53" s="236"/>
      <c r="M53" s="226"/>
      <c r="N53" s="226"/>
      <c r="O53" s="226"/>
      <c r="P53" s="236"/>
      <c r="Q53" s="226"/>
      <c r="R53" s="236"/>
      <c r="S53" s="236"/>
      <c r="T53" s="1064"/>
      <c r="U53" s="238"/>
      <c r="V53" s="239"/>
      <c r="W53" s="226">
        <f>U53*V53</f>
        <v>0</v>
      </c>
      <c r="X53" s="1064"/>
      <c r="Y53" s="1064"/>
      <c r="Z53" s="1064"/>
      <c r="AA53" s="1064"/>
      <c r="AB53" s="1064"/>
    </row>
    <row r="54" spans="1:28">
      <c r="A54" s="239"/>
      <c r="B54" s="271"/>
      <c r="C54" s="226"/>
      <c r="D54" s="228"/>
      <c r="E54" s="239"/>
      <c r="F54" s="226"/>
      <c r="G54" s="226"/>
      <c r="H54" s="226"/>
      <c r="I54" s="230"/>
      <c r="J54" s="226"/>
      <c r="K54" s="226"/>
      <c r="L54" s="236"/>
      <c r="M54" s="226"/>
      <c r="N54" s="226"/>
      <c r="O54" s="226"/>
      <c r="P54" s="236"/>
      <c r="Q54" s="226"/>
      <c r="R54" s="236"/>
      <c r="S54" s="236"/>
      <c r="T54" s="1064"/>
      <c r="U54" s="238"/>
      <c r="V54" s="239"/>
      <c r="W54" s="226"/>
      <c r="X54" s="1064"/>
      <c r="Y54" s="1064"/>
      <c r="Z54" s="1064"/>
      <c r="AA54" s="1064"/>
      <c r="AB54" s="1064"/>
    </row>
    <row r="55" spans="1:28">
      <c r="A55" s="239"/>
      <c r="B55" s="271"/>
      <c r="C55" s="226">
        <f>D55*E55</f>
        <v>0</v>
      </c>
      <c r="D55" s="228"/>
      <c r="E55" s="239"/>
      <c r="F55" s="226">
        <f>D55*E55</f>
        <v>0</v>
      </c>
      <c r="G55" s="226"/>
      <c r="H55" s="226"/>
      <c r="I55" s="230"/>
      <c r="J55" s="226"/>
      <c r="K55" s="226"/>
      <c r="L55" s="236"/>
      <c r="M55" s="226"/>
      <c r="N55" s="226"/>
      <c r="O55" s="226"/>
      <c r="P55" s="236"/>
      <c r="Q55" s="226"/>
      <c r="R55" s="236"/>
      <c r="S55" s="236"/>
      <c r="T55" s="1064"/>
      <c r="U55" s="238"/>
      <c r="V55" s="239"/>
      <c r="W55" s="226">
        <f>U55*V55</f>
        <v>0</v>
      </c>
      <c r="X55" s="1064"/>
      <c r="Y55" s="1064"/>
      <c r="Z55" s="1064"/>
      <c r="AA55" s="1064"/>
      <c r="AB55" s="1064"/>
    </row>
    <row r="56" spans="1:28">
      <c r="A56" s="239"/>
      <c r="B56" s="271"/>
      <c r="C56" s="226">
        <f>D56*E56</f>
        <v>0</v>
      </c>
      <c r="D56" s="228"/>
      <c r="E56" s="229"/>
      <c r="F56" s="226">
        <f>D56*E56</f>
        <v>0</v>
      </c>
      <c r="G56" s="226"/>
      <c r="H56" s="226"/>
      <c r="I56" s="226"/>
      <c r="J56" s="226"/>
      <c r="K56" s="226"/>
      <c r="L56" s="236"/>
      <c r="M56" s="226"/>
      <c r="N56" s="226"/>
      <c r="O56" s="226"/>
      <c r="P56" s="236"/>
      <c r="Q56" s="226"/>
      <c r="R56" s="236"/>
      <c r="S56" s="236"/>
      <c r="T56" s="1064"/>
      <c r="U56" s="238"/>
      <c r="V56" s="229"/>
      <c r="W56" s="226">
        <f>U56*V56</f>
        <v>0</v>
      </c>
      <c r="X56" s="1064"/>
      <c r="Y56" s="1064"/>
      <c r="Z56" s="1064"/>
      <c r="AA56" s="1064"/>
      <c r="AB56" s="1064"/>
    </row>
    <row r="57" spans="1:28">
      <c r="A57" s="274"/>
      <c r="B57" s="275" t="s">
        <v>17</v>
      </c>
      <c r="C57" s="892">
        <f t="shared" ref="C57:AB57" si="7">SUM(C15:C56)</f>
        <v>588000</v>
      </c>
      <c r="D57" s="892">
        <f t="shared" si="7"/>
        <v>588000</v>
      </c>
      <c r="E57" s="892">
        <f t="shared" si="7"/>
        <v>3</v>
      </c>
      <c r="F57" s="892">
        <f t="shared" si="7"/>
        <v>588000</v>
      </c>
      <c r="G57" s="892">
        <f t="shared" si="7"/>
        <v>112937.35</v>
      </c>
      <c r="H57" s="892">
        <f t="shared" si="7"/>
        <v>0</v>
      </c>
      <c r="I57" s="892">
        <f t="shared" si="7"/>
        <v>468000</v>
      </c>
      <c r="J57" s="892">
        <f t="shared" si="7"/>
        <v>126000</v>
      </c>
      <c r="K57" s="892">
        <f t="shared" si="7"/>
        <v>0</v>
      </c>
      <c r="L57" s="892">
        <f t="shared" si="7"/>
        <v>342000</v>
      </c>
      <c r="M57" s="892">
        <f t="shared" si="7"/>
        <v>0</v>
      </c>
      <c r="N57" s="892">
        <f t="shared" si="7"/>
        <v>92537.35</v>
      </c>
      <c r="O57" s="892">
        <f t="shared" si="7"/>
        <v>1</v>
      </c>
      <c r="P57" s="892">
        <f t="shared" si="7"/>
        <v>216000</v>
      </c>
      <c r="Q57" s="892">
        <f t="shared" si="7"/>
        <v>0</v>
      </c>
      <c r="R57" s="892">
        <f t="shared" si="7"/>
        <v>0</v>
      </c>
      <c r="S57" s="892">
        <f t="shared" si="7"/>
        <v>216000</v>
      </c>
      <c r="T57" s="893">
        <f>W57-L57</f>
        <v>246000</v>
      </c>
      <c r="U57" s="892">
        <f t="shared" si="7"/>
        <v>588000</v>
      </c>
      <c r="V57" s="892">
        <f t="shared" si="7"/>
        <v>3</v>
      </c>
      <c r="W57" s="892">
        <f t="shared" si="7"/>
        <v>588000</v>
      </c>
      <c r="X57" s="892">
        <f t="shared" si="7"/>
        <v>216000</v>
      </c>
      <c r="Y57" s="892">
        <f t="shared" si="7"/>
        <v>27737.35</v>
      </c>
      <c r="Z57" s="892">
        <f t="shared" si="7"/>
        <v>216000</v>
      </c>
      <c r="AA57" s="892">
        <f t="shared" si="7"/>
        <v>0</v>
      </c>
      <c r="AB57" s="892">
        <f t="shared" si="7"/>
        <v>588000</v>
      </c>
    </row>
    <row r="58" spans="1:28">
      <c r="A58" s="1120"/>
      <c r="B58" s="1121"/>
      <c r="C58" s="268"/>
      <c r="D58" s="268"/>
      <c r="E58" s="268"/>
      <c r="F58" s="1122"/>
      <c r="G58" s="1122"/>
      <c r="H58" s="1122"/>
      <c r="I58" s="1122"/>
      <c r="J58" s="1122"/>
      <c r="K58" s="1122"/>
      <c r="L58" s="1122"/>
      <c r="M58" s="1122"/>
      <c r="N58" s="1122"/>
      <c r="O58" s="268"/>
      <c r="P58" s="1122"/>
      <c r="Q58" s="268"/>
      <c r="R58" s="268"/>
      <c r="S58" s="1123"/>
      <c r="T58" s="1123"/>
      <c r="U58" s="268"/>
      <c r="V58" s="268"/>
      <c r="W58" s="1122"/>
      <c r="X58" s="1123"/>
      <c r="Y58" s="1123"/>
      <c r="Z58" s="1123"/>
      <c r="AA58" s="1123"/>
      <c r="AB58" s="1123"/>
    </row>
    <row r="59" spans="1:28">
      <c r="A59" s="280"/>
      <c r="B59" s="278"/>
      <c r="F59" s="279"/>
      <c r="G59" s="279"/>
      <c r="H59" s="279"/>
      <c r="I59" s="279"/>
      <c r="J59" s="279"/>
      <c r="K59" s="279"/>
      <c r="L59" s="279"/>
      <c r="M59" s="279"/>
      <c r="N59" s="279"/>
      <c r="P59" s="279"/>
      <c r="Q59" s="247"/>
      <c r="R59" s="247"/>
      <c r="W59" s="279"/>
    </row>
    <row r="60" spans="1:28">
      <c r="F60" s="279"/>
      <c r="P60" s="247">
        <v>216000</v>
      </c>
      <c r="Q60" s="231">
        <v>0</v>
      </c>
      <c r="R60" s="247"/>
      <c r="W60" s="279"/>
    </row>
    <row r="61" spans="1:28">
      <c r="F61" s="279"/>
      <c r="R61" s="247"/>
      <c r="W61" s="279"/>
    </row>
    <row r="62" spans="1:28">
      <c r="R62" s="247"/>
    </row>
    <row r="63" spans="1:28">
      <c r="A63" s="247" t="s">
        <v>59</v>
      </c>
      <c r="F63" s="279"/>
      <c r="W63" s="279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33" type="noConversion"/>
  <conditionalFormatting sqref="U8:W9 X8:AB12">
    <cfRule type="cellIs" dxfId="29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9"/>
  <dimension ref="A1:AE55"/>
  <sheetViews>
    <sheetView showGridLines="0" showZeros="0" topLeftCell="K1" zoomScaleNormal="100" workbookViewId="0">
      <pane ySplit="13" topLeftCell="A14" activePane="bottomLeft" state="frozen"/>
      <selection activeCell="E81" sqref="E81:P81"/>
      <selection pane="bottomLeft" activeCell="Z16" sqref="Z16:Z19"/>
    </sheetView>
  </sheetViews>
  <sheetFormatPr baseColWidth="10" defaultRowHeight="12.75"/>
  <cols>
    <col min="1" max="1" width="10.25" style="688" customWidth="1"/>
    <col min="2" max="2" width="35.375" style="688" customWidth="1"/>
    <col min="3" max="3" width="10.125" style="688" customWidth="1"/>
    <col min="4" max="4" width="10.375" style="688" customWidth="1"/>
    <col min="5" max="5" width="4.875" style="688" customWidth="1"/>
    <col min="6" max="9" width="10.25" style="688" customWidth="1"/>
    <col min="10" max="10" width="12" style="688" customWidth="1"/>
    <col min="11" max="11" width="10.25" style="688" customWidth="1"/>
    <col min="12" max="12" width="9" style="688" customWidth="1"/>
    <col min="13" max="13" width="9.75" style="688" customWidth="1"/>
    <col min="14" max="14" width="8.75" style="688" customWidth="1"/>
    <col min="15" max="15" width="6.5" style="688" customWidth="1"/>
    <col min="16" max="16" width="11" style="688"/>
    <col min="17" max="17" width="5.875" style="687" customWidth="1"/>
    <col min="18" max="19" width="11" style="687"/>
    <col min="20" max="20" width="10.875" style="687" customWidth="1"/>
    <col min="21" max="21" width="9" style="688" customWidth="1"/>
    <col min="22" max="22" width="4.875" style="688" customWidth="1"/>
    <col min="23" max="23" width="10.25" style="688" customWidth="1"/>
    <col min="24" max="28" width="10.875" style="687" customWidth="1"/>
    <col min="29" max="31" width="11" style="687"/>
    <col min="32" max="16384" width="11" style="686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923" t="s">
        <v>49</v>
      </c>
      <c r="B2" s="243" t="s">
        <v>550</v>
      </c>
      <c r="C2" s="243"/>
      <c r="D2" s="243"/>
      <c r="E2" s="243"/>
      <c r="F2" s="243"/>
      <c r="G2" s="243"/>
      <c r="H2" s="746"/>
      <c r="I2" s="746"/>
      <c r="J2" s="924"/>
      <c r="K2" s="924"/>
      <c r="Q2" s="688"/>
      <c r="R2" s="688"/>
    </row>
    <row r="3" spans="1:31">
      <c r="A3" s="925" t="s">
        <v>60</v>
      </c>
      <c r="B3" s="925" t="s">
        <v>50</v>
      </c>
      <c r="C3" s="243" t="s">
        <v>66</v>
      </c>
      <c r="D3" s="243" t="s">
        <v>52</v>
      </c>
      <c r="E3" s="243"/>
      <c r="F3" s="243" t="s">
        <v>84</v>
      </c>
      <c r="G3" s="65" t="s">
        <v>499</v>
      </c>
      <c r="H3" s="65"/>
      <c r="I3" s="926"/>
      <c r="J3" s="926"/>
      <c r="K3" s="926"/>
      <c r="L3" s="738"/>
      <c r="M3" s="738"/>
      <c r="N3" s="738"/>
      <c r="O3" s="738"/>
      <c r="P3" s="738"/>
      <c r="Q3" s="738"/>
      <c r="R3" s="738"/>
      <c r="S3" s="736"/>
      <c r="T3" s="736"/>
      <c r="U3" s="747"/>
      <c r="V3" s="738"/>
      <c r="W3" s="738"/>
      <c r="X3" s="736"/>
      <c r="Y3" s="736"/>
      <c r="Z3" s="736"/>
      <c r="AA3" s="736"/>
      <c r="AB3" s="736"/>
    </row>
    <row r="4" spans="1:31">
      <c r="A4" s="1069" t="s">
        <v>61</v>
      </c>
      <c r="B4" s="746" t="s">
        <v>103</v>
      </c>
      <c r="C4" s="2146" t="s">
        <v>81</v>
      </c>
      <c r="D4" s="2146"/>
      <c r="E4" s="2146"/>
      <c r="F4" s="2147"/>
      <c r="G4" s="2147"/>
      <c r="H4" s="923"/>
      <c r="I4" s="923"/>
      <c r="J4" s="923"/>
      <c r="K4" s="923"/>
      <c r="L4" s="737"/>
      <c r="M4" s="737"/>
      <c r="N4" s="737"/>
      <c r="O4" s="738"/>
      <c r="P4" s="737"/>
      <c r="Q4" s="738"/>
      <c r="R4" s="738"/>
      <c r="S4" s="736"/>
      <c r="T4" s="736"/>
      <c r="U4" s="738"/>
      <c r="V4" s="738"/>
      <c r="W4" s="737"/>
      <c r="X4" s="736"/>
      <c r="Y4" s="736"/>
      <c r="Z4" s="736"/>
      <c r="AA4" s="736"/>
      <c r="AB4" s="736"/>
    </row>
    <row r="5" spans="1:31">
      <c r="A5" s="928" t="s">
        <v>62</v>
      </c>
      <c r="B5" s="745">
        <v>201100484</v>
      </c>
      <c r="C5" s="926"/>
      <c r="D5" s="926"/>
      <c r="E5" s="926"/>
      <c r="F5" s="923"/>
      <c r="G5" s="923"/>
      <c r="H5" s="924"/>
      <c r="I5" s="924"/>
      <c r="J5" s="923"/>
      <c r="K5" s="929"/>
      <c r="L5" s="737"/>
      <c r="M5" s="737"/>
      <c r="N5" s="737"/>
      <c r="O5" s="738"/>
      <c r="P5" s="737"/>
      <c r="Q5" s="738"/>
      <c r="R5" s="738"/>
      <c r="S5" s="737"/>
      <c r="T5" s="736"/>
      <c r="U5" s="738"/>
      <c r="V5" s="738"/>
      <c r="W5" s="737"/>
      <c r="X5" s="736"/>
      <c r="Y5" s="736"/>
      <c r="Z5" s="736"/>
      <c r="AA5" s="736"/>
      <c r="AB5" s="736"/>
    </row>
    <row r="6" spans="1:31" ht="15.75">
      <c r="A6" s="928" t="s">
        <v>51</v>
      </c>
      <c r="B6" s="244" t="s">
        <v>549</v>
      </c>
      <c r="C6" s="926"/>
      <c r="D6" s="2420"/>
      <c r="E6" s="2420"/>
      <c r="F6" s="923"/>
      <c r="G6" s="923"/>
      <c r="H6" s="930"/>
      <c r="I6" s="931"/>
      <c r="J6" s="932"/>
      <c r="K6" s="927"/>
      <c r="L6" s="739"/>
      <c r="M6" s="736"/>
      <c r="N6" s="687"/>
      <c r="O6" s="687"/>
      <c r="P6" s="687"/>
      <c r="Q6" s="736"/>
      <c r="R6" s="738"/>
      <c r="S6" s="736"/>
      <c r="T6" s="736"/>
      <c r="U6" s="738"/>
      <c r="V6" s="738"/>
      <c r="W6" s="737"/>
      <c r="X6" s="736"/>
      <c r="Y6" s="736"/>
      <c r="Z6" s="736"/>
      <c r="AA6" s="736"/>
      <c r="AB6" s="736"/>
    </row>
    <row r="7" spans="1:31">
      <c r="A7" s="744"/>
      <c r="B7" s="743"/>
      <c r="C7" s="738"/>
      <c r="D7" s="738"/>
      <c r="E7" s="738"/>
      <c r="F7" s="737"/>
      <c r="G7" s="737"/>
      <c r="H7" s="742"/>
      <c r="I7" s="741"/>
      <c r="J7" s="740"/>
      <c r="K7" s="739"/>
      <c r="L7" s="739"/>
      <c r="M7" s="736"/>
      <c r="N7" s="687"/>
      <c r="O7" s="687"/>
      <c r="P7" s="687"/>
      <c r="Q7" s="736"/>
      <c r="R7" s="738"/>
      <c r="S7" s="736"/>
      <c r="T7" s="736"/>
      <c r="U7" s="738"/>
      <c r="V7" s="738"/>
      <c r="W7" s="737"/>
      <c r="X7" s="736"/>
      <c r="Y7" s="736"/>
      <c r="Z7" s="736"/>
      <c r="AA7" s="736"/>
      <c r="AB7" s="736"/>
    </row>
    <row r="8" spans="1:31" s="731" customFormat="1" ht="16.5">
      <c r="A8" s="933" t="s">
        <v>0</v>
      </c>
      <c r="B8" s="933" t="s">
        <v>1</v>
      </c>
      <c r="C8" s="934" t="s">
        <v>2</v>
      </c>
      <c r="D8" s="935" t="s">
        <v>3</v>
      </c>
      <c r="E8" s="936"/>
      <c r="F8" s="937"/>
      <c r="G8" s="938" t="s">
        <v>4</v>
      </c>
      <c r="H8" s="939"/>
      <c r="I8" s="938" t="s">
        <v>5</v>
      </c>
      <c r="J8" s="939"/>
      <c r="K8" s="940" t="s">
        <v>6</v>
      </c>
      <c r="L8" s="940"/>
      <c r="M8" s="940"/>
      <c r="N8" s="940"/>
      <c r="O8" s="936" t="s">
        <v>7</v>
      </c>
      <c r="P8" s="937"/>
      <c r="Q8" s="936" t="s">
        <v>8</v>
      </c>
      <c r="R8" s="937"/>
      <c r="S8" s="941"/>
      <c r="T8" s="942"/>
      <c r="U8" s="943" t="s">
        <v>82</v>
      </c>
      <c r="V8" s="944"/>
      <c r="W8" s="945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32"/>
      <c r="AD8" s="732"/>
      <c r="AE8" s="732"/>
    </row>
    <row r="9" spans="1:31" s="731" customFormat="1" ht="10.5">
      <c r="A9" s="946" t="s">
        <v>9</v>
      </c>
      <c r="B9" s="947"/>
      <c r="C9" s="948"/>
      <c r="D9" s="949"/>
      <c r="E9" s="950"/>
      <c r="F9" s="951"/>
      <c r="G9" s="952"/>
      <c r="H9" s="953"/>
      <c r="I9" s="952" t="s">
        <v>10</v>
      </c>
      <c r="J9" s="952"/>
      <c r="K9" s="954" t="s">
        <v>11</v>
      </c>
      <c r="L9" s="954"/>
      <c r="M9" s="954"/>
      <c r="N9" s="954" t="s">
        <v>12</v>
      </c>
      <c r="O9" s="950"/>
      <c r="P9" s="951"/>
      <c r="Q9" s="950"/>
      <c r="R9" s="955"/>
      <c r="S9" s="956" t="s">
        <v>13</v>
      </c>
      <c r="T9" s="957" t="s">
        <v>14</v>
      </c>
      <c r="U9" s="735"/>
      <c r="V9" s="734"/>
      <c r="W9" s="733"/>
      <c r="X9" s="2422"/>
      <c r="Y9" s="2422"/>
      <c r="Z9" s="2422"/>
      <c r="AA9" s="2422"/>
      <c r="AB9" s="2422"/>
      <c r="AC9" s="732"/>
      <c r="AD9" s="732"/>
      <c r="AE9" s="732"/>
    </row>
    <row r="10" spans="1:31" s="731" customFormat="1" ht="8.25">
      <c r="A10" s="947"/>
      <c r="B10" s="947"/>
      <c r="C10" s="948"/>
      <c r="D10" s="958" t="s">
        <v>15</v>
      </c>
      <c r="E10" s="958" t="s">
        <v>16</v>
      </c>
      <c r="F10" s="940" t="s">
        <v>17</v>
      </c>
      <c r="G10" s="952"/>
      <c r="H10" s="953"/>
      <c r="I10" s="952"/>
      <c r="J10" s="952"/>
      <c r="K10" s="959" t="s">
        <v>18</v>
      </c>
      <c r="L10" s="959" t="s">
        <v>17</v>
      </c>
      <c r="M10" s="959" t="s">
        <v>19</v>
      </c>
      <c r="N10" s="959" t="s">
        <v>20</v>
      </c>
      <c r="O10" s="958" t="s">
        <v>16</v>
      </c>
      <c r="P10" s="940" t="s">
        <v>17</v>
      </c>
      <c r="Q10" s="958" t="s">
        <v>16</v>
      </c>
      <c r="R10" s="940" t="s">
        <v>17</v>
      </c>
      <c r="S10" s="956" t="s">
        <v>21</v>
      </c>
      <c r="T10" s="957" t="s">
        <v>22</v>
      </c>
      <c r="U10" s="958" t="s">
        <v>15</v>
      </c>
      <c r="V10" s="958" t="s">
        <v>16</v>
      </c>
      <c r="W10" s="940" t="s">
        <v>17</v>
      </c>
      <c r="X10" s="2422"/>
      <c r="Y10" s="2422"/>
      <c r="Z10" s="2422"/>
      <c r="AA10" s="2422"/>
      <c r="AB10" s="2422"/>
      <c r="AC10" s="732"/>
      <c r="AD10" s="732"/>
      <c r="AE10" s="732"/>
    </row>
    <row r="11" spans="1:31" s="731" customFormat="1" ht="8.25">
      <c r="A11" s="947"/>
      <c r="B11" s="947"/>
      <c r="C11" s="948"/>
      <c r="D11" s="956" t="s">
        <v>23</v>
      </c>
      <c r="E11" s="956"/>
      <c r="F11" s="954" t="s">
        <v>23</v>
      </c>
      <c r="G11" s="940" t="s">
        <v>24</v>
      </c>
      <c r="H11" s="940" t="s">
        <v>25</v>
      </c>
      <c r="I11" s="940" t="s">
        <v>26</v>
      </c>
      <c r="J11" s="940" t="s">
        <v>27</v>
      </c>
      <c r="K11" s="954" t="s">
        <v>28</v>
      </c>
      <c r="L11" s="954" t="s">
        <v>29</v>
      </c>
      <c r="M11" s="954" t="s">
        <v>30</v>
      </c>
      <c r="N11" s="954" t="s">
        <v>31</v>
      </c>
      <c r="O11" s="956"/>
      <c r="P11" s="954" t="s">
        <v>23</v>
      </c>
      <c r="Q11" s="956"/>
      <c r="R11" s="954" t="s">
        <v>23</v>
      </c>
      <c r="S11" s="948"/>
      <c r="T11" s="957" t="s">
        <v>32</v>
      </c>
      <c r="U11" s="956" t="s">
        <v>23</v>
      </c>
      <c r="V11" s="956"/>
      <c r="W11" s="954" t="s">
        <v>23</v>
      </c>
      <c r="X11" s="2422"/>
      <c r="Y11" s="2422"/>
      <c r="Z11" s="2422"/>
      <c r="AA11" s="2422"/>
      <c r="AB11" s="2422"/>
      <c r="AC11" s="732"/>
      <c r="AD11" s="732"/>
      <c r="AE11" s="732"/>
    </row>
    <row r="12" spans="1:31">
      <c r="A12" s="947"/>
      <c r="B12" s="947"/>
      <c r="C12" s="948"/>
      <c r="D12" s="948"/>
      <c r="E12" s="948"/>
      <c r="F12" s="960"/>
      <c r="G12" s="960"/>
      <c r="H12" s="960"/>
      <c r="I12" s="960"/>
      <c r="J12" s="954" t="s">
        <v>33</v>
      </c>
      <c r="K12" s="954" t="s">
        <v>34</v>
      </c>
      <c r="L12" s="954"/>
      <c r="M12" s="954"/>
      <c r="N12" s="954"/>
      <c r="O12" s="948"/>
      <c r="P12" s="960"/>
      <c r="Q12" s="948"/>
      <c r="R12" s="960"/>
      <c r="S12" s="961"/>
      <c r="T12" s="962"/>
      <c r="U12" s="948"/>
      <c r="V12" s="948"/>
      <c r="W12" s="960"/>
      <c r="X12" s="2422"/>
      <c r="Y12" s="2422"/>
      <c r="Z12" s="2422"/>
      <c r="AA12" s="2422"/>
      <c r="AB12" s="2422"/>
    </row>
    <row r="13" spans="1:31">
      <c r="A13" s="963"/>
      <c r="B13" s="963" t="s">
        <v>35</v>
      </c>
      <c r="C13" s="964" t="s">
        <v>36</v>
      </c>
      <c r="D13" s="964"/>
      <c r="E13" s="964"/>
      <c r="F13" s="965" t="s">
        <v>37</v>
      </c>
      <c r="G13" s="965" t="s">
        <v>38</v>
      </c>
      <c r="H13" s="965" t="s">
        <v>39</v>
      </c>
      <c r="I13" s="965" t="s">
        <v>40</v>
      </c>
      <c r="J13" s="965" t="s">
        <v>41</v>
      </c>
      <c r="K13" s="965" t="s">
        <v>42</v>
      </c>
      <c r="L13" s="965" t="s">
        <v>43</v>
      </c>
      <c r="M13" s="965" t="s">
        <v>44</v>
      </c>
      <c r="N13" s="965" t="s">
        <v>45</v>
      </c>
      <c r="O13" s="964"/>
      <c r="P13" s="965" t="s">
        <v>37</v>
      </c>
      <c r="Q13" s="964" t="s">
        <v>46</v>
      </c>
      <c r="R13" s="964"/>
      <c r="S13" s="966" t="s">
        <v>47</v>
      </c>
      <c r="T13" s="967" t="s">
        <v>48</v>
      </c>
      <c r="U13" s="964"/>
      <c r="V13" s="964"/>
      <c r="W13" s="965" t="s">
        <v>37</v>
      </c>
      <c r="X13" s="730" t="s">
        <v>86</v>
      </c>
      <c r="Y13" s="730"/>
      <c r="Z13" s="730"/>
      <c r="AA13" s="730"/>
      <c r="AB13" s="730"/>
    </row>
    <row r="14" spans="1:31">
      <c r="A14" s="972"/>
      <c r="B14" s="728"/>
      <c r="C14" s="706"/>
      <c r="D14" s="973"/>
      <c r="E14" s="972"/>
      <c r="F14" s="699"/>
      <c r="G14" s="699"/>
      <c r="H14" s="699"/>
      <c r="I14" s="699"/>
      <c r="J14" s="699"/>
      <c r="K14" s="699"/>
      <c r="L14" s="699"/>
      <c r="M14" s="699"/>
      <c r="N14" s="699"/>
      <c r="O14" s="706"/>
      <c r="P14" s="699"/>
      <c r="Q14" s="706"/>
      <c r="R14" s="706"/>
      <c r="S14" s="974"/>
      <c r="T14" s="975"/>
      <c r="U14" s="706"/>
      <c r="V14" s="972"/>
      <c r="W14" s="699"/>
      <c r="X14" s="975"/>
      <c r="Y14" s="975"/>
      <c r="Z14" s="975"/>
      <c r="AA14" s="975"/>
      <c r="AB14" s="975"/>
    </row>
    <row r="15" spans="1:31" ht="13.5" customHeight="1">
      <c r="A15" s="972"/>
      <c r="B15" s="728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ht="37.5" customHeight="1">
      <c r="A16" s="700">
        <v>1</v>
      </c>
      <c r="B16" s="718" t="s">
        <v>100</v>
      </c>
      <c r="C16" s="699">
        <f>D16*E16</f>
        <v>216000</v>
      </c>
      <c r="D16" s="699">
        <f>180000*1.2</f>
        <v>216000</v>
      </c>
      <c r="E16" s="700">
        <v>1</v>
      </c>
      <c r="F16" s="699">
        <f>D16*E16</f>
        <v>216000</v>
      </c>
      <c r="G16" s="699">
        <f>90000*1.2</f>
        <v>108000</v>
      </c>
      <c r="H16" s="699" t="s">
        <v>96</v>
      </c>
      <c r="I16" s="1124">
        <f>W16</f>
        <v>216000</v>
      </c>
      <c r="J16" s="699"/>
      <c r="K16" s="699"/>
      <c r="L16" s="699">
        <f>+I16-J16+K16</f>
        <v>216000</v>
      </c>
      <c r="M16" s="699"/>
      <c r="N16" s="699">
        <f>G16</f>
        <v>108000</v>
      </c>
      <c r="O16" s="699">
        <v>1</v>
      </c>
      <c r="P16" s="699">
        <f>O16*U16</f>
        <v>216000</v>
      </c>
      <c r="Q16" s="699"/>
      <c r="R16" s="706"/>
      <c r="S16" s="706">
        <f>P16-R16</f>
        <v>216000</v>
      </c>
      <c r="T16" s="986">
        <f>W16-L16</f>
        <v>0</v>
      </c>
      <c r="U16" s="699">
        <f>180000*1.2</f>
        <v>216000</v>
      </c>
      <c r="V16" s="700">
        <v>1</v>
      </c>
      <c r="W16" s="699">
        <f>U16*V16</f>
        <v>216000</v>
      </c>
      <c r="X16" s="986">
        <v>216000</v>
      </c>
      <c r="Y16" s="986">
        <v>108000</v>
      </c>
      <c r="Z16" s="986">
        <v>216000</v>
      </c>
      <c r="AA16" s="986"/>
      <c r="AB16" s="703">
        <v>216000</v>
      </c>
    </row>
    <row r="17" spans="1:31" hidden="1">
      <c r="A17" s="976"/>
      <c r="B17" s="720"/>
      <c r="C17" s="699"/>
      <c r="D17" s="699"/>
      <c r="E17" s="700"/>
      <c r="F17" s="699"/>
      <c r="G17" s="699">
        <f>0.6*F17</f>
        <v>0</v>
      </c>
      <c r="H17" s="699"/>
      <c r="I17" s="1124">
        <f>W17</f>
        <v>0</v>
      </c>
      <c r="J17" s="699"/>
      <c r="K17" s="699"/>
      <c r="L17" s="699">
        <f>+I17-J17+K17</f>
        <v>0</v>
      </c>
      <c r="M17" s="699"/>
      <c r="N17" s="699"/>
      <c r="O17" s="699"/>
      <c r="P17" s="699"/>
      <c r="Q17" s="699"/>
      <c r="R17" s="706"/>
      <c r="S17" s="706">
        <f t="shared" ref="S17:S21" si="0">P17-R17</f>
        <v>0</v>
      </c>
      <c r="T17" s="986">
        <f>W17-L17</f>
        <v>0</v>
      </c>
      <c r="U17" s="699"/>
      <c r="V17" s="700"/>
      <c r="W17" s="699"/>
      <c r="X17" s="987"/>
      <c r="Y17" s="987"/>
      <c r="Z17" s="987">
        <v>0</v>
      </c>
      <c r="AA17" s="987"/>
      <c r="AB17" s="1010"/>
      <c r="AC17" s="686"/>
      <c r="AD17" s="686"/>
      <c r="AE17" s="686"/>
    </row>
    <row r="18" spans="1:31" hidden="1">
      <c r="A18" s="977"/>
      <c r="B18" s="720"/>
      <c r="C18" s="699"/>
      <c r="D18" s="699"/>
      <c r="E18" s="700"/>
      <c r="F18" s="699"/>
      <c r="G18" s="699">
        <f>0.6*F18</f>
        <v>0</v>
      </c>
      <c r="H18" s="699"/>
      <c r="I18" s="1124">
        <f>W18</f>
        <v>0</v>
      </c>
      <c r="J18" s="699"/>
      <c r="K18" s="699"/>
      <c r="L18" s="699">
        <f>+I18-J18+K18</f>
        <v>0</v>
      </c>
      <c r="M18" s="699"/>
      <c r="N18" s="699"/>
      <c r="O18" s="699"/>
      <c r="P18" s="699"/>
      <c r="Q18" s="699"/>
      <c r="R18" s="706"/>
      <c r="S18" s="706">
        <f t="shared" si="0"/>
        <v>0</v>
      </c>
      <c r="T18" s="986">
        <f>W18-L18</f>
        <v>0</v>
      </c>
      <c r="U18" s="699"/>
      <c r="V18" s="700"/>
      <c r="W18" s="699"/>
      <c r="X18" s="987"/>
      <c r="Y18" s="987"/>
      <c r="Z18" s="987">
        <v>0</v>
      </c>
      <c r="AA18" s="987"/>
      <c r="AB18" s="1010"/>
      <c r="AC18" s="686"/>
      <c r="AD18" s="686"/>
      <c r="AE18" s="686"/>
    </row>
    <row r="19" spans="1:31" ht="29.25" customHeight="1">
      <c r="A19" s="978">
        <v>2</v>
      </c>
      <c r="B19" s="718" t="s">
        <v>101</v>
      </c>
      <c r="C19" s="699">
        <f t="shared" ref="C19:C48" si="1">D19*E19</f>
        <v>252000</v>
      </c>
      <c r="D19" s="699">
        <f>210000*1.2</f>
        <v>252000</v>
      </c>
      <c r="E19" s="700">
        <v>1</v>
      </c>
      <c r="F19" s="699">
        <f t="shared" ref="F19:F48" si="2">D19*E19</f>
        <v>252000</v>
      </c>
      <c r="G19" s="699">
        <f>105000*1.2</f>
        <v>126000</v>
      </c>
      <c r="H19" s="702" t="s">
        <v>96</v>
      </c>
      <c r="I19" s="1124">
        <f>W19</f>
        <v>252000</v>
      </c>
      <c r="J19" s="702"/>
      <c r="K19" s="702"/>
      <c r="L19" s="699">
        <f>+I19-J19+K19</f>
        <v>252000</v>
      </c>
      <c r="M19" s="702"/>
      <c r="N19" s="702">
        <f>0.6*G19</f>
        <v>75600</v>
      </c>
      <c r="O19" s="702">
        <v>1</v>
      </c>
      <c r="P19" s="717">
        <v>252000</v>
      </c>
      <c r="Q19" s="711"/>
      <c r="R19" s="699"/>
      <c r="S19" s="706">
        <f t="shared" si="0"/>
        <v>252000</v>
      </c>
      <c r="T19" s="986">
        <f>W19-L19</f>
        <v>0</v>
      </c>
      <c r="U19" s="699">
        <f>210000*1.2</f>
        <v>252000</v>
      </c>
      <c r="V19" s="700">
        <v>1</v>
      </c>
      <c r="W19" s="699">
        <f t="shared" ref="W19:W48" si="3">U19*V19</f>
        <v>252000</v>
      </c>
      <c r="X19" s="702">
        <v>252000</v>
      </c>
      <c r="Y19" s="2354">
        <v>75600</v>
      </c>
      <c r="Z19" s="702">
        <v>252000</v>
      </c>
      <c r="AA19" s="702"/>
      <c r="AB19" s="703">
        <v>252000</v>
      </c>
      <c r="AC19" s="686"/>
      <c r="AD19" s="686"/>
      <c r="AE19" s="686"/>
    </row>
    <row r="20" spans="1:31" ht="21.75" customHeight="1">
      <c r="A20" s="705">
        <v>3</v>
      </c>
      <c r="B20" s="715" t="s">
        <v>90</v>
      </c>
      <c r="C20" s="699">
        <f t="shared" si="1"/>
        <v>120000</v>
      </c>
      <c r="D20" s="699">
        <f>100000*1.2</f>
        <v>120000</v>
      </c>
      <c r="E20" s="700">
        <v>1</v>
      </c>
      <c r="F20" s="699">
        <f t="shared" si="2"/>
        <v>120000</v>
      </c>
      <c r="G20" s="699">
        <f>50000*1.2</f>
        <v>60000</v>
      </c>
      <c r="H20" s="702" t="s">
        <v>96</v>
      </c>
      <c r="I20" s="1124">
        <f>W20</f>
        <v>120000</v>
      </c>
      <c r="J20" s="702"/>
      <c r="K20" s="702"/>
      <c r="L20" s="699">
        <f>+I20-J20+K20</f>
        <v>120000</v>
      </c>
      <c r="M20" s="702"/>
      <c r="N20" s="2370">
        <v>50400</v>
      </c>
      <c r="O20" s="702"/>
      <c r="P20" s="2343">
        <v>120000</v>
      </c>
      <c r="Q20" s="711"/>
      <c r="R20" s="702"/>
      <c r="S20" s="706">
        <f t="shared" si="0"/>
        <v>120000</v>
      </c>
      <c r="T20" s="1504">
        <f>W20-L20</f>
        <v>0</v>
      </c>
      <c r="U20" s="699">
        <f>100000*1.2</f>
        <v>120000</v>
      </c>
      <c r="V20" s="700">
        <v>1</v>
      </c>
      <c r="W20" s="699">
        <f t="shared" si="3"/>
        <v>120000</v>
      </c>
      <c r="X20" s="702">
        <v>96000</v>
      </c>
      <c r="Y20" s="702">
        <v>50400</v>
      </c>
      <c r="Z20" s="702"/>
      <c r="AA20" s="702"/>
      <c r="AB20" s="703">
        <v>120000</v>
      </c>
      <c r="AC20" s="686"/>
      <c r="AD20" s="686"/>
      <c r="AE20" s="686"/>
    </row>
    <row r="21" spans="1:31">
      <c r="A21" s="705"/>
      <c r="B21" s="715"/>
      <c r="C21" s="699">
        <f t="shared" si="1"/>
        <v>0</v>
      </c>
      <c r="D21" s="703"/>
      <c r="E21" s="700"/>
      <c r="F21" s="699">
        <f t="shared" si="2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6">
        <f t="shared" si="0"/>
        <v>0</v>
      </c>
      <c r="T21" s="702"/>
      <c r="U21" s="703"/>
      <c r="V21" s="700"/>
      <c r="W21" s="699">
        <f t="shared" si="3"/>
        <v>0</v>
      </c>
      <c r="X21" s="702"/>
      <c r="Y21" s="702"/>
      <c r="Z21" s="702"/>
      <c r="AA21" s="702"/>
      <c r="AB21" s="702"/>
      <c r="AC21" s="686"/>
      <c r="AD21" s="686"/>
      <c r="AE21" s="686"/>
    </row>
    <row r="22" spans="1:31">
      <c r="A22" s="700"/>
      <c r="B22" s="712"/>
      <c r="C22" s="699">
        <f t="shared" si="1"/>
        <v>0</v>
      </c>
      <c r="D22" s="703"/>
      <c r="E22" s="700"/>
      <c r="F22" s="699">
        <f t="shared" si="2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3"/>
        <v>0</v>
      </c>
      <c r="X22" s="702"/>
      <c r="Y22" s="702"/>
      <c r="Z22" s="702"/>
      <c r="AA22" s="702"/>
      <c r="AB22" s="702"/>
      <c r="AC22" s="686"/>
      <c r="AD22" s="686"/>
      <c r="AE22" s="686"/>
    </row>
    <row r="23" spans="1:31" hidden="1">
      <c r="A23" s="700"/>
      <c r="B23" s="712"/>
      <c r="C23" s="699">
        <f t="shared" si="1"/>
        <v>0</v>
      </c>
      <c r="D23" s="703"/>
      <c r="E23" s="705"/>
      <c r="F23" s="699">
        <f t="shared" si="2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3"/>
        <v>0</v>
      </c>
      <c r="X23" s="702"/>
      <c r="Y23" s="702"/>
      <c r="Z23" s="702"/>
      <c r="AA23" s="702"/>
      <c r="AB23" s="702"/>
      <c r="AC23" s="686"/>
      <c r="AD23" s="686"/>
      <c r="AE23" s="686"/>
    </row>
    <row r="24" spans="1:31" ht="0.75" hidden="1" customHeight="1">
      <c r="A24" s="976"/>
      <c r="B24" s="713"/>
      <c r="C24" s="699">
        <f t="shared" si="1"/>
        <v>0</v>
      </c>
      <c r="D24" s="703"/>
      <c r="E24" s="700"/>
      <c r="F24" s="699">
        <f t="shared" si="2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3"/>
        <v>0</v>
      </c>
      <c r="X24" s="702"/>
      <c r="Y24" s="702"/>
      <c r="Z24" s="702"/>
      <c r="AA24" s="702"/>
      <c r="AB24" s="702"/>
      <c r="AC24" s="686"/>
      <c r="AD24" s="686"/>
      <c r="AE24" s="686"/>
    </row>
    <row r="25" spans="1:31" hidden="1">
      <c r="A25" s="976"/>
      <c r="B25" s="712"/>
      <c r="C25" s="699">
        <f t="shared" si="1"/>
        <v>0</v>
      </c>
      <c r="D25" s="703"/>
      <c r="E25" s="700"/>
      <c r="F25" s="699">
        <f t="shared" si="2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3"/>
        <v>0</v>
      </c>
      <c r="X25" s="702"/>
      <c r="Y25" s="702"/>
      <c r="Z25" s="702"/>
      <c r="AA25" s="702"/>
      <c r="AB25" s="702"/>
      <c r="AC25" s="686"/>
      <c r="AD25" s="686"/>
      <c r="AE25" s="686"/>
    </row>
    <row r="26" spans="1:31">
      <c r="A26" s="700"/>
      <c r="B26" s="708"/>
      <c r="C26" s="699">
        <f t="shared" si="1"/>
        <v>0</v>
      </c>
      <c r="D26" s="703"/>
      <c r="E26" s="700"/>
      <c r="F26" s="699">
        <f t="shared" si="2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3"/>
        <v>0</v>
      </c>
      <c r="X26" s="702"/>
      <c r="Y26" s="702"/>
      <c r="Z26" s="702"/>
      <c r="AA26" s="702"/>
      <c r="AB26" s="702"/>
      <c r="AC26" s="686"/>
      <c r="AD26" s="686"/>
      <c r="AE26" s="686"/>
    </row>
    <row r="27" spans="1:31" ht="12" customHeight="1">
      <c r="A27" s="705"/>
      <c r="B27" s="704"/>
      <c r="C27" s="699">
        <f t="shared" si="1"/>
        <v>0</v>
      </c>
      <c r="D27" s="703"/>
      <c r="E27" s="700"/>
      <c r="F27" s="699">
        <f t="shared" si="2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3"/>
        <v>0</v>
      </c>
      <c r="X27" s="702"/>
      <c r="Y27" s="702"/>
      <c r="Z27" s="702"/>
      <c r="AA27" s="702"/>
      <c r="AB27" s="702"/>
      <c r="AC27" s="686"/>
      <c r="AD27" s="686"/>
      <c r="AE27" s="686"/>
    </row>
    <row r="28" spans="1:31">
      <c r="A28" s="705"/>
      <c r="B28" s="704"/>
      <c r="C28" s="699">
        <f t="shared" si="1"/>
        <v>0</v>
      </c>
      <c r="D28" s="703"/>
      <c r="E28" s="700"/>
      <c r="F28" s="699">
        <f t="shared" si="2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3"/>
        <v>0</v>
      </c>
      <c r="X28" s="702"/>
      <c r="Y28" s="702"/>
      <c r="Z28" s="702"/>
      <c r="AA28" s="702"/>
      <c r="AB28" s="702"/>
      <c r="AC28" s="686"/>
      <c r="AD28" s="686"/>
      <c r="AE28" s="686"/>
    </row>
    <row r="29" spans="1:31">
      <c r="A29" s="705"/>
      <c r="B29" s="704"/>
      <c r="C29" s="699">
        <f t="shared" si="1"/>
        <v>0</v>
      </c>
      <c r="D29" s="703"/>
      <c r="E29" s="700"/>
      <c r="F29" s="699">
        <f t="shared" si="2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3"/>
        <v>0</v>
      </c>
      <c r="X29" s="702"/>
      <c r="Y29" s="702"/>
      <c r="Z29" s="702"/>
      <c r="AA29" s="702"/>
      <c r="AB29" s="702"/>
      <c r="AC29" s="686"/>
      <c r="AD29" s="686"/>
      <c r="AE29" s="686"/>
    </row>
    <row r="30" spans="1:31">
      <c r="A30" s="705"/>
      <c r="B30" s="704"/>
      <c r="C30" s="699">
        <f t="shared" si="1"/>
        <v>0</v>
      </c>
      <c r="D30" s="703"/>
      <c r="E30" s="700"/>
      <c r="F30" s="699">
        <f t="shared" si="2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3"/>
        <v>0</v>
      </c>
      <c r="X30" s="702"/>
      <c r="Y30" s="702"/>
      <c r="Z30" s="702"/>
      <c r="AA30" s="702"/>
      <c r="AB30" s="702"/>
      <c r="AC30" s="686"/>
      <c r="AD30" s="686"/>
      <c r="AE30" s="686"/>
    </row>
    <row r="31" spans="1:31">
      <c r="A31" s="705"/>
      <c r="B31" s="710"/>
      <c r="C31" s="699">
        <f t="shared" si="1"/>
        <v>0</v>
      </c>
      <c r="D31" s="703"/>
      <c r="E31" s="700"/>
      <c r="F31" s="699">
        <f t="shared" si="2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3"/>
        <v>0</v>
      </c>
      <c r="X31" s="702"/>
      <c r="Y31" s="702"/>
      <c r="Z31" s="702"/>
      <c r="AA31" s="702"/>
      <c r="AB31" s="702"/>
      <c r="AC31" s="686"/>
      <c r="AD31" s="686"/>
      <c r="AE31" s="686"/>
    </row>
    <row r="32" spans="1:31">
      <c r="A32" s="700"/>
      <c r="B32" s="708"/>
      <c r="C32" s="699">
        <f t="shared" si="1"/>
        <v>0</v>
      </c>
      <c r="D32" s="703"/>
      <c r="E32" s="700"/>
      <c r="F32" s="699">
        <f t="shared" si="2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3"/>
        <v>0</v>
      </c>
      <c r="X32" s="702"/>
      <c r="Y32" s="702"/>
      <c r="Z32" s="702"/>
      <c r="AA32" s="702"/>
      <c r="AB32" s="702">
        <v>0</v>
      </c>
      <c r="AC32" s="686"/>
      <c r="AD32" s="686"/>
      <c r="AE32" s="686"/>
    </row>
    <row r="33" spans="1:31" ht="0.75" hidden="1" customHeight="1">
      <c r="A33" s="705"/>
      <c r="B33" s="704"/>
      <c r="C33" s="699">
        <f t="shared" si="1"/>
        <v>0</v>
      </c>
      <c r="D33" s="703"/>
      <c r="E33" s="700"/>
      <c r="F33" s="699">
        <f t="shared" si="2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3"/>
        <v>0</v>
      </c>
      <c r="X33" s="702"/>
      <c r="Y33" s="702"/>
      <c r="Z33" s="702"/>
      <c r="AA33" s="702"/>
      <c r="AB33" s="702">
        <v>0</v>
      </c>
      <c r="AC33" s="686"/>
      <c r="AD33" s="686"/>
      <c r="AE33" s="686"/>
    </row>
    <row r="34" spans="1:31" ht="0.75" hidden="1" customHeight="1">
      <c r="A34" s="705"/>
      <c r="B34" s="704"/>
      <c r="C34" s="699">
        <f t="shared" si="1"/>
        <v>0</v>
      </c>
      <c r="D34" s="703"/>
      <c r="E34" s="700"/>
      <c r="F34" s="699">
        <f t="shared" si="2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3"/>
        <v>0</v>
      </c>
      <c r="X34" s="987"/>
      <c r="Y34" s="987"/>
      <c r="Z34" s="987"/>
      <c r="AA34" s="987"/>
      <c r="AB34" s="987"/>
      <c r="AC34" s="686"/>
      <c r="AD34" s="686"/>
      <c r="AE34" s="686"/>
    </row>
    <row r="35" spans="1:31">
      <c r="A35" s="705"/>
      <c r="B35" s="704"/>
      <c r="C35" s="699">
        <f t="shared" si="1"/>
        <v>0</v>
      </c>
      <c r="D35" s="703"/>
      <c r="E35" s="700"/>
      <c r="F35" s="699">
        <f t="shared" si="2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3"/>
        <v>0</v>
      </c>
      <c r="X35" s="987"/>
      <c r="Y35" s="987"/>
      <c r="Z35" s="987"/>
      <c r="AA35" s="987"/>
      <c r="AB35" s="987"/>
      <c r="AC35" s="686"/>
      <c r="AD35" s="686"/>
      <c r="AE35" s="686"/>
    </row>
    <row r="36" spans="1:31">
      <c r="A36" s="705"/>
      <c r="B36" s="704"/>
      <c r="C36" s="699">
        <f t="shared" si="1"/>
        <v>0</v>
      </c>
      <c r="D36" s="703"/>
      <c r="E36" s="700"/>
      <c r="F36" s="699">
        <f t="shared" si="2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3"/>
        <v>0</v>
      </c>
      <c r="X36" s="987"/>
      <c r="Y36" s="987"/>
      <c r="Z36" s="987"/>
      <c r="AA36" s="987"/>
      <c r="AB36" s="987"/>
      <c r="AC36" s="686"/>
      <c r="AD36" s="686"/>
      <c r="AE36" s="686"/>
    </row>
    <row r="37" spans="1:31">
      <c r="A37" s="705"/>
      <c r="B37" s="704"/>
      <c r="C37" s="699">
        <f t="shared" si="1"/>
        <v>0</v>
      </c>
      <c r="D37" s="703"/>
      <c r="E37" s="700"/>
      <c r="F37" s="699">
        <f t="shared" si="2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3"/>
        <v>0</v>
      </c>
      <c r="X37" s="987"/>
      <c r="Y37" s="987"/>
      <c r="Z37" s="987"/>
      <c r="AA37" s="987"/>
      <c r="AB37" s="987"/>
      <c r="AC37" s="686"/>
      <c r="AD37" s="686"/>
      <c r="AE37" s="686"/>
    </row>
    <row r="38" spans="1:31">
      <c r="A38" s="705"/>
      <c r="B38" s="704"/>
      <c r="C38" s="699">
        <f t="shared" si="1"/>
        <v>0</v>
      </c>
      <c r="D38" s="703"/>
      <c r="E38" s="700"/>
      <c r="F38" s="699">
        <f t="shared" si="2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3"/>
        <v>0</v>
      </c>
      <c r="X38" s="987"/>
      <c r="Y38" s="987"/>
      <c r="Z38" s="987"/>
      <c r="AA38" s="987"/>
      <c r="AB38" s="987"/>
      <c r="AC38" s="686"/>
      <c r="AD38" s="686"/>
      <c r="AE38" s="686"/>
    </row>
    <row r="39" spans="1:31">
      <c r="A39" s="705"/>
      <c r="B39" s="704"/>
      <c r="C39" s="699">
        <f t="shared" si="1"/>
        <v>0</v>
      </c>
      <c r="D39" s="703"/>
      <c r="E39" s="700"/>
      <c r="F39" s="699">
        <f t="shared" si="2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3"/>
        <v>0</v>
      </c>
      <c r="X39" s="987"/>
      <c r="Y39" s="987"/>
      <c r="Z39" s="987"/>
      <c r="AA39" s="987"/>
      <c r="AB39" s="987"/>
      <c r="AC39" s="686"/>
      <c r="AD39" s="686"/>
      <c r="AE39" s="686"/>
    </row>
    <row r="40" spans="1:31">
      <c r="A40" s="705"/>
      <c r="B40" s="704"/>
      <c r="C40" s="699">
        <f t="shared" si="1"/>
        <v>0</v>
      </c>
      <c r="D40" s="703"/>
      <c r="E40" s="700"/>
      <c r="F40" s="699">
        <f t="shared" si="2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3"/>
        <v>0</v>
      </c>
      <c r="X40" s="987"/>
      <c r="Y40" s="987"/>
      <c r="Z40" s="987"/>
      <c r="AA40" s="987"/>
      <c r="AB40" s="987"/>
      <c r="AC40" s="686"/>
      <c r="AD40" s="686"/>
      <c r="AE40" s="686"/>
    </row>
    <row r="41" spans="1:31">
      <c r="A41" s="705"/>
      <c r="B41" s="704"/>
      <c r="C41" s="699">
        <f t="shared" si="1"/>
        <v>0</v>
      </c>
      <c r="D41" s="703"/>
      <c r="E41" s="700"/>
      <c r="F41" s="699">
        <f t="shared" si="2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3"/>
        <v>0</v>
      </c>
      <c r="X41" s="987"/>
      <c r="Y41" s="987"/>
      <c r="Z41" s="987"/>
      <c r="AA41" s="987"/>
      <c r="AB41" s="987"/>
      <c r="AC41" s="686"/>
      <c r="AD41" s="686"/>
      <c r="AE41" s="686"/>
    </row>
    <row r="42" spans="1:31">
      <c r="A42" s="705"/>
      <c r="B42" s="704"/>
      <c r="C42" s="699">
        <f t="shared" si="1"/>
        <v>0</v>
      </c>
      <c r="D42" s="703"/>
      <c r="E42" s="705"/>
      <c r="F42" s="699">
        <f t="shared" si="2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3"/>
        <v>0</v>
      </c>
      <c r="X42" s="987"/>
      <c r="Y42" s="987"/>
      <c r="Z42" s="987"/>
      <c r="AA42" s="987"/>
      <c r="AB42" s="987"/>
      <c r="AC42" s="686"/>
      <c r="AD42" s="686"/>
      <c r="AE42" s="686"/>
    </row>
    <row r="43" spans="1:31">
      <c r="A43" s="705"/>
      <c r="B43" s="704"/>
      <c r="C43" s="699">
        <f t="shared" si="1"/>
        <v>0</v>
      </c>
      <c r="D43" s="703"/>
      <c r="E43" s="705"/>
      <c r="F43" s="699">
        <f t="shared" si="2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3"/>
        <v>0</v>
      </c>
      <c r="X43" s="987"/>
      <c r="Y43" s="987"/>
      <c r="Z43" s="987"/>
      <c r="AA43" s="987"/>
      <c r="AB43" s="987"/>
      <c r="AC43" s="686"/>
      <c r="AD43" s="686"/>
      <c r="AE43" s="686"/>
    </row>
    <row r="44" spans="1:31">
      <c r="A44" s="705"/>
      <c r="B44" s="704"/>
      <c r="C44" s="699">
        <f t="shared" si="1"/>
        <v>0</v>
      </c>
      <c r="D44" s="703"/>
      <c r="E44" s="705"/>
      <c r="F44" s="699">
        <f t="shared" si="2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3"/>
        <v>0</v>
      </c>
      <c r="X44" s="987"/>
      <c r="Y44" s="987"/>
      <c r="Z44" s="987"/>
      <c r="AA44" s="987"/>
      <c r="AB44" s="987"/>
      <c r="AC44" s="686"/>
      <c r="AD44" s="686"/>
      <c r="AE44" s="686"/>
    </row>
    <row r="45" spans="1:31">
      <c r="A45" s="705"/>
      <c r="B45" s="704"/>
      <c r="C45" s="699">
        <f t="shared" si="1"/>
        <v>0</v>
      </c>
      <c r="D45" s="703"/>
      <c r="E45" s="705"/>
      <c r="F45" s="699">
        <f t="shared" si="2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3"/>
        <v>0</v>
      </c>
      <c r="X45" s="987"/>
      <c r="Y45" s="987"/>
      <c r="Z45" s="987"/>
      <c r="AA45" s="987"/>
      <c r="AB45" s="987"/>
      <c r="AC45" s="686"/>
      <c r="AD45" s="686"/>
      <c r="AE45" s="686"/>
    </row>
    <row r="46" spans="1:31">
      <c r="A46" s="705"/>
      <c r="B46" s="704"/>
      <c r="C46" s="699">
        <f t="shared" si="1"/>
        <v>0</v>
      </c>
      <c r="D46" s="703"/>
      <c r="E46" s="705"/>
      <c r="F46" s="699">
        <f t="shared" si="2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3"/>
        <v>0</v>
      </c>
      <c r="X46" s="987"/>
      <c r="Y46" s="987"/>
      <c r="Z46" s="987"/>
      <c r="AA46" s="987"/>
      <c r="AB46" s="987"/>
      <c r="AC46" s="686"/>
      <c r="AD46" s="686"/>
      <c r="AE46" s="686"/>
    </row>
    <row r="47" spans="1:31">
      <c r="A47" s="705"/>
      <c r="B47" s="704"/>
      <c r="C47" s="699">
        <f t="shared" si="1"/>
        <v>0</v>
      </c>
      <c r="D47" s="703"/>
      <c r="E47" s="705"/>
      <c r="F47" s="699">
        <f t="shared" si="2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3"/>
        <v>0</v>
      </c>
      <c r="X47" s="987"/>
      <c r="Y47" s="987"/>
      <c r="Z47" s="987"/>
      <c r="AA47" s="987"/>
      <c r="AB47" s="987"/>
      <c r="AC47" s="686"/>
      <c r="AD47" s="686"/>
      <c r="AE47" s="686"/>
    </row>
    <row r="48" spans="1:31">
      <c r="A48" s="705"/>
      <c r="B48" s="704"/>
      <c r="C48" s="699">
        <f t="shared" si="1"/>
        <v>0</v>
      </c>
      <c r="D48" s="703"/>
      <c r="E48" s="700"/>
      <c r="F48" s="699">
        <f t="shared" si="2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3"/>
        <v>0</v>
      </c>
      <c r="X48" s="987"/>
      <c r="Y48" s="987"/>
      <c r="Z48" s="987"/>
      <c r="AA48" s="987"/>
      <c r="AB48" s="987"/>
      <c r="AC48" s="686"/>
      <c r="AD48" s="686"/>
      <c r="AE48" s="686"/>
    </row>
    <row r="49" spans="1:31">
      <c r="A49" s="697"/>
      <c r="B49" s="696" t="s">
        <v>17</v>
      </c>
      <c r="C49" s="989">
        <f>SUM(C15:C48)</f>
        <v>588000</v>
      </c>
      <c r="D49" s="990"/>
      <c r="E49" s="990"/>
      <c r="F49" s="990">
        <f>SUM(F15:F48)</f>
        <v>588000</v>
      </c>
      <c r="G49" s="990">
        <f>SUM(G16:G48)</f>
        <v>294000</v>
      </c>
      <c r="H49" s="990">
        <f>SUM(H16:H48)</f>
        <v>0</v>
      </c>
      <c r="I49" s="990">
        <f>SUM(I17:I48)</f>
        <v>372000</v>
      </c>
      <c r="J49" s="990">
        <f>SUM(J16:J48)</f>
        <v>0</v>
      </c>
      <c r="K49" s="990">
        <f>SUM(K16:K48)</f>
        <v>0</v>
      </c>
      <c r="L49" s="990">
        <f>SUM(L16:L48)</f>
        <v>588000</v>
      </c>
      <c r="M49" s="990">
        <f>SUM(M16:M48)</f>
        <v>0</v>
      </c>
      <c r="N49" s="990">
        <f>SUM(N16:N48)</f>
        <v>234000</v>
      </c>
      <c r="O49" s="990"/>
      <c r="P49" s="990">
        <f>SUM(P16:P48)</f>
        <v>588000</v>
      </c>
      <c r="Q49" s="990"/>
      <c r="R49" s="990">
        <f>SUM(R19:R19)</f>
        <v>0</v>
      </c>
      <c r="S49" s="990">
        <f>SUM(S16:S48)</f>
        <v>588000</v>
      </c>
      <c r="T49" s="991">
        <f>W49-L49</f>
        <v>0</v>
      </c>
      <c r="U49" s="990"/>
      <c r="V49" s="990"/>
      <c r="W49" s="990">
        <f>SUM(W14:W48)</f>
        <v>588000</v>
      </c>
      <c r="X49" s="990">
        <f>SUM(X16:X48)</f>
        <v>564000</v>
      </c>
      <c r="Y49" s="990">
        <f>SUM(Y16:Y48)</f>
        <v>234000</v>
      </c>
      <c r="Z49" s="990">
        <f>SUM(Z16:Z48)</f>
        <v>468000</v>
      </c>
      <c r="AA49" s="990">
        <f>SUM(AA16:AA48)</f>
        <v>0</v>
      </c>
      <c r="AB49" s="990">
        <f>SUM(AB16:AB48)</f>
        <v>588000</v>
      </c>
      <c r="AC49" s="686"/>
      <c r="AD49" s="686"/>
      <c r="AE49" s="686"/>
    </row>
    <row r="50" spans="1:31">
      <c r="A50" s="985"/>
      <c r="B50" s="1067"/>
      <c r="C50" s="720"/>
      <c r="D50" s="720"/>
      <c r="E50" s="720"/>
      <c r="F50" s="979"/>
      <c r="G50" s="979"/>
      <c r="H50" s="979"/>
      <c r="I50" s="979"/>
      <c r="J50" s="979"/>
      <c r="K50" s="979"/>
      <c r="L50" s="979"/>
      <c r="M50" s="979"/>
      <c r="N50" s="979"/>
      <c r="O50" s="720"/>
      <c r="P50" s="979"/>
      <c r="Q50" s="720"/>
      <c r="R50" s="720"/>
      <c r="S50" s="980"/>
      <c r="T50" s="980"/>
      <c r="U50" s="720"/>
      <c r="V50" s="720"/>
      <c r="W50" s="979"/>
      <c r="X50" s="980"/>
      <c r="Y50" s="980"/>
      <c r="Z50" s="980"/>
      <c r="AA50" s="980"/>
      <c r="AB50" s="980"/>
      <c r="AC50" s="686"/>
      <c r="AD50" s="686"/>
      <c r="AE50" s="686"/>
    </row>
    <row r="51" spans="1:31">
      <c r="A51" s="985"/>
      <c r="B51" s="1067"/>
      <c r="C51" s="720"/>
      <c r="D51" s="720"/>
      <c r="E51" s="720"/>
      <c r="F51" s="979"/>
      <c r="G51" s="979"/>
      <c r="H51" s="979"/>
      <c r="I51" s="979"/>
      <c r="J51" s="979"/>
      <c r="K51" s="979"/>
      <c r="L51" s="979"/>
      <c r="M51" s="979"/>
      <c r="N51" s="979"/>
      <c r="O51" s="720"/>
      <c r="P51" s="979"/>
      <c r="Q51" s="720"/>
      <c r="R51" s="720"/>
      <c r="S51" s="980"/>
      <c r="T51" s="980"/>
      <c r="U51" s="720"/>
      <c r="V51" s="720"/>
      <c r="W51" s="979"/>
      <c r="X51" s="980"/>
      <c r="Y51" s="980"/>
      <c r="Z51" s="980"/>
      <c r="AA51" s="980"/>
      <c r="AB51" s="980"/>
      <c r="AC51" s="686"/>
      <c r="AD51" s="686"/>
      <c r="AE51" s="686"/>
    </row>
    <row r="52" spans="1:31">
      <c r="A52" s="720"/>
      <c r="B52" s="720"/>
      <c r="C52" s="720"/>
      <c r="D52" s="720"/>
      <c r="E52" s="720"/>
      <c r="F52" s="979"/>
      <c r="G52" s="720"/>
      <c r="H52" s="720"/>
      <c r="I52" s="720"/>
      <c r="J52" s="720"/>
      <c r="K52" s="720"/>
      <c r="L52" s="720"/>
      <c r="M52" s="720"/>
      <c r="N52" s="720"/>
      <c r="O52" s="720"/>
      <c r="P52" s="720">
        <v>468000</v>
      </c>
      <c r="Q52" s="980">
        <v>0</v>
      </c>
      <c r="R52" s="720"/>
      <c r="S52" s="980"/>
      <c r="T52" s="980"/>
      <c r="U52" s="720"/>
      <c r="V52" s="720"/>
      <c r="W52" s="979"/>
      <c r="X52" s="980"/>
      <c r="Y52" s="980"/>
      <c r="Z52" s="980"/>
      <c r="AA52" s="980"/>
      <c r="AB52" s="980"/>
      <c r="AC52" s="686"/>
      <c r="AD52" s="686"/>
      <c r="AE52" s="686"/>
    </row>
    <row r="53" spans="1:31">
      <c r="A53" s="720"/>
      <c r="B53" s="720"/>
      <c r="C53" s="720"/>
      <c r="D53" s="720"/>
      <c r="E53" s="720"/>
      <c r="F53" s="979"/>
      <c r="G53" s="720"/>
      <c r="H53" s="720"/>
      <c r="I53" s="720"/>
      <c r="J53" s="720"/>
      <c r="K53" s="720"/>
      <c r="L53" s="720"/>
      <c r="M53" s="720"/>
      <c r="N53" s="720"/>
      <c r="O53" s="720"/>
      <c r="P53" s="720"/>
      <c r="Q53" s="980"/>
      <c r="R53" s="720"/>
      <c r="S53" s="980"/>
      <c r="T53" s="980"/>
      <c r="U53" s="720"/>
      <c r="V53" s="720"/>
      <c r="W53" s="979"/>
      <c r="X53" s="980"/>
      <c r="Y53" s="980"/>
      <c r="Z53" s="980"/>
      <c r="AA53" s="980"/>
      <c r="AB53" s="980"/>
      <c r="AC53" s="686"/>
      <c r="AD53" s="686"/>
      <c r="AE53" s="686"/>
    </row>
    <row r="54" spans="1:31">
      <c r="A54" s="720"/>
      <c r="B54" s="720"/>
      <c r="C54" s="720"/>
      <c r="D54" s="720"/>
      <c r="E54" s="720"/>
      <c r="F54" s="720"/>
      <c r="G54" s="720"/>
      <c r="H54" s="720"/>
      <c r="I54" s="720"/>
      <c r="J54" s="720"/>
      <c r="K54" s="720"/>
      <c r="L54" s="720"/>
      <c r="M54" s="720"/>
      <c r="N54" s="720"/>
      <c r="O54" s="720"/>
      <c r="P54" s="720"/>
      <c r="Q54" s="980"/>
      <c r="R54" s="720"/>
      <c r="S54" s="980"/>
      <c r="T54" s="980"/>
      <c r="U54" s="720"/>
      <c r="V54" s="720"/>
      <c r="W54" s="720"/>
      <c r="X54" s="980"/>
      <c r="Y54" s="980"/>
      <c r="Z54" s="980"/>
      <c r="AA54" s="980"/>
      <c r="AB54" s="980"/>
      <c r="AC54" s="686"/>
      <c r="AD54" s="686"/>
      <c r="AE54" s="686"/>
    </row>
    <row r="55" spans="1:31">
      <c r="A55" s="720" t="s">
        <v>59</v>
      </c>
      <c r="B55" s="720"/>
      <c r="C55" s="720"/>
      <c r="D55" s="720"/>
      <c r="E55" s="720"/>
      <c r="F55" s="979"/>
      <c r="G55" s="720"/>
      <c r="H55" s="720"/>
      <c r="I55" s="720"/>
      <c r="J55" s="720"/>
      <c r="K55" s="720"/>
      <c r="L55" s="720"/>
      <c r="M55" s="720"/>
      <c r="N55" s="720"/>
      <c r="O55" s="720"/>
      <c r="P55" s="720"/>
      <c r="Q55" s="980"/>
      <c r="R55" s="980"/>
      <c r="S55" s="980"/>
      <c r="T55" s="980"/>
      <c r="U55" s="720"/>
      <c r="V55" s="720"/>
      <c r="W55" s="979"/>
      <c r="X55" s="980"/>
      <c r="Y55" s="980"/>
      <c r="Z55" s="980"/>
      <c r="AA55" s="980"/>
      <c r="AB55" s="980"/>
      <c r="AC55" s="686"/>
      <c r="AD55" s="686"/>
      <c r="AE55" s="686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28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0"/>
  <dimension ref="A1:AE63"/>
  <sheetViews>
    <sheetView showGridLines="0" showZeros="0" topLeftCell="M4" zoomScaleNormal="100" workbookViewId="0">
      <selection activeCell="Z16" sqref="Z16:Z19"/>
    </sheetView>
  </sheetViews>
  <sheetFormatPr baseColWidth="10" defaultRowHeight="12.75"/>
  <cols>
    <col min="1" max="1" width="10.25" style="247" customWidth="1"/>
    <col min="2" max="2" width="35.375" style="247" customWidth="1"/>
    <col min="3" max="3" width="10.125" style="247" customWidth="1"/>
    <col min="4" max="4" width="10.375" style="247" customWidth="1"/>
    <col min="5" max="5" width="4.875" style="247" customWidth="1"/>
    <col min="6" max="9" width="10.25" style="247" customWidth="1"/>
    <col min="10" max="10" width="12" style="247" customWidth="1"/>
    <col min="11" max="11" width="10.25" style="247" customWidth="1"/>
    <col min="12" max="12" width="9" style="247" customWidth="1"/>
    <col min="13" max="13" width="9.75" style="247" customWidth="1"/>
    <col min="14" max="14" width="8.75" style="247" customWidth="1"/>
    <col min="15" max="15" width="6.5" style="247" customWidth="1"/>
    <col min="16" max="16" width="11" style="247"/>
    <col min="17" max="17" width="5.875" style="231" customWidth="1"/>
    <col min="18" max="19" width="11" style="231"/>
    <col min="20" max="20" width="10.875" style="231" customWidth="1"/>
    <col min="21" max="21" width="9" style="247" customWidth="1"/>
    <col min="22" max="22" width="4.875" style="247" customWidth="1"/>
    <col min="23" max="23" width="10.25" style="247" customWidth="1"/>
    <col min="24" max="28" width="10.875" style="231" customWidth="1"/>
    <col min="29" max="31" width="11" style="231"/>
    <col min="32" max="16384" width="11" style="232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11" t="s">
        <v>49</v>
      </c>
      <c r="B2" s="243" t="s">
        <v>185</v>
      </c>
      <c r="C2" s="243"/>
      <c r="D2" s="243"/>
      <c r="E2" s="243"/>
      <c r="F2" s="243"/>
      <c r="G2" s="243"/>
      <c r="H2" s="246"/>
      <c r="I2" s="246"/>
      <c r="J2" s="1012"/>
      <c r="K2" s="1012"/>
      <c r="Q2" s="247"/>
      <c r="R2" s="247"/>
    </row>
    <row r="3" spans="1:31">
      <c r="A3" s="1013" t="s">
        <v>60</v>
      </c>
      <c r="B3" s="1013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186</v>
      </c>
      <c r="H3" s="1014"/>
      <c r="I3" s="1014"/>
      <c r="J3" s="1014"/>
      <c r="K3" s="1014"/>
      <c r="L3" s="249"/>
      <c r="M3" s="249"/>
      <c r="N3" s="249"/>
      <c r="O3" s="249"/>
      <c r="P3" s="249"/>
      <c r="Q3" s="249"/>
      <c r="R3" s="249"/>
      <c r="S3" s="250"/>
      <c r="T3" s="250"/>
      <c r="U3" s="248"/>
      <c r="V3" s="249"/>
      <c r="W3" s="249"/>
      <c r="X3" s="250"/>
      <c r="Y3" s="250"/>
      <c r="Z3" s="250"/>
      <c r="AA3" s="250"/>
      <c r="AB3" s="250"/>
    </row>
    <row r="4" spans="1:31">
      <c r="A4" s="1118" t="s">
        <v>61</v>
      </c>
      <c r="B4" s="246" t="s">
        <v>103</v>
      </c>
      <c r="C4" s="2144" t="s">
        <v>81</v>
      </c>
      <c r="D4" s="2144"/>
      <c r="E4" s="2144"/>
      <c r="F4" s="2145"/>
      <c r="G4" s="2145"/>
      <c r="H4" s="1011"/>
      <c r="I4" s="1011"/>
      <c r="J4" s="1011"/>
      <c r="K4" s="1011"/>
      <c r="L4" s="245"/>
      <c r="M4" s="245"/>
      <c r="N4" s="245"/>
      <c r="O4" s="249"/>
      <c r="P4" s="245"/>
      <c r="Q4" s="249"/>
      <c r="R4" s="249"/>
      <c r="S4" s="250"/>
      <c r="T4" s="250"/>
      <c r="U4" s="249"/>
      <c r="V4" s="249"/>
      <c r="W4" s="245"/>
      <c r="X4" s="250"/>
      <c r="Y4" s="250"/>
      <c r="Z4" s="250"/>
      <c r="AA4" s="250"/>
      <c r="AB4" s="250"/>
    </row>
    <row r="5" spans="1:31">
      <c r="A5" s="1016" t="s">
        <v>62</v>
      </c>
      <c r="B5" s="253">
        <v>201100483</v>
      </c>
      <c r="C5" s="1014"/>
      <c r="D5" s="1014"/>
      <c r="E5" s="1014"/>
      <c r="F5" s="1011"/>
      <c r="G5" s="1011"/>
      <c r="H5" s="1012"/>
      <c r="I5" s="1012"/>
      <c r="J5" s="1011"/>
      <c r="K5" s="1017"/>
      <c r="L5" s="245"/>
      <c r="M5" s="245"/>
      <c r="N5" s="245"/>
      <c r="O5" s="249"/>
      <c r="P5" s="245"/>
      <c r="Q5" s="249"/>
      <c r="R5" s="249"/>
      <c r="S5" s="245"/>
      <c r="T5" s="250"/>
      <c r="U5" s="249"/>
      <c r="V5" s="249"/>
      <c r="W5" s="245"/>
      <c r="X5" s="250"/>
      <c r="Y5" s="250"/>
      <c r="Z5" s="250"/>
      <c r="AA5" s="250"/>
      <c r="AB5" s="250"/>
    </row>
    <row r="6" spans="1:31" ht="15.75">
      <c r="A6" s="1016" t="s">
        <v>51</v>
      </c>
      <c r="B6" s="244" t="s">
        <v>187</v>
      </c>
      <c r="C6" s="1014"/>
      <c r="D6" s="2426"/>
      <c r="E6" s="2426"/>
      <c r="F6" s="1011"/>
      <c r="G6" s="1011"/>
      <c r="H6" s="1018"/>
      <c r="I6" s="1019"/>
      <c r="J6" s="1020"/>
      <c r="K6" s="1015"/>
      <c r="L6" s="251"/>
      <c r="M6" s="250"/>
      <c r="N6" s="231"/>
      <c r="O6" s="231"/>
      <c r="P6" s="231"/>
      <c r="Q6" s="250"/>
      <c r="R6" s="249"/>
      <c r="S6" s="250"/>
      <c r="T6" s="250"/>
      <c r="U6" s="249"/>
      <c r="V6" s="249"/>
      <c r="W6" s="245"/>
      <c r="X6" s="250"/>
      <c r="Y6" s="250"/>
      <c r="Z6" s="250"/>
      <c r="AA6" s="250"/>
      <c r="AB6" s="250"/>
    </row>
    <row r="7" spans="1:31">
      <c r="A7" s="252"/>
      <c r="B7" s="257"/>
      <c r="C7" s="249"/>
      <c r="D7" s="249"/>
      <c r="E7" s="249"/>
      <c r="F7" s="245"/>
      <c r="G7" s="245"/>
      <c r="H7" s="254"/>
      <c r="I7" s="255"/>
      <c r="J7" s="256"/>
      <c r="K7" s="251"/>
      <c r="L7" s="251"/>
      <c r="M7" s="250"/>
      <c r="N7" s="231"/>
      <c r="O7" s="231"/>
      <c r="P7" s="231"/>
      <c r="Q7" s="250"/>
      <c r="R7" s="249"/>
      <c r="S7" s="250"/>
      <c r="T7" s="250"/>
      <c r="U7" s="249"/>
      <c r="V7" s="249"/>
      <c r="W7" s="245"/>
      <c r="X7" s="250"/>
      <c r="Y7" s="250"/>
      <c r="Z7" s="250"/>
      <c r="AA7" s="250"/>
      <c r="AB7" s="250"/>
    </row>
    <row r="8" spans="1:31" s="259" customFormat="1" ht="16.5">
      <c r="A8" s="1021" t="s">
        <v>0</v>
      </c>
      <c r="B8" s="1021" t="s">
        <v>1</v>
      </c>
      <c r="C8" s="1022" t="s">
        <v>2</v>
      </c>
      <c r="D8" s="1023" t="s">
        <v>3</v>
      </c>
      <c r="E8" s="1024"/>
      <c r="F8" s="1025"/>
      <c r="G8" s="1026" t="s">
        <v>4</v>
      </c>
      <c r="H8" s="1027"/>
      <c r="I8" s="1026" t="s">
        <v>5</v>
      </c>
      <c r="J8" s="1027"/>
      <c r="K8" s="1028" t="s">
        <v>6</v>
      </c>
      <c r="L8" s="1028"/>
      <c r="M8" s="1028"/>
      <c r="N8" s="1028"/>
      <c r="O8" s="1024" t="s">
        <v>7</v>
      </c>
      <c r="P8" s="1025"/>
      <c r="Q8" s="1024" t="s">
        <v>8</v>
      </c>
      <c r="R8" s="1025"/>
      <c r="S8" s="1029"/>
      <c r="T8" s="1030"/>
      <c r="U8" s="1031" t="s">
        <v>82</v>
      </c>
      <c r="V8" s="1032"/>
      <c r="W8" s="1033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27" t="s">
        <v>64</v>
      </c>
      <c r="AC8" s="258"/>
      <c r="AD8" s="258"/>
      <c r="AE8" s="258"/>
    </row>
    <row r="9" spans="1:31" s="259" customFormat="1" ht="8.25">
      <c r="A9" s="1034" t="s">
        <v>9</v>
      </c>
      <c r="B9" s="1035"/>
      <c r="C9" s="1036"/>
      <c r="D9" s="1037"/>
      <c r="E9" s="1038"/>
      <c r="F9" s="1039"/>
      <c r="G9" s="1040"/>
      <c r="H9" s="1041"/>
      <c r="I9" s="1040" t="s">
        <v>10</v>
      </c>
      <c r="J9" s="1040"/>
      <c r="K9" s="1042" t="s">
        <v>11</v>
      </c>
      <c r="L9" s="1042"/>
      <c r="M9" s="1042"/>
      <c r="N9" s="1042" t="s">
        <v>12</v>
      </c>
      <c r="O9" s="1038"/>
      <c r="P9" s="1039"/>
      <c r="Q9" s="1038"/>
      <c r="R9" s="1043"/>
      <c r="S9" s="1044" t="s">
        <v>13</v>
      </c>
      <c r="T9" s="1045" t="s">
        <v>14</v>
      </c>
      <c r="U9" s="1071"/>
      <c r="V9" s="1072"/>
      <c r="W9" s="1073"/>
      <c r="X9" s="2428"/>
      <c r="Y9" s="2428"/>
      <c r="Z9" s="2428"/>
      <c r="AA9" s="2428"/>
      <c r="AB9" s="2428"/>
      <c r="AC9" s="258"/>
      <c r="AD9" s="258"/>
      <c r="AE9" s="258"/>
    </row>
    <row r="10" spans="1:31" s="259" customFormat="1" ht="8.25">
      <c r="A10" s="1035"/>
      <c r="B10" s="1035"/>
      <c r="C10" s="1036"/>
      <c r="D10" s="1046" t="s">
        <v>15</v>
      </c>
      <c r="E10" s="1046" t="s">
        <v>16</v>
      </c>
      <c r="F10" s="1028" t="s">
        <v>17</v>
      </c>
      <c r="G10" s="1040"/>
      <c r="H10" s="1041"/>
      <c r="I10" s="1040"/>
      <c r="J10" s="1040"/>
      <c r="K10" s="1047" t="s">
        <v>18</v>
      </c>
      <c r="L10" s="1047" t="s">
        <v>17</v>
      </c>
      <c r="M10" s="1047" t="s">
        <v>19</v>
      </c>
      <c r="N10" s="1047" t="s">
        <v>20</v>
      </c>
      <c r="O10" s="1046" t="s">
        <v>16</v>
      </c>
      <c r="P10" s="1028" t="s">
        <v>17</v>
      </c>
      <c r="Q10" s="1046" t="s">
        <v>16</v>
      </c>
      <c r="R10" s="1028" t="s">
        <v>17</v>
      </c>
      <c r="S10" s="1044" t="s">
        <v>21</v>
      </c>
      <c r="T10" s="1045" t="s">
        <v>22</v>
      </c>
      <c r="U10" s="1046" t="s">
        <v>15</v>
      </c>
      <c r="V10" s="1046" t="s">
        <v>16</v>
      </c>
      <c r="W10" s="1028" t="s">
        <v>17</v>
      </c>
      <c r="X10" s="2428"/>
      <c r="Y10" s="2428"/>
      <c r="Z10" s="2428"/>
      <c r="AA10" s="2428"/>
      <c r="AB10" s="2428"/>
      <c r="AC10" s="258"/>
      <c r="AD10" s="258"/>
      <c r="AE10" s="258"/>
    </row>
    <row r="11" spans="1:31" s="259" customFormat="1" ht="8.25">
      <c r="A11" s="1035"/>
      <c r="B11" s="1035"/>
      <c r="C11" s="1036"/>
      <c r="D11" s="1044" t="s">
        <v>23</v>
      </c>
      <c r="E11" s="1044"/>
      <c r="F11" s="1042" t="s">
        <v>23</v>
      </c>
      <c r="G11" s="1028" t="s">
        <v>24</v>
      </c>
      <c r="H11" s="1028" t="s">
        <v>25</v>
      </c>
      <c r="I11" s="1028" t="s">
        <v>26</v>
      </c>
      <c r="J11" s="1028" t="s">
        <v>27</v>
      </c>
      <c r="K11" s="1042" t="s">
        <v>28</v>
      </c>
      <c r="L11" s="1042" t="s">
        <v>29</v>
      </c>
      <c r="M11" s="1042" t="s">
        <v>30</v>
      </c>
      <c r="N11" s="1042" t="s">
        <v>31</v>
      </c>
      <c r="O11" s="1044"/>
      <c r="P11" s="1042" t="s">
        <v>23</v>
      </c>
      <c r="Q11" s="1044"/>
      <c r="R11" s="1042" t="s">
        <v>23</v>
      </c>
      <c r="S11" s="1036"/>
      <c r="T11" s="1045" t="s">
        <v>32</v>
      </c>
      <c r="U11" s="1044" t="s">
        <v>23</v>
      </c>
      <c r="V11" s="1044"/>
      <c r="W11" s="1042" t="s">
        <v>23</v>
      </c>
      <c r="X11" s="2428"/>
      <c r="Y11" s="2428"/>
      <c r="Z11" s="2428"/>
      <c r="AA11" s="2428"/>
      <c r="AB11" s="2428"/>
      <c r="AC11" s="258"/>
      <c r="AD11" s="258"/>
      <c r="AE11" s="258"/>
    </row>
    <row r="12" spans="1:31">
      <c r="A12" s="1035"/>
      <c r="B12" s="1035"/>
      <c r="C12" s="1036"/>
      <c r="D12" s="1036"/>
      <c r="E12" s="1036"/>
      <c r="F12" s="1048"/>
      <c r="G12" s="1048"/>
      <c r="H12" s="1048"/>
      <c r="I12" s="1048"/>
      <c r="J12" s="1042" t="s">
        <v>33</v>
      </c>
      <c r="K12" s="1042" t="s">
        <v>34</v>
      </c>
      <c r="L12" s="1042"/>
      <c r="M12" s="1042"/>
      <c r="N12" s="1042"/>
      <c r="O12" s="1036"/>
      <c r="P12" s="1048"/>
      <c r="Q12" s="1036"/>
      <c r="R12" s="1048"/>
      <c r="S12" s="1049"/>
      <c r="T12" s="1050"/>
      <c r="U12" s="1036"/>
      <c r="V12" s="1036"/>
      <c r="W12" s="1048"/>
      <c r="X12" s="2428"/>
      <c r="Y12" s="2428"/>
      <c r="Z12" s="2428"/>
      <c r="AA12" s="2428"/>
      <c r="AB12" s="2428"/>
    </row>
    <row r="13" spans="1:31">
      <c r="A13" s="1051"/>
      <c r="B13" s="1051" t="s">
        <v>35</v>
      </c>
      <c r="C13" s="1052" t="s">
        <v>36</v>
      </c>
      <c r="D13" s="1052"/>
      <c r="E13" s="1052"/>
      <c r="F13" s="1053" t="s">
        <v>37</v>
      </c>
      <c r="G13" s="1053" t="s">
        <v>38</v>
      </c>
      <c r="H13" s="1053" t="s">
        <v>39</v>
      </c>
      <c r="I13" s="1053" t="s">
        <v>40</v>
      </c>
      <c r="J13" s="1053" t="s">
        <v>41</v>
      </c>
      <c r="K13" s="1053" t="s">
        <v>42</v>
      </c>
      <c r="L13" s="1053" t="s">
        <v>43</v>
      </c>
      <c r="M13" s="1053" t="s">
        <v>44</v>
      </c>
      <c r="N13" s="1053" t="s">
        <v>45</v>
      </c>
      <c r="O13" s="1052"/>
      <c r="P13" s="1053" t="s">
        <v>37</v>
      </c>
      <c r="Q13" s="1052" t="s">
        <v>46</v>
      </c>
      <c r="R13" s="1052"/>
      <c r="S13" s="1054" t="s">
        <v>47</v>
      </c>
      <c r="T13" s="1055" t="s">
        <v>48</v>
      </c>
      <c r="U13" s="1052"/>
      <c r="V13" s="1052"/>
      <c r="W13" s="1053" t="s">
        <v>37</v>
      </c>
      <c r="X13" s="1055" t="s">
        <v>86</v>
      </c>
      <c r="Y13" s="1055"/>
      <c r="Z13" s="1055"/>
      <c r="AA13" s="1055"/>
      <c r="AB13" s="1055"/>
    </row>
    <row r="14" spans="1:31">
      <c r="A14" s="1057"/>
      <c r="B14" s="265"/>
      <c r="C14" s="230"/>
      <c r="D14" s="1058"/>
      <c r="E14" s="1057"/>
      <c r="F14" s="226"/>
      <c r="G14" s="226"/>
      <c r="H14" s="226"/>
      <c r="I14" s="226"/>
      <c r="J14" s="226"/>
      <c r="K14" s="226"/>
      <c r="L14" s="226"/>
      <c r="M14" s="226"/>
      <c r="N14" s="226"/>
      <c r="O14" s="230"/>
      <c r="P14" s="226"/>
      <c r="Q14" s="230"/>
      <c r="R14" s="230"/>
      <c r="S14" s="1059"/>
      <c r="T14" s="1060"/>
      <c r="U14" s="230"/>
      <c r="V14" s="1057"/>
      <c r="W14" s="226"/>
      <c r="X14" s="1060"/>
      <c r="Y14" s="1060"/>
      <c r="Z14" s="1060"/>
      <c r="AA14" s="1060"/>
      <c r="AB14" s="1060"/>
    </row>
    <row r="15" spans="1:31" ht="13.5" customHeight="1">
      <c r="A15" s="1057"/>
      <c r="B15" s="265"/>
      <c r="C15" s="226">
        <f>D15*E15</f>
        <v>0</v>
      </c>
      <c r="D15" s="1058"/>
      <c r="E15" s="1057"/>
      <c r="F15" s="226">
        <f>D15*E15</f>
        <v>0</v>
      </c>
      <c r="G15" s="226"/>
      <c r="H15" s="226"/>
      <c r="I15" s="226"/>
      <c r="J15" s="226"/>
      <c r="K15" s="226"/>
      <c r="L15" s="226"/>
      <c r="M15" s="226"/>
      <c r="N15" s="226"/>
      <c r="O15" s="230"/>
      <c r="P15" s="226"/>
      <c r="Q15" s="230"/>
      <c r="R15" s="230"/>
      <c r="S15" s="1059"/>
      <c r="T15" s="1060"/>
      <c r="U15" s="230"/>
      <c r="V15" s="1057"/>
      <c r="W15" s="226">
        <f>U15*V15</f>
        <v>0</v>
      </c>
      <c r="X15" s="1060"/>
      <c r="Y15" s="1060"/>
      <c r="Z15" s="1060"/>
      <c r="AA15" s="1060"/>
      <c r="AB15" s="1060"/>
    </row>
    <row r="16" spans="1:31" ht="37.5" customHeight="1">
      <c r="A16" s="229">
        <v>1</v>
      </c>
      <c r="B16" s="227" t="s">
        <v>100</v>
      </c>
      <c r="C16" s="226">
        <f>D16*E16</f>
        <v>216000</v>
      </c>
      <c r="D16" s="226">
        <f>180000*1.2</f>
        <v>216000</v>
      </c>
      <c r="E16" s="229">
        <v>1</v>
      </c>
      <c r="F16" s="226">
        <f>D16*E16</f>
        <v>216000</v>
      </c>
      <c r="G16" s="226">
        <v>118800</v>
      </c>
      <c r="H16" s="226" t="s">
        <v>96</v>
      </c>
      <c r="I16" s="226">
        <f>W16</f>
        <v>216000</v>
      </c>
      <c r="J16" s="226"/>
      <c r="K16" s="226"/>
      <c r="L16" s="226">
        <f>+I16-J16+K16</f>
        <v>216000</v>
      </c>
      <c r="M16" s="226"/>
      <c r="N16" s="226">
        <f>G16</f>
        <v>118800</v>
      </c>
      <c r="O16" s="226">
        <v>1</v>
      </c>
      <c r="P16" s="226">
        <f>O16*U16</f>
        <v>216000</v>
      </c>
      <c r="Q16" s="226"/>
      <c r="R16" s="230">
        <v>216000</v>
      </c>
      <c r="S16" s="230">
        <f>P16-R16</f>
        <v>0</v>
      </c>
      <c r="T16" s="577">
        <f>W16-L16</f>
        <v>0</v>
      </c>
      <c r="U16" s="226">
        <f>180000*1.2</f>
        <v>216000</v>
      </c>
      <c r="V16" s="229">
        <v>1</v>
      </c>
      <c r="W16" s="226">
        <f>U16*V16</f>
        <v>216000</v>
      </c>
      <c r="X16" s="577">
        <v>216000</v>
      </c>
      <c r="Y16" s="577">
        <v>118800</v>
      </c>
      <c r="Z16" s="577">
        <v>216000</v>
      </c>
      <c r="AA16" s="577"/>
      <c r="AB16" s="228">
        <v>216000</v>
      </c>
    </row>
    <row r="17" spans="1:28" hidden="1">
      <c r="A17" s="1061"/>
      <c r="B17" s="268"/>
      <c r="C17" s="226"/>
      <c r="D17" s="226"/>
      <c r="E17" s="229"/>
      <c r="F17" s="226"/>
      <c r="G17" s="226"/>
      <c r="H17" s="226" t="s">
        <v>96</v>
      </c>
      <c r="I17" s="226">
        <f>W17</f>
        <v>0</v>
      </c>
      <c r="J17" s="226"/>
      <c r="K17" s="226"/>
      <c r="L17" s="226">
        <f>+I17-J17+K17</f>
        <v>0</v>
      </c>
      <c r="M17" s="226"/>
      <c r="N17" s="226"/>
      <c r="O17" s="226"/>
      <c r="P17" s="226">
        <f>O17*U17</f>
        <v>0</v>
      </c>
      <c r="Q17" s="226"/>
      <c r="R17" s="230"/>
      <c r="S17" s="230">
        <f>P17-R17</f>
        <v>0</v>
      </c>
      <c r="T17" s="577">
        <f>W17-L17</f>
        <v>0</v>
      </c>
      <c r="U17" s="226"/>
      <c r="V17" s="229"/>
      <c r="W17" s="226"/>
      <c r="X17" s="1064">
        <v>0</v>
      </c>
      <c r="Y17" s="1064"/>
      <c r="Z17" s="1064">
        <v>0</v>
      </c>
      <c r="AA17" s="1064"/>
      <c r="AB17" s="1065"/>
    </row>
    <row r="18" spans="1:28" hidden="1">
      <c r="A18" s="1062"/>
      <c r="B18" s="268"/>
      <c r="C18" s="226"/>
      <c r="D18" s="226"/>
      <c r="E18" s="229"/>
      <c r="F18" s="226"/>
      <c r="G18" s="226"/>
      <c r="H18" s="226" t="s">
        <v>96</v>
      </c>
      <c r="I18" s="226">
        <f>W18</f>
        <v>0</v>
      </c>
      <c r="J18" s="226"/>
      <c r="K18" s="226"/>
      <c r="L18" s="226">
        <f>+I18-J18+K18</f>
        <v>0</v>
      </c>
      <c r="M18" s="226"/>
      <c r="N18" s="226"/>
      <c r="O18" s="226"/>
      <c r="P18" s="226">
        <f>O18*U18</f>
        <v>0</v>
      </c>
      <c r="Q18" s="226"/>
      <c r="R18" s="230"/>
      <c r="S18" s="230">
        <f>P18-R18</f>
        <v>0</v>
      </c>
      <c r="T18" s="577">
        <f>W18-L18</f>
        <v>0</v>
      </c>
      <c r="U18" s="226"/>
      <c r="V18" s="229"/>
      <c r="W18" s="226"/>
      <c r="X18" s="1064">
        <v>0</v>
      </c>
      <c r="Y18" s="1064"/>
      <c r="Z18" s="1064">
        <v>0</v>
      </c>
      <c r="AA18" s="1064"/>
      <c r="AB18" s="1065"/>
    </row>
    <row r="19" spans="1:28" ht="29.25" customHeight="1">
      <c r="A19" s="1063">
        <v>2</v>
      </c>
      <c r="B19" s="227" t="s">
        <v>101</v>
      </c>
      <c r="C19" s="226">
        <f t="shared" ref="C19:C34" si="0">D19*E19</f>
        <v>252000</v>
      </c>
      <c r="D19" s="226">
        <f>210000*1.2</f>
        <v>252000</v>
      </c>
      <c r="E19" s="229">
        <v>1</v>
      </c>
      <c r="F19" s="226">
        <f t="shared" ref="F19:F34" si="1">D19*E19</f>
        <v>252000</v>
      </c>
      <c r="G19" s="236">
        <v>138600</v>
      </c>
      <c r="H19" s="226" t="s">
        <v>96</v>
      </c>
      <c r="I19" s="226">
        <f>W19</f>
        <v>252000</v>
      </c>
      <c r="J19" s="236"/>
      <c r="K19" s="236"/>
      <c r="L19" s="226">
        <f>+I19-J19+K19</f>
        <v>252000</v>
      </c>
      <c r="M19" s="236"/>
      <c r="N19" s="236">
        <f>G19</f>
        <v>138600</v>
      </c>
      <c r="O19" s="236">
        <v>1</v>
      </c>
      <c r="P19" s="226">
        <f>O19*U19</f>
        <v>252000</v>
      </c>
      <c r="Q19" s="234"/>
      <c r="R19" s="226"/>
      <c r="S19" s="230">
        <f>P19-R19</f>
        <v>252000</v>
      </c>
      <c r="T19" s="577">
        <f>W19-L19</f>
        <v>0</v>
      </c>
      <c r="U19" s="226">
        <f>210000*1.2</f>
        <v>252000</v>
      </c>
      <c r="V19" s="229">
        <v>1</v>
      </c>
      <c r="W19" s="226">
        <f t="shared" ref="W19:W34" si="2">U19*V19</f>
        <v>252000</v>
      </c>
      <c r="X19" s="236">
        <v>252000</v>
      </c>
      <c r="Y19" s="236">
        <v>138600</v>
      </c>
      <c r="Z19" s="236">
        <v>252000</v>
      </c>
      <c r="AA19" s="236"/>
      <c r="AB19" s="228">
        <v>252000</v>
      </c>
    </row>
    <row r="20" spans="1:28" ht="21.75" customHeight="1">
      <c r="A20" s="239">
        <v>3</v>
      </c>
      <c r="B20" s="235" t="s">
        <v>90</v>
      </c>
      <c r="C20" s="226">
        <f t="shared" si="0"/>
        <v>120000</v>
      </c>
      <c r="D20" s="226">
        <f>100000*1.2</f>
        <v>120000</v>
      </c>
      <c r="E20" s="229">
        <v>1</v>
      </c>
      <c r="F20" s="226">
        <f t="shared" si="1"/>
        <v>120000</v>
      </c>
      <c r="G20" s="236">
        <f>1.2*55500</f>
        <v>66600</v>
      </c>
      <c r="H20" s="226" t="s">
        <v>96</v>
      </c>
      <c r="I20" s="226">
        <f>W20</f>
        <v>120000</v>
      </c>
      <c r="J20" s="236"/>
      <c r="K20" s="236"/>
      <c r="L20" s="226">
        <f>+I20-J20+K20</f>
        <v>120000</v>
      </c>
      <c r="M20" s="236"/>
      <c r="N20" s="236">
        <f>G20*0.6</f>
        <v>39960</v>
      </c>
      <c r="O20" s="236"/>
      <c r="P20" s="2348">
        <v>120000</v>
      </c>
      <c r="Q20" s="234"/>
      <c r="R20" s="236"/>
      <c r="S20" s="230">
        <f>P20-R20</f>
        <v>120000</v>
      </c>
      <c r="T20" s="577">
        <f>W20-L20</f>
        <v>0</v>
      </c>
      <c r="U20" s="226">
        <f>100000*1.2</f>
        <v>120000</v>
      </c>
      <c r="V20" s="229">
        <v>1</v>
      </c>
      <c r="W20" s="226">
        <f t="shared" si="2"/>
        <v>120000</v>
      </c>
      <c r="X20" s="236">
        <v>72000</v>
      </c>
      <c r="Y20" s="236">
        <v>39960</v>
      </c>
      <c r="Z20" s="236"/>
      <c r="AA20" s="236"/>
      <c r="AB20" s="228">
        <v>120000</v>
      </c>
    </row>
    <row r="21" spans="1:28">
      <c r="A21" s="239"/>
      <c r="B21" s="235"/>
      <c r="C21" s="226">
        <f t="shared" si="0"/>
        <v>0</v>
      </c>
      <c r="D21" s="228"/>
      <c r="E21" s="229"/>
      <c r="F21" s="226">
        <f t="shared" si="1"/>
        <v>0</v>
      </c>
      <c r="G21" s="236"/>
      <c r="H21" s="236"/>
      <c r="I21" s="236"/>
      <c r="J21" s="236"/>
      <c r="K21" s="236"/>
      <c r="L21" s="236"/>
      <c r="M21" s="236"/>
      <c r="N21" s="236"/>
      <c r="O21" s="236"/>
      <c r="P21" s="226"/>
      <c r="Q21" s="234"/>
      <c r="R21" s="236"/>
      <c r="S21" s="236"/>
      <c r="T21" s="236"/>
      <c r="U21" s="228"/>
      <c r="V21" s="229"/>
      <c r="W21" s="226">
        <f t="shared" si="2"/>
        <v>0</v>
      </c>
      <c r="X21" s="236"/>
      <c r="Y21" s="236"/>
      <c r="Z21" s="236"/>
      <c r="AA21" s="236"/>
      <c r="AB21" s="236"/>
    </row>
    <row r="22" spans="1:28">
      <c r="A22" s="229"/>
      <c r="B22" s="237"/>
      <c r="C22" s="226">
        <f t="shared" si="0"/>
        <v>0</v>
      </c>
      <c r="D22" s="228"/>
      <c r="E22" s="229"/>
      <c r="F22" s="226">
        <f t="shared" si="1"/>
        <v>0</v>
      </c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4"/>
      <c r="R22" s="236"/>
      <c r="S22" s="236"/>
      <c r="T22" s="236"/>
      <c r="U22" s="238"/>
      <c r="V22" s="229"/>
      <c r="W22" s="226">
        <f t="shared" si="2"/>
        <v>0</v>
      </c>
      <c r="X22" s="236"/>
      <c r="Y22" s="236"/>
      <c r="Z22" s="236"/>
      <c r="AA22" s="236"/>
      <c r="AB22" s="236"/>
    </row>
    <row r="23" spans="1:28" hidden="1">
      <c r="A23" s="229"/>
      <c r="B23" s="237"/>
      <c r="C23" s="226">
        <f t="shared" si="0"/>
        <v>0</v>
      </c>
      <c r="D23" s="228"/>
      <c r="E23" s="239"/>
      <c r="F23" s="226">
        <f t="shared" si="1"/>
        <v>0</v>
      </c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40"/>
      <c r="R23" s="226"/>
      <c r="S23" s="236"/>
      <c r="T23" s="236"/>
      <c r="U23" s="238"/>
      <c r="V23" s="239"/>
      <c r="W23" s="226">
        <f t="shared" si="2"/>
        <v>0</v>
      </c>
      <c r="X23" s="236"/>
      <c r="Y23" s="236"/>
      <c r="Z23" s="236"/>
      <c r="AA23" s="236"/>
      <c r="AB23" s="236"/>
    </row>
    <row r="24" spans="1:28" ht="0.75" hidden="1" customHeight="1">
      <c r="A24" s="1061"/>
      <c r="B24" s="269"/>
      <c r="C24" s="226">
        <f t="shared" si="0"/>
        <v>0</v>
      </c>
      <c r="D24" s="228"/>
      <c r="E24" s="229"/>
      <c r="F24" s="226">
        <f t="shared" si="1"/>
        <v>0</v>
      </c>
      <c r="G24" s="236"/>
      <c r="H24" s="236"/>
      <c r="I24" s="236"/>
      <c r="J24" s="236"/>
      <c r="K24" s="236"/>
      <c r="L24" s="236"/>
      <c r="M24" s="236"/>
      <c r="N24" s="236"/>
      <c r="O24" s="236"/>
      <c r="P24" s="226"/>
      <c r="Q24" s="234"/>
      <c r="R24" s="226"/>
      <c r="S24" s="236">
        <f>+P24-R24</f>
        <v>0</v>
      </c>
      <c r="T24" s="236"/>
      <c r="U24" s="238"/>
      <c r="V24" s="229"/>
      <c r="W24" s="226">
        <f t="shared" si="2"/>
        <v>0</v>
      </c>
      <c r="X24" s="236"/>
      <c r="Y24" s="236"/>
      <c r="Z24" s="236"/>
      <c r="AA24" s="236"/>
      <c r="AB24" s="236"/>
    </row>
    <row r="25" spans="1:28" hidden="1">
      <c r="A25" s="1061"/>
      <c r="B25" s="237"/>
      <c r="C25" s="226">
        <f t="shared" si="0"/>
        <v>0</v>
      </c>
      <c r="D25" s="228"/>
      <c r="E25" s="229"/>
      <c r="F25" s="226">
        <f t="shared" si="1"/>
        <v>0</v>
      </c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4"/>
      <c r="R25" s="226"/>
      <c r="S25" s="236">
        <f>+P25-R25</f>
        <v>0</v>
      </c>
      <c r="T25" s="236"/>
      <c r="U25" s="238"/>
      <c r="V25" s="229"/>
      <c r="W25" s="226">
        <f t="shared" si="2"/>
        <v>0</v>
      </c>
      <c r="X25" s="236"/>
      <c r="Y25" s="236"/>
      <c r="Z25" s="236"/>
      <c r="AA25" s="236"/>
      <c r="AB25" s="236"/>
    </row>
    <row r="26" spans="1:28">
      <c r="A26" s="229"/>
      <c r="B26" s="270"/>
      <c r="C26" s="226">
        <f t="shared" si="0"/>
        <v>0</v>
      </c>
      <c r="D26" s="228"/>
      <c r="E26" s="229"/>
      <c r="F26" s="226">
        <f t="shared" si="1"/>
        <v>0</v>
      </c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4"/>
      <c r="R26" s="226"/>
      <c r="S26" s="236"/>
      <c r="T26" s="236"/>
      <c r="U26" s="238"/>
      <c r="V26" s="229"/>
      <c r="W26" s="226">
        <f t="shared" si="2"/>
        <v>0</v>
      </c>
      <c r="X26" s="236"/>
      <c r="Y26" s="236"/>
      <c r="Z26" s="236"/>
      <c r="AA26" s="236"/>
      <c r="AB26" s="236"/>
    </row>
    <row r="27" spans="1:28" ht="12" customHeight="1">
      <c r="A27" s="239"/>
      <c r="B27" s="271"/>
      <c r="C27" s="226">
        <f t="shared" si="0"/>
        <v>0</v>
      </c>
      <c r="D27" s="228"/>
      <c r="E27" s="229"/>
      <c r="F27" s="226">
        <f t="shared" si="1"/>
        <v>0</v>
      </c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4"/>
      <c r="R27" s="236"/>
      <c r="S27" s="236"/>
      <c r="T27" s="236"/>
      <c r="U27" s="238"/>
      <c r="V27" s="229"/>
      <c r="W27" s="226">
        <f t="shared" si="2"/>
        <v>0</v>
      </c>
      <c r="X27" s="236"/>
      <c r="Y27" s="236"/>
      <c r="Z27" s="236"/>
      <c r="AA27" s="236"/>
      <c r="AB27" s="236"/>
    </row>
    <row r="28" spans="1:28">
      <c r="A28" s="239"/>
      <c r="B28" s="271"/>
      <c r="C28" s="226">
        <f t="shared" si="0"/>
        <v>0</v>
      </c>
      <c r="D28" s="228"/>
      <c r="E28" s="229"/>
      <c r="F28" s="226">
        <f t="shared" si="1"/>
        <v>0</v>
      </c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4"/>
      <c r="R28" s="236"/>
      <c r="S28" s="236"/>
      <c r="T28" s="236"/>
      <c r="U28" s="238"/>
      <c r="V28" s="229"/>
      <c r="W28" s="226">
        <f t="shared" si="2"/>
        <v>0</v>
      </c>
      <c r="X28" s="236"/>
      <c r="Y28" s="236"/>
      <c r="Z28" s="236"/>
      <c r="AA28" s="236"/>
      <c r="AB28" s="236"/>
    </row>
    <row r="29" spans="1:28">
      <c r="A29" s="239"/>
      <c r="B29" s="271"/>
      <c r="C29" s="226">
        <f t="shared" si="0"/>
        <v>0</v>
      </c>
      <c r="D29" s="228"/>
      <c r="E29" s="229"/>
      <c r="F29" s="226">
        <f t="shared" si="1"/>
        <v>0</v>
      </c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4"/>
      <c r="R29" s="236"/>
      <c r="S29" s="236"/>
      <c r="T29" s="236"/>
      <c r="U29" s="238"/>
      <c r="V29" s="229"/>
      <c r="W29" s="226">
        <f t="shared" si="2"/>
        <v>0</v>
      </c>
      <c r="X29" s="236"/>
      <c r="Y29" s="236"/>
      <c r="Z29" s="236"/>
      <c r="AA29" s="236"/>
      <c r="AB29" s="236"/>
    </row>
    <row r="30" spans="1:28">
      <c r="A30" s="239"/>
      <c r="B30" s="271"/>
      <c r="C30" s="226">
        <f t="shared" si="0"/>
        <v>0</v>
      </c>
      <c r="D30" s="228"/>
      <c r="E30" s="229"/>
      <c r="F30" s="226">
        <f t="shared" si="1"/>
        <v>0</v>
      </c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4"/>
      <c r="R30" s="236"/>
      <c r="S30" s="236"/>
      <c r="T30" s="236"/>
      <c r="U30" s="238"/>
      <c r="V30" s="229"/>
      <c r="W30" s="226">
        <f t="shared" si="2"/>
        <v>0</v>
      </c>
      <c r="X30" s="236"/>
      <c r="Y30" s="236"/>
      <c r="Z30" s="236"/>
      <c r="AA30" s="236"/>
      <c r="AB30" s="236"/>
    </row>
    <row r="31" spans="1:28">
      <c r="A31" s="239"/>
      <c r="B31" s="272"/>
      <c r="C31" s="226">
        <f t="shared" si="0"/>
        <v>0</v>
      </c>
      <c r="D31" s="228"/>
      <c r="E31" s="229"/>
      <c r="F31" s="226">
        <f t="shared" si="1"/>
        <v>0</v>
      </c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73"/>
      <c r="R31" s="236"/>
      <c r="S31" s="236"/>
      <c r="T31" s="236"/>
      <c r="U31" s="238"/>
      <c r="V31" s="229"/>
      <c r="W31" s="226">
        <f t="shared" si="2"/>
        <v>0</v>
      </c>
      <c r="X31" s="236"/>
      <c r="Y31" s="236"/>
      <c r="Z31" s="236"/>
      <c r="AA31" s="236"/>
      <c r="AB31" s="236"/>
    </row>
    <row r="32" spans="1:28">
      <c r="A32" s="229"/>
      <c r="B32" s="270"/>
      <c r="C32" s="226">
        <f t="shared" si="0"/>
        <v>0</v>
      </c>
      <c r="D32" s="228"/>
      <c r="E32" s="229"/>
      <c r="F32" s="226">
        <f t="shared" si="1"/>
        <v>0</v>
      </c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73"/>
      <c r="R32" s="236"/>
      <c r="S32" s="236"/>
      <c r="T32" s="236"/>
      <c r="U32" s="238"/>
      <c r="V32" s="229"/>
      <c r="W32" s="226">
        <f t="shared" si="2"/>
        <v>0</v>
      </c>
      <c r="X32" s="236"/>
      <c r="Y32" s="236"/>
      <c r="Z32" s="236"/>
      <c r="AA32" s="236"/>
      <c r="AB32" s="236">
        <v>0</v>
      </c>
    </row>
    <row r="33" spans="1:28" ht="0.75" hidden="1" customHeight="1">
      <c r="A33" s="239"/>
      <c r="B33" s="271"/>
      <c r="C33" s="226">
        <f t="shared" si="0"/>
        <v>0</v>
      </c>
      <c r="D33" s="228"/>
      <c r="E33" s="229"/>
      <c r="F33" s="226">
        <f t="shared" si="1"/>
        <v>0</v>
      </c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73"/>
      <c r="R33" s="236"/>
      <c r="S33" s="236"/>
      <c r="T33" s="236"/>
      <c r="U33" s="238"/>
      <c r="V33" s="229"/>
      <c r="W33" s="226">
        <f t="shared" si="2"/>
        <v>0</v>
      </c>
      <c r="X33" s="236"/>
      <c r="Y33" s="236"/>
      <c r="Z33" s="236"/>
      <c r="AA33" s="236"/>
      <c r="AB33" s="236">
        <v>0</v>
      </c>
    </row>
    <row r="34" spans="1:28" ht="0.75" hidden="1" customHeight="1">
      <c r="A34" s="239"/>
      <c r="B34" s="271"/>
      <c r="C34" s="226">
        <f t="shared" si="0"/>
        <v>0</v>
      </c>
      <c r="D34" s="228"/>
      <c r="E34" s="229"/>
      <c r="F34" s="226">
        <f t="shared" si="1"/>
        <v>0</v>
      </c>
      <c r="G34" s="226"/>
      <c r="H34" s="226"/>
      <c r="I34" s="230"/>
      <c r="J34" s="226"/>
      <c r="K34" s="226"/>
      <c r="L34" s="236"/>
      <c r="M34" s="226"/>
      <c r="N34" s="226"/>
      <c r="O34" s="226"/>
      <c r="P34" s="236"/>
      <c r="Q34" s="273"/>
      <c r="R34" s="236"/>
      <c r="S34" s="236"/>
      <c r="T34" s="1064"/>
      <c r="U34" s="238"/>
      <c r="V34" s="229"/>
      <c r="W34" s="226">
        <f t="shared" si="2"/>
        <v>0</v>
      </c>
      <c r="X34" s="1064"/>
      <c r="Y34" s="1064"/>
      <c r="Z34" s="1064"/>
      <c r="AA34" s="1064"/>
      <c r="AB34" s="1064"/>
    </row>
    <row r="35" spans="1:28" ht="0.75" customHeight="1">
      <c r="A35" s="239"/>
      <c r="B35" s="271"/>
      <c r="C35" s="226"/>
      <c r="D35" s="228"/>
      <c r="E35" s="229"/>
      <c r="F35" s="226"/>
      <c r="G35" s="226"/>
      <c r="H35" s="226"/>
      <c r="I35" s="230"/>
      <c r="J35" s="226"/>
      <c r="K35" s="226"/>
      <c r="L35" s="236"/>
      <c r="M35" s="226"/>
      <c r="N35" s="226"/>
      <c r="O35" s="226"/>
      <c r="P35" s="236"/>
      <c r="Q35" s="273"/>
      <c r="R35" s="236"/>
      <c r="S35" s="236"/>
      <c r="T35" s="1064"/>
      <c r="U35" s="238"/>
      <c r="V35" s="229"/>
      <c r="W35" s="226"/>
      <c r="X35" s="1064"/>
      <c r="Y35" s="1064"/>
      <c r="Z35" s="1064"/>
      <c r="AA35" s="1064"/>
      <c r="AB35" s="1064"/>
    </row>
    <row r="36" spans="1:28" ht="0.75" customHeight="1">
      <c r="A36" s="239"/>
      <c r="B36" s="271"/>
      <c r="C36" s="226"/>
      <c r="D36" s="228"/>
      <c r="E36" s="229"/>
      <c r="F36" s="226"/>
      <c r="G36" s="226"/>
      <c r="H36" s="226"/>
      <c r="I36" s="230"/>
      <c r="J36" s="226"/>
      <c r="K36" s="226"/>
      <c r="L36" s="236"/>
      <c r="M36" s="226"/>
      <c r="N36" s="226"/>
      <c r="O36" s="226"/>
      <c r="P36" s="236"/>
      <c r="Q36" s="273"/>
      <c r="R36" s="236"/>
      <c r="S36" s="236"/>
      <c r="T36" s="1064"/>
      <c r="U36" s="238"/>
      <c r="V36" s="229"/>
      <c r="W36" s="226"/>
      <c r="X36" s="1064"/>
      <c r="Y36" s="1064"/>
      <c r="Z36" s="1064"/>
      <c r="AA36" s="1064"/>
      <c r="AB36" s="1064"/>
    </row>
    <row r="37" spans="1:28" ht="0.75" customHeight="1">
      <c r="A37" s="239"/>
      <c r="B37" s="271"/>
      <c r="C37" s="226"/>
      <c r="D37" s="228"/>
      <c r="E37" s="229"/>
      <c r="F37" s="226"/>
      <c r="G37" s="226"/>
      <c r="H37" s="226"/>
      <c r="I37" s="230"/>
      <c r="J37" s="226"/>
      <c r="K37" s="226"/>
      <c r="L37" s="236"/>
      <c r="M37" s="226"/>
      <c r="N37" s="226"/>
      <c r="O37" s="226"/>
      <c r="P37" s="236"/>
      <c r="Q37" s="273"/>
      <c r="R37" s="236"/>
      <c r="S37" s="236"/>
      <c r="T37" s="1064"/>
      <c r="U37" s="238"/>
      <c r="V37" s="229"/>
      <c r="W37" s="226"/>
      <c r="X37" s="1064"/>
      <c r="Y37" s="1064"/>
      <c r="Z37" s="1064"/>
      <c r="AA37" s="1064"/>
      <c r="AB37" s="1064"/>
    </row>
    <row r="38" spans="1:28" ht="0.75" customHeight="1">
      <c r="A38" s="239"/>
      <c r="B38" s="271"/>
      <c r="C38" s="226"/>
      <c r="D38" s="228"/>
      <c r="E38" s="229"/>
      <c r="F38" s="226"/>
      <c r="G38" s="226"/>
      <c r="H38" s="226"/>
      <c r="I38" s="230"/>
      <c r="J38" s="226"/>
      <c r="K38" s="226"/>
      <c r="L38" s="236"/>
      <c r="M38" s="226"/>
      <c r="N38" s="226"/>
      <c r="O38" s="226"/>
      <c r="P38" s="236"/>
      <c r="Q38" s="273"/>
      <c r="R38" s="236"/>
      <c r="S38" s="236"/>
      <c r="T38" s="1064"/>
      <c r="U38" s="238"/>
      <c r="V38" s="229"/>
      <c r="W38" s="226"/>
      <c r="X38" s="1064"/>
      <c r="Y38" s="1064"/>
      <c r="Z38" s="1064"/>
      <c r="AA38" s="1064"/>
      <c r="AB38" s="1064"/>
    </row>
    <row r="39" spans="1:28" ht="0.75" customHeight="1">
      <c r="A39" s="239"/>
      <c r="B39" s="271"/>
      <c r="C39" s="226"/>
      <c r="D39" s="228"/>
      <c r="E39" s="229"/>
      <c r="F39" s="226"/>
      <c r="G39" s="226"/>
      <c r="H39" s="226"/>
      <c r="I39" s="230"/>
      <c r="J39" s="226"/>
      <c r="K39" s="226"/>
      <c r="L39" s="236"/>
      <c r="M39" s="226"/>
      <c r="N39" s="226"/>
      <c r="O39" s="226"/>
      <c r="P39" s="236"/>
      <c r="Q39" s="273"/>
      <c r="R39" s="236"/>
      <c r="S39" s="236"/>
      <c r="T39" s="1064"/>
      <c r="U39" s="238"/>
      <c r="V39" s="229"/>
      <c r="W39" s="226"/>
      <c r="X39" s="1064"/>
      <c r="Y39" s="1064"/>
      <c r="Z39" s="1064"/>
      <c r="AA39" s="1064"/>
      <c r="AB39" s="1064"/>
    </row>
    <row r="40" spans="1:28" ht="15" customHeight="1">
      <c r="A40" s="239"/>
      <c r="B40" s="271"/>
      <c r="C40" s="226">
        <f t="shared" ref="C40:C45" si="3">D40*E40</f>
        <v>0</v>
      </c>
      <c r="D40" s="228"/>
      <c r="E40" s="229"/>
      <c r="F40" s="226">
        <f t="shared" ref="F40:F45" si="4">D40*E40</f>
        <v>0</v>
      </c>
      <c r="G40" s="226"/>
      <c r="H40" s="226"/>
      <c r="I40" s="230"/>
      <c r="J40" s="226"/>
      <c r="K40" s="226"/>
      <c r="L40" s="236"/>
      <c r="M40" s="226"/>
      <c r="N40" s="226"/>
      <c r="O40" s="226"/>
      <c r="P40" s="226"/>
      <c r="Q40" s="273"/>
      <c r="R40" s="236"/>
      <c r="S40" s="236"/>
      <c r="T40" s="1064"/>
      <c r="U40" s="238"/>
      <c r="V40" s="229"/>
      <c r="W40" s="226">
        <f t="shared" ref="W40:W45" si="5">U40*V40</f>
        <v>0</v>
      </c>
      <c r="X40" s="1064"/>
      <c r="Y40" s="1064"/>
      <c r="Z40" s="1064"/>
      <c r="AA40" s="1064"/>
      <c r="AB40" s="1064"/>
    </row>
    <row r="41" spans="1:28">
      <c r="A41" s="239"/>
      <c r="B41" s="271"/>
      <c r="C41" s="226">
        <f t="shared" si="3"/>
        <v>0</v>
      </c>
      <c r="D41" s="228"/>
      <c r="E41" s="229"/>
      <c r="F41" s="226">
        <f t="shared" si="4"/>
        <v>0</v>
      </c>
      <c r="G41" s="226"/>
      <c r="H41" s="226"/>
      <c r="I41" s="230"/>
      <c r="J41" s="226"/>
      <c r="K41" s="226"/>
      <c r="L41" s="236"/>
      <c r="M41" s="226"/>
      <c r="N41" s="226"/>
      <c r="O41" s="226"/>
      <c r="P41" s="226"/>
      <c r="Q41" s="273"/>
      <c r="R41" s="236"/>
      <c r="S41" s="236"/>
      <c r="T41" s="1064"/>
      <c r="U41" s="238"/>
      <c r="V41" s="229"/>
      <c r="W41" s="226">
        <f t="shared" si="5"/>
        <v>0</v>
      </c>
      <c r="X41" s="1064"/>
      <c r="Y41" s="1064"/>
      <c r="Z41" s="1064"/>
      <c r="AA41" s="1064"/>
      <c r="AB41" s="1064"/>
    </row>
    <row r="42" spans="1:28">
      <c r="A42" s="239"/>
      <c r="B42" s="271"/>
      <c r="C42" s="226">
        <f t="shared" si="3"/>
        <v>0</v>
      </c>
      <c r="D42" s="228"/>
      <c r="E42" s="229"/>
      <c r="F42" s="226">
        <f t="shared" si="4"/>
        <v>0</v>
      </c>
      <c r="G42" s="226"/>
      <c r="H42" s="226"/>
      <c r="I42" s="230"/>
      <c r="J42" s="226"/>
      <c r="K42" s="226"/>
      <c r="L42" s="236"/>
      <c r="M42" s="226"/>
      <c r="N42" s="226"/>
      <c r="O42" s="226"/>
      <c r="P42" s="226"/>
      <c r="Q42" s="273"/>
      <c r="R42" s="236"/>
      <c r="S42" s="236"/>
      <c r="T42" s="1064"/>
      <c r="U42" s="238"/>
      <c r="V42" s="229"/>
      <c r="W42" s="226">
        <f t="shared" si="5"/>
        <v>0</v>
      </c>
      <c r="X42" s="1064"/>
      <c r="Y42" s="1064"/>
      <c r="Z42" s="1064"/>
      <c r="AA42" s="1064"/>
      <c r="AB42" s="1064"/>
    </row>
    <row r="43" spans="1:28">
      <c r="A43" s="239"/>
      <c r="B43" s="271"/>
      <c r="C43" s="226">
        <f t="shared" si="3"/>
        <v>0</v>
      </c>
      <c r="D43" s="228"/>
      <c r="E43" s="229"/>
      <c r="F43" s="226">
        <f t="shared" si="4"/>
        <v>0</v>
      </c>
      <c r="G43" s="226"/>
      <c r="H43" s="226"/>
      <c r="I43" s="230"/>
      <c r="J43" s="226"/>
      <c r="K43" s="226"/>
      <c r="L43" s="236"/>
      <c r="M43" s="226"/>
      <c r="N43" s="226"/>
      <c r="O43" s="226"/>
      <c r="P43" s="226"/>
      <c r="Q43" s="273"/>
      <c r="R43" s="236"/>
      <c r="S43" s="236"/>
      <c r="T43" s="1064"/>
      <c r="U43" s="238"/>
      <c r="V43" s="229"/>
      <c r="W43" s="226">
        <f t="shared" si="5"/>
        <v>0</v>
      </c>
      <c r="X43" s="1064"/>
      <c r="Y43" s="1064"/>
      <c r="Z43" s="1064"/>
      <c r="AA43" s="1064"/>
      <c r="AB43" s="1064"/>
    </row>
    <row r="44" spans="1:28">
      <c r="A44" s="239"/>
      <c r="B44" s="271"/>
      <c r="C44" s="226">
        <f t="shared" si="3"/>
        <v>0</v>
      </c>
      <c r="D44" s="228"/>
      <c r="E44" s="229"/>
      <c r="F44" s="226">
        <f t="shared" si="4"/>
        <v>0</v>
      </c>
      <c r="G44" s="226"/>
      <c r="H44" s="226"/>
      <c r="I44" s="230"/>
      <c r="J44" s="226"/>
      <c r="K44" s="226"/>
      <c r="L44" s="236"/>
      <c r="M44" s="226"/>
      <c r="N44" s="226"/>
      <c r="O44" s="226"/>
      <c r="P44" s="236"/>
      <c r="Q44" s="226"/>
      <c r="R44" s="236"/>
      <c r="S44" s="236"/>
      <c r="T44" s="1064"/>
      <c r="U44" s="238"/>
      <c r="V44" s="229"/>
      <c r="W44" s="226">
        <f t="shared" si="5"/>
        <v>0</v>
      </c>
      <c r="X44" s="1064"/>
      <c r="Y44" s="1064"/>
      <c r="Z44" s="1064"/>
      <c r="AA44" s="1064"/>
      <c r="AB44" s="1064"/>
    </row>
    <row r="45" spans="1:28">
      <c r="A45" s="239"/>
      <c r="B45" s="271"/>
      <c r="C45" s="226">
        <f t="shared" si="3"/>
        <v>0</v>
      </c>
      <c r="D45" s="228"/>
      <c r="E45" s="229"/>
      <c r="F45" s="226">
        <f t="shared" si="4"/>
        <v>0</v>
      </c>
      <c r="G45" s="226"/>
      <c r="H45" s="226"/>
      <c r="I45" s="230"/>
      <c r="J45" s="226"/>
      <c r="K45" s="226"/>
      <c r="L45" s="236"/>
      <c r="M45" s="226"/>
      <c r="N45" s="226"/>
      <c r="O45" s="226"/>
      <c r="P45" s="236"/>
      <c r="Q45" s="226"/>
      <c r="R45" s="236"/>
      <c r="S45" s="236"/>
      <c r="T45" s="1064"/>
      <c r="U45" s="238"/>
      <c r="V45" s="229"/>
      <c r="W45" s="226">
        <f t="shared" si="5"/>
        <v>0</v>
      </c>
      <c r="X45" s="1064"/>
      <c r="Y45" s="1064"/>
      <c r="Z45" s="1064"/>
      <c r="AA45" s="1064"/>
      <c r="AB45" s="1064"/>
    </row>
    <row r="46" spans="1:28">
      <c r="A46" s="239"/>
      <c r="B46" s="271"/>
      <c r="C46" s="226"/>
      <c r="D46" s="228"/>
      <c r="E46" s="229"/>
      <c r="F46" s="226"/>
      <c r="G46" s="226"/>
      <c r="H46" s="226"/>
      <c r="I46" s="230"/>
      <c r="J46" s="226"/>
      <c r="K46" s="226"/>
      <c r="L46" s="236"/>
      <c r="M46" s="226"/>
      <c r="N46" s="226"/>
      <c r="O46" s="226"/>
      <c r="P46" s="236"/>
      <c r="Q46" s="226"/>
      <c r="R46" s="236"/>
      <c r="S46" s="236"/>
      <c r="T46" s="1064"/>
      <c r="U46" s="238"/>
      <c r="V46" s="229"/>
      <c r="W46" s="226"/>
      <c r="X46" s="1064"/>
      <c r="Y46" s="1064"/>
      <c r="Z46" s="1064"/>
      <c r="AA46" s="1064"/>
      <c r="AB46" s="1064"/>
    </row>
    <row r="47" spans="1:28">
      <c r="A47" s="239"/>
      <c r="B47" s="271"/>
      <c r="C47" s="226"/>
      <c r="D47" s="228"/>
      <c r="E47" s="229"/>
      <c r="F47" s="226"/>
      <c r="G47" s="226"/>
      <c r="H47" s="226"/>
      <c r="I47" s="230"/>
      <c r="J47" s="226"/>
      <c r="K47" s="226"/>
      <c r="L47" s="236"/>
      <c r="M47" s="226"/>
      <c r="N47" s="226"/>
      <c r="O47" s="226"/>
      <c r="P47" s="236"/>
      <c r="Q47" s="226"/>
      <c r="R47" s="236"/>
      <c r="S47" s="236"/>
      <c r="T47" s="1064"/>
      <c r="U47" s="238"/>
      <c r="V47" s="229"/>
      <c r="W47" s="226"/>
      <c r="X47" s="1064"/>
      <c r="Y47" s="1064"/>
      <c r="Z47" s="1064"/>
      <c r="AA47" s="1064"/>
      <c r="AB47" s="1064"/>
    </row>
    <row r="48" spans="1:28">
      <c r="A48" s="239"/>
      <c r="B48" s="271"/>
      <c r="C48" s="226"/>
      <c r="D48" s="228"/>
      <c r="E48" s="229"/>
      <c r="F48" s="226"/>
      <c r="G48" s="226"/>
      <c r="H48" s="226"/>
      <c r="I48" s="230"/>
      <c r="J48" s="226"/>
      <c r="K48" s="226"/>
      <c r="L48" s="236"/>
      <c r="M48" s="226"/>
      <c r="N48" s="226"/>
      <c r="O48" s="226"/>
      <c r="P48" s="236"/>
      <c r="Q48" s="226"/>
      <c r="R48" s="236"/>
      <c r="S48" s="236"/>
      <c r="T48" s="1064"/>
      <c r="U48" s="238"/>
      <c r="V48" s="229"/>
      <c r="W48" s="226"/>
      <c r="X48" s="1064"/>
      <c r="Y48" s="1064"/>
      <c r="Z48" s="1064"/>
      <c r="AA48" s="1064"/>
      <c r="AB48" s="1064"/>
    </row>
    <row r="49" spans="1:28">
      <c r="A49" s="239"/>
      <c r="B49" s="271"/>
      <c r="C49" s="226">
        <f t="shared" ref="C49:C56" si="6">D49*E49</f>
        <v>0</v>
      </c>
      <c r="D49" s="228"/>
      <c r="E49" s="229"/>
      <c r="F49" s="226">
        <f t="shared" ref="F49:F56" si="7">D49*E49</f>
        <v>0</v>
      </c>
      <c r="G49" s="226"/>
      <c r="H49" s="226"/>
      <c r="I49" s="230"/>
      <c r="J49" s="226"/>
      <c r="K49" s="226"/>
      <c r="L49" s="236"/>
      <c r="M49" s="226"/>
      <c r="N49" s="226"/>
      <c r="O49" s="226"/>
      <c r="P49" s="236"/>
      <c r="Q49" s="226"/>
      <c r="R49" s="236"/>
      <c r="S49" s="236"/>
      <c r="T49" s="1064"/>
      <c r="U49" s="238"/>
      <c r="V49" s="229"/>
      <c r="W49" s="226">
        <f t="shared" ref="W49:W56" si="8">U49*V49</f>
        <v>0</v>
      </c>
      <c r="X49" s="1064"/>
      <c r="Y49" s="1064"/>
      <c r="Z49" s="1064"/>
      <c r="AA49" s="1064"/>
      <c r="AB49" s="1064"/>
    </row>
    <row r="50" spans="1:28">
      <c r="A50" s="239"/>
      <c r="B50" s="271"/>
      <c r="C50" s="226">
        <f t="shared" si="6"/>
        <v>0</v>
      </c>
      <c r="D50" s="228"/>
      <c r="E50" s="239"/>
      <c r="F50" s="226">
        <f t="shared" si="7"/>
        <v>0</v>
      </c>
      <c r="G50" s="226"/>
      <c r="H50" s="226"/>
      <c r="I50" s="230"/>
      <c r="J50" s="226"/>
      <c r="K50" s="226"/>
      <c r="L50" s="236"/>
      <c r="M50" s="226"/>
      <c r="N50" s="226"/>
      <c r="O50" s="226"/>
      <c r="P50" s="236"/>
      <c r="Q50" s="226"/>
      <c r="R50" s="236"/>
      <c r="S50" s="236"/>
      <c r="T50" s="1064"/>
      <c r="U50" s="238"/>
      <c r="V50" s="239"/>
      <c r="W50" s="226">
        <f t="shared" si="8"/>
        <v>0</v>
      </c>
      <c r="X50" s="1064"/>
      <c r="Y50" s="1064"/>
      <c r="Z50" s="1064"/>
      <c r="AA50" s="1064"/>
      <c r="AB50" s="1064"/>
    </row>
    <row r="51" spans="1:28">
      <c r="A51" s="239"/>
      <c r="B51" s="271"/>
      <c r="C51" s="226">
        <f t="shared" si="6"/>
        <v>0</v>
      </c>
      <c r="D51" s="228"/>
      <c r="E51" s="239"/>
      <c r="F51" s="226">
        <f t="shared" si="7"/>
        <v>0</v>
      </c>
      <c r="G51" s="226"/>
      <c r="H51" s="226"/>
      <c r="I51" s="230"/>
      <c r="J51" s="226"/>
      <c r="K51" s="226"/>
      <c r="L51" s="236"/>
      <c r="M51" s="226"/>
      <c r="N51" s="226"/>
      <c r="O51" s="226"/>
      <c r="P51" s="236"/>
      <c r="Q51" s="226"/>
      <c r="R51" s="236"/>
      <c r="S51" s="236"/>
      <c r="T51" s="1064"/>
      <c r="U51" s="238"/>
      <c r="V51" s="239"/>
      <c r="W51" s="226">
        <f t="shared" si="8"/>
        <v>0</v>
      </c>
      <c r="X51" s="1064"/>
      <c r="Y51" s="1064"/>
      <c r="Z51" s="1064"/>
      <c r="AA51" s="1064"/>
      <c r="AB51" s="1064"/>
    </row>
    <row r="52" spans="1:28">
      <c r="A52" s="239"/>
      <c r="B52" s="271"/>
      <c r="C52" s="226">
        <f t="shared" si="6"/>
        <v>0</v>
      </c>
      <c r="D52" s="228"/>
      <c r="E52" s="239"/>
      <c r="F52" s="226">
        <f t="shared" si="7"/>
        <v>0</v>
      </c>
      <c r="G52" s="226"/>
      <c r="H52" s="226"/>
      <c r="I52" s="230"/>
      <c r="J52" s="226"/>
      <c r="K52" s="226"/>
      <c r="L52" s="236"/>
      <c r="M52" s="226"/>
      <c r="N52" s="226"/>
      <c r="O52" s="226"/>
      <c r="P52" s="236"/>
      <c r="Q52" s="226"/>
      <c r="R52" s="236"/>
      <c r="S52" s="236"/>
      <c r="T52" s="1064"/>
      <c r="U52" s="238"/>
      <c r="V52" s="239"/>
      <c r="W52" s="226">
        <f t="shared" si="8"/>
        <v>0</v>
      </c>
      <c r="X52" s="1064"/>
      <c r="Y52" s="1064"/>
      <c r="Z52" s="1064"/>
      <c r="AA52" s="1064"/>
      <c r="AB52" s="1064"/>
    </row>
    <row r="53" spans="1:28">
      <c r="A53" s="239"/>
      <c r="B53" s="271"/>
      <c r="C53" s="226">
        <f t="shared" si="6"/>
        <v>0</v>
      </c>
      <c r="D53" s="228"/>
      <c r="E53" s="239"/>
      <c r="F53" s="226">
        <f t="shared" si="7"/>
        <v>0</v>
      </c>
      <c r="G53" s="226"/>
      <c r="H53" s="226"/>
      <c r="I53" s="230"/>
      <c r="J53" s="226"/>
      <c r="K53" s="226"/>
      <c r="L53" s="236"/>
      <c r="M53" s="226"/>
      <c r="N53" s="226"/>
      <c r="O53" s="226"/>
      <c r="P53" s="236"/>
      <c r="Q53" s="226"/>
      <c r="R53" s="236"/>
      <c r="S53" s="236"/>
      <c r="T53" s="1064"/>
      <c r="U53" s="238"/>
      <c r="V53" s="239"/>
      <c r="W53" s="226">
        <f t="shared" si="8"/>
        <v>0</v>
      </c>
      <c r="X53" s="1064"/>
      <c r="Y53" s="1064"/>
      <c r="Z53" s="1064"/>
      <c r="AA53" s="1064"/>
      <c r="AB53" s="1064"/>
    </row>
    <row r="54" spans="1:28">
      <c r="A54" s="239"/>
      <c r="B54" s="271"/>
      <c r="C54" s="226">
        <f t="shared" si="6"/>
        <v>0</v>
      </c>
      <c r="D54" s="228"/>
      <c r="E54" s="239"/>
      <c r="F54" s="226">
        <f t="shared" si="7"/>
        <v>0</v>
      </c>
      <c r="G54" s="226"/>
      <c r="H54" s="226"/>
      <c r="I54" s="230"/>
      <c r="J54" s="226"/>
      <c r="K54" s="226"/>
      <c r="L54" s="236"/>
      <c r="M54" s="226"/>
      <c r="N54" s="226"/>
      <c r="O54" s="226"/>
      <c r="P54" s="236"/>
      <c r="Q54" s="226"/>
      <c r="R54" s="236"/>
      <c r="S54" s="236"/>
      <c r="T54" s="1064"/>
      <c r="U54" s="238"/>
      <c r="V54" s="239"/>
      <c r="W54" s="226">
        <f t="shared" si="8"/>
        <v>0</v>
      </c>
      <c r="X54" s="1064"/>
      <c r="Y54" s="1064"/>
      <c r="Z54" s="1064"/>
      <c r="AA54" s="1064"/>
      <c r="AB54" s="1064"/>
    </row>
    <row r="55" spans="1:28">
      <c r="A55" s="239"/>
      <c r="B55" s="271"/>
      <c r="C55" s="226">
        <f t="shared" si="6"/>
        <v>0</v>
      </c>
      <c r="D55" s="228"/>
      <c r="E55" s="239"/>
      <c r="F55" s="226">
        <f t="shared" si="7"/>
        <v>0</v>
      </c>
      <c r="G55" s="226"/>
      <c r="H55" s="226"/>
      <c r="I55" s="230"/>
      <c r="J55" s="226"/>
      <c r="K55" s="226"/>
      <c r="L55" s="236"/>
      <c r="M55" s="226"/>
      <c r="N55" s="226"/>
      <c r="O55" s="226"/>
      <c r="P55" s="236"/>
      <c r="Q55" s="226"/>
      <c r="R55" s="236"/>
      <c r="S55" s="236"/>
      <c r="T55" s="1064"/>
      <c r="U55" s="238"/>
      <c r="V55" s="239"/>
      <c r="W55" s="226">
        <f t="shared" si="8"/>
        <v>0</v>
      </c>
      <c r="X55" s="1064"/>
      <c r="Y55" s="1064"/>
      <c r="Z55" s="1064"/>
      <c r="AA55" s="1064"/>
      <c r="AB55" s="1064"/>
    </row>
    <row r="56" spans="1:28">
      <c r="A56" s="239"/>
      <c r="B56" s="271"/>
      <c r="C56" s="226">
        <f t="shared" si="6"/>
        <v>0</v>
      </c>
      <c r="D56" s="228"/>
      <c r="E56" s="229"/>
      <c r="F56" s="226">
        <f t="shared" si="7"/>
        <v>0</v>
      </c>
      <c r="G56" s="226"/>
      <c r="H56" s="226"/>
      <c r="I56" s="226"/>
      <c r="J56" s="226"/>
      <c r="K56" s="226"/>
      <c r="L56" s="236"/>
      <c r="M56" s="226"/>
      <c r="N56" s="226"/>
      <c r="O56" s="226"/>
      <c r="P56" s="236"/>
      <c r="Q56" s="226"/>
      <c r="R56" s="236"/>
      <c r="S56" s="236"/>
      <c r="T56" s="1064"/>
      <c r="U56" s="238"/>
      <c r="V56" s="229"/>
      <c r="W56" s="226">
        <f t="shared" si="8"/>
        <v>0</v>
      </c>
      <c r="X56" s="1064"/>
      <c r="Y56" s="1064"/>
      <c r="Z56" s="1064"/>
      <c r="AA56" s="1064"/>
      <c r="AB56" s="1064"/>
    </row>
    <row r="57" spans="1:28">
      <c r="A57" s="274"/>
      <c r="B57" s="275" t="s">
        <v>17</v>
      </c>
      <c r="C57" s="892">
        <f t="shared" ref="C57:AB57" si="9">SUM(C15:C56)</f>
        <v>588000</v>
      </c>
      <c r="D57" s="892">
        <f t="shared" si="9"/>
        <v>588000</v>
      </c>
      <c r="E57" s="892">
        <f t="shared" si="9"/>
        <v>3</v>
      </c>
      <c r="F57" s="892">
        <f t="shared" si="9"/>
        <v>588000</v>
      </c>
      <c r="G57" s="892">
        <f t="shared" si="9"/>
        <v>324000</v>
      </c>
      <c r="H57" s="892">
        <f t="shared" si="9"/>
        <v>0</v>
      </c>
      <c r="I57" s="892">
        <f t="shared" si="9"/>
        <v>588000</v>
      </c>
      <c r="J57" s="892">
        <f t="shared" si="9"/>
        <v>0</v>
      </c>
      <c r="K57" s="892">
        <f t="shared" si="9"/>
        <v>0</v>
      </c>
      <c r="L57" s="892">
        <f t="shared" si="9"/>
        <v>588000</v>
      </c>
      <c r="M57" s="892">
        <f t="shared" si="9"/>
        <v>0</v>
      </c>
      <c r="N57" s="892">
        <f t="shared" si="9"/>
        <v>297360</v>
      </c>
      <c r="O57" s="892">
        <f t="shared" si="9"/>
        <v>2</v>
      </c>
      <c r="P57" s="892">
        <f t="shared" si="9"/>
        <v>588000</v>
      </c>
      <c r="Q57" s="892">
        <f t="shared" si="9"/>
        <v>0</v>
      </c>
      <c r="R57" s="892">
        <f t="shared" si="9"/>
        <v>216000</v>
      </c>
      <c r="S57" s="892">
        <f t="shared" si="9"/>
        <v>372000</v>
      </c>
      <c r="T57" s="893">
        <f>W57-L57</f>
        <v>0</v>
      </c>
      <c r="U57" s="892">
        <f t="shared" si="9"/>
        <v>588000</v>
      </c>
      <c r="V57" s="892">
        <f t="shared" si="9"/>
        <v>3</v>
      </c>
      <c r="W57" s="892">
        <f t="shared" si="9"/>
        <v>588000</v>
      </c>
      <c r="X57" s="892">
        <f t="shared" si="9"/>
        <v>540000</v>
      </c>
      <c r="Y57" s="892">
        <f t="shared" si="9"/>
        <v>297360</v>
      </c>
      <c r="Z57" s="892">
        <f t="shared" si="9"/>
        <v>468000</v>
      </c>
      <c r="AA57" s="892">
        <f t="shared" si="9"/>
        <v>0</v>
      </c>
      <c r="AB57" s="892">
        <f t="shared" si="9"/>
        <v>588000</v>
      </c>
    </row>
    <row r="58" spans="1:28">
      <c r="A58" s="1120"/>
      <c r="B58" s="1121"/>
      <c r="C58" s="268"/>
      <c r="D58" s="268"/>
      <c r="E58" s="268"/>
      <c r="F58" s="1122"/>
      <c r="G58" s="1122"/>
      <c r="H58" s="1122"/>
      <c r="I58" s="1122"/>
      <c r="J58" s="1122"/>
      <c r="K58" s="1122"/>
      <c r="L58" s="1122"/>
      <c r="M58" s="1122"/>
      <c r="N58" s="1122"/>
      <c r="O58" s="268"/>
      <c r="P58" s="1122"/>
      <c r="Q58" s="268"/>
      <c r="R58" s="268"/>
      <c r="S58" s="1123"/>
      <c r="T58" s="1123"/>
      <c r="U58" s="268"/>
      <c r="V58" s="268"/>
      <c r="W58" s="1122"/>
      <c r="X58" s="1123"/>
      <c r="Y58" s="1123"/>
      <c r="Z58" s="1123"/>
      <c r="AA58" s="1123"/>
      <c r="AB58" s="1123"/>
    </row>
    <row r="59" spans="1:28">
      <c r="A59" s="1120"/>
      <c r="B59" s="1121"/>
      <c r="C59" s="268"/>
      <c r="D59" s="268"/>
      <c r="E59" s="268"/>
      <c r="F59" s="1122"/>
      <c r="G59" s="1122"/>
      <c r="H59" s="1122"/>
      <c r="I59" s="1122"/>
      <c r="J59" s="1122"/>
      <c r="K59" s="1122"/>
      <c r="L59" s="1122"/>
      <c r="M59" s="1122"/>
      <c r="N59" s="1122"/>
      <c r="O59" s="268"/>
      <c r="P59" s="1122"/>
      <c r="Q59" s="268"/>
      <c r="R59" s="268"/>
      <c r="S59" s="1123"/>
      <c r="T59" s="1123"/>
      <c r="U59" s="268"/>
      <c r="V59" s="268"/>
      <c r="W59" s="1122"/>
      <c r="X59" s="1123"/>
      <c r="Y59" s="1123"/>
      <c r="Z59" s="1123"/>
      <c r="AA59" s="1123"/>
      <c r="AB59" s="1123"/>
    </row>
    <row r="60" spans="1:28">
      <c r="A60" s="268"/>
      <c r="B60" s="268"/>
      <c r="C60" s="268"/>
      <c r="D60" s="268"/>
      <c r="E60" s="268"/>
      <c r="F60" s="1122"/>
      <c r="G60" s="268"/>
      <c r="H60" s="268"/>
      <c r="I60" s="268"/>
      <c r="J60" s="268"/>
      <c r="K60" s="268"/>
      <c r="L60" s="268"/>
      <c r="M60" s="268"/>
      <c r="N60" s="268"/>
      <c r="O60" s="268"/>
      <c r="P60" s="268">
        <v>468000</v>
      </c>
      <c r="Q60" s="1123">
        <v>216000</v>
      </c>
      <c r="R60" s="268"/>
      <c r="S60" s="1123"/>
      <c r="T60" s="1123"/>
      <c r="U60" s="268"/>
      <c r="V60" s="268"/>
      <c r="W60" s="1122"/>
      <c r="X60" s="1123"/>
      <c r="Y60" s="1123"/>
      <c r="Z60" s="1123"/>
      <c r="AA60" s="1123"/>
      <c r="AB60" s="1123"/>
    </row>
    <row r="61" spans="1:28">
      <c r="A61" s="268"/>
      <c r="B61" s="268"/>
      <c r="C61" s="268"/>
      <c r="D61" s="268"/>
      <c r="E61" s="268"/>
      <c r="F61" s="1122"/>
      <c r="G61" s="268"/>
      <c r="H61" s="268"/>
      <c r="I61" s="268"/>
      <c r="J61" s="268"/>
      <c r="K61" s="268"/>
      <c r="L61" s="268"/>
      <c r="M61" s="268"/>
      <c r="N61" s="268"/>
      <c r="O61" s="268"/>
      <c r="P61" s="268"/>
      <c r="Q61" s="1123"/>
      <c r="R61" s="268"/>
      <c r="S61" s="1123"/>
      <c r="T61" s="1123"/>
      <c r="U61" s="268"/>
      <c r="V61" s="268"/>
      <c r="W61" s="1122"/>
      <c r="X61" s="1123"/>
      <c r="Y61" s="1123"/>
      <c r="Z61" s="1123"/>
      <c r="AA61" s="1123"/>
      <c r="AB61" s="1123"/>
    </row>
    <row r="62" spans="1:28">
      <c r="R62" s="247"/>
    </row>
    <row r="63" spans="1:28">
      <c r="A63" s="247" t="s">
        <v>59</v>
      </c>
      <c r="F63" s="279"/>
      <c r="W63" s="279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33" type="noConversion"/>
  <conditionalFormatting sqref="U8:W9 X8:AB12">
    <cfRule type="cellIs" dxfId="27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1"/>
  <dimension ref="A1:AE63"/>
  <sheetViews>
    <sheetView showGridLines="0" showZeros="0" topLeftCell="K1" zoomScaleNormal="100" workbookViewId="0">
      <selection activeCell="Z16" sqref="Z16:Z19"/>
    </sheetView>
  </sheetViews>
  <sheetFormatPr baseColWidth="10" defaultRowHeight="12.75"/>
  <cols>
    <col min="1" max="1" width="10.25" style="247" customWidth="1"/>
    <col min="2" max="2" width="35.375" style="247" customWidth="1"/>
    <col min="3" max="3" width="10.125" style="247" customWidth="1"/>
    <col min="4" max="4" width="10.375" style="247" customWidth="1"/>
    <col min="5" max="5" width="4.875" style="247" customWidth="1"/>
    <col min="6" max="9" width="10.25" style="247" customWidth="1"/>
    <col min="10" max="10" width="12" style="247" customWidth="1"/>
    <col min="11" max="11" width="10.25" style="247" customWidth="1"/>
    <col min="12" max="12" width="9" style="247" customWidth="1"/>
    <col min="13" max="13" width="9.75" style="247" customWidth="1"/>
    <col min="14" max="14" width="8.75" style="247" customWidth="1"/>
    <col min="15" max="15" width="6.5" style="247" customWidth="1"/>
    <col min="16" max="16" width="11" style="247"/>
    <col min="17" max="17" width="5.875" style="231" customWidth="1"/>
    <col min="18" max="19" width="11" style="231"/>
    <col min="20" max="20" width="10.875" style="231" customWidth="1"/>
    <col min="21" max="21" width="9" style="247" customWidth="1"/>
    <col min="22" max="22" width="4.875" style="247" customWidth="1"/>
    <col min="23" max="23" width="10.25" style="247" customWidth="1"/>
    <col min="24" max="28" width="10.875" style="231" customWidth="1"/>
    <col min="29" max="31" width="11" style="231"/>
    <col min="32" max="16384" width="11" style="232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11" t="s">
        <v>49</v>
      </c>
      <c r="B2" s="243" t="s">
        <v>188</v>
      </c>
      <c r="C2" s="243"/>
      <c r="D2" s="243"/>
      <c r="E2" s="243"/>
      <c r="F2" s="243"/>
      <c r="G2" s="243"/>
      <c r="H2" s="246"/>
      <c r="I2" s="246"/>
      <c r="J2" s="1012"/>
      <c r="K2" s="1012"/>
      <c r="Q2" s="247"/>
      <c r="R2" s="247"/>
    </row>
    <row r="3" spans="1:31">
      <c r="A3" s="1013" t="s">
        <v>60</v>
      </c>
      <c r="B3" s="1013" t="s">
        <v>50</v>
      </c>
      <c r="C3" s="243" t="s">
        <v>66</v>
      </c>
      <c r="D3" s="243" t="s">
        <v>52</v>
      </c>
      <c r="E3" s="243"/>
      <c r="F3" s="243" t="s">
        <v>84</v>
      </c>
      <c r="G3" s="243" t="s">
        <v>186</v>
      </c>
      <c r="H3" s="1014"/>
      <c r="I3" s="1014"/>
      <c r="J3" s="1014"/>
      <c r="K3" s="1014"/>
      <c r="L3" s="249"/>
      <c r="M3" s="249"/>
      <c r="N3" s="249"/>
      <c r="O3" s="249"/>
      <c r="P3" s="249"/>
      <c r="Q3" s="249"/>
      <c r="R3" s="249"/>
      <c r="S3" s="250"/>
      <c r="T3" s="250"/>
      <c r="U3" s="248"/>
      <c r="V3" s="249"/>
      <c r="W3" s="249"/>
      <c r="X3" s="250"/>
      <c r="Y3" s="250"/>
      <c r="Z3" s="250"/>
      <c r="AA3" s="250"/>
      <c r="AB3" s="250"/>
    </row>
    <row r="4" spans="1:31">
      <c r="A4" s="1118" t="s">
        <v>61</v>
      </c>
      <c r="B4" s="246" t="s">
        <v>103</v>
      </c>
      <c r="C4" s="2144" t="s">
        <v>81</v>
      </c>
      <c r="D4" s="2144"/>
      <c r="E4" s="2144"/>
      <c r="F4" s="2145"/>
      <c r="G4" s="2145"/>
      <c r="H4" s="1011"/>
      <c r="I4" s="1011"/>
      <c r="J4" s="1011"/>
      <c r="K4" s="1011"/>
      <c r="L4" s="245"/>
      <c r="M4" s="245"/>
      <c r="N4" s="245"/>
      <c r="O4" s="249"/>
      <c r="P4" s="245"/>
      <c r="Q4" s="249"/>
      <c r="R4" s="249"/>
      <c r="S4" s="250"/>
      <c r="T4" s="250"/>
      <c r="U4" s="249"/>
      <c r="V4" s="249"/>
      <c r="W4" s="245"/>
      <c r="X4" s="250"/>
      <c r="Y4" s="250"/>
      <c r="Z4" s="250"/>
      <c r="AA4" s="250"/>
      <c r="AB4" s="250"/>
    </row>
    <row r="5" spans="1:31">
      <c r="A5" s="1016" t="s">
        <v>62</v>
      </c>
      <c r="B5" s="253">
        <v>201100482</v>
      </c>
      <c r="C5" s="1014"/>
      <c r="D5" s="1014"/>
      <c r="E5" s="1014"/>
      <c r="F5" s="1011"/>
      <c r="G5" s="1011"/>
      <c r="H5" s="1012"/>
      <c r="I5" s="1012"/>
      <c r="J5" s="1011"/>
      <c r="K5" s="1017"/>
      <c r="L5" s="245"/>
      <c r="M5" s="245"/>
      <c r="N5" s="245"/>
      <c r="O5" s="249"/>
      <c r="P5" s="245"/>
      <c r="Q5" s="249"/>
      <c r="R5" s="249"/>
      <c r="S5" s="245"/>
      <c r="T5" s="250"/>
      <c r="U5" s="249"/>
      <c r="V5" s="249"/>
      <c r="W5" s="245"/>
      <c r="X5" s="250"/>
      <c r="Y5" s="250"/>
      <c r="Z5" s="250"/>
      <c r="AA5" s="250"/>
      <c r="AB5" s="250"/>
    </row>
    <row r="6" spans="1:31" ht="15.75">
      <c r="A6" s="1016" t="s">
        <v>51</v>
      </c>
      <c r="B6" s="244" t="s">
        <v>189</v>
      </c>
      <c r="C6" s="1014"/>
      <c r="D6" s="2426"/>
      <c r="E6" s="2426"/>
      <c r="F6" s="1011"/>
      <c r="G6" s="1011"/>
      <c r="H6" s="1018"/>
      <c r="I6" s="1019"/>
      <c r="J6" s="1020"/>
      <c r="K6" s="1015"/>
      <c r="L6" s="251"/>
      <c r="M6" s="250"/>
      <c r="N6" s="231"/>
      <c r="O6" s="231"/>
      <c r="P6" s="231"/>
      <c r="Q6" s="250"/>
      <c r="R6" s="249"/>
      <c r="S6" s="250"/>
      <c r="T6" s="250"/>
      <c r="U6" s="249"/>
      <c r="V6" s="249"/>
      <c r="W6" s="245"/>
      <c r="X6" s="250"/>
      <c r="Y6" s="250"/>
      <c r="Z6" s="250"/>
      <c r="AA6" s="250"/>
      <c r="AB6" s="250"/>
    </row>
    <row r="7" spans="1:31">
      <c r="A7" s="252"/>
      <c r="B7" s="257"/>
      <c r="C7" s="249"/>
      <c r="D7" s="249"/>
      <c r="E7" s="249"/>
      <c r="F7" s="245"/>
      <c r="G7" s="245"/>
      <c r="H7" s="254"/>
      <c r="I7" s="255"/>
      <c r="J7" s="256"/>
      <c r="K7" s="251"/>
      <c r="L7" s="251"/>
      <c r="M7" s="250"/>
      <c r="N7" s="231"/>
      <c r="O7" s="231"/>
      <c r="P7" s="231"/>
      <c r="Q7" s="250"/>
      <c r="R7" s="249"/>
      <c r="S7" s="250"/>
      <c r="T7" s="250"/>
      <c r="U7" s="249"/>
      <c r="V7" s="249"/>
      <c r="W7" s="245"/>
      <c r="X7" s="250"/>
      <c r="Y7" s="250"/>
      <c r="Z7" s="250"/>
      <c r="AA7" s="250"/>
      <c r="AB7" s="250"/>
    </row>
    <row r="8" spans="1:31" s="259" customFormat="1" ht="16.5">
      <c r="A8" s="1021" t="s">
        <v>0</v>
      </c>
      <c r="B8" s="1021" t="s">
        <v>1</v>
      </c>
      <c r="C8" s="1022" t="s">
        <v>2</v>
      </c>
      <c r="D8" s="1023" t="s">
        <v>3</v>
      </c>
      <c r="E8" s="1024"/>
      <c r="F8" s="1025"/>
      <c r="G8" s="1026" t="s">
        <v>4</v>
      </c>
      <c r="H8" s="1027"/>
      <c r="I8" s="1026" t="s">
        <v>5</v>
      </c>
      <c r="J8" s="1027"/>
      <c r="K8" s="1028" t="s">
        <v>6</v>
      </c>
      <c r="L8" s="1028"/>
      <c r="M8" s="1028"/>
      <c r="N8" s="1028"/>
      <c r="O8" s="1024" t="s">
        <v>7</v>
      </c>
      <c r="P8" s="1025"/>
      <c r="Q8" s="1024" t="s">
        <v>8</v>
      </c>
      <c r="R8" s="1025"/>
      <c r="S8" s="1029"/>
      <c r="T8" s="1030"/>
      <c r="U8" s="1031" t="s">
        <v>82</v>
      </c>
      <c r="V8" s="1032"/>
      <c r="W8" s="1033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27" t="s">
        <v>64</v>
      </c>
      <c r="AC8" s="258"/>
      <c r="AD8" s="258"/>
      <c r="AE8" s="258"/>
    </row>
    <row r="9" spans="1:31" s="259" customFormat="1" ht="8.25">
      <c r="A9" s="1034" t="s">
        <v>9</v>
      </c>
      <c r="B9" s="1035"/>
      <c r="C9" s="1036"/>
      <c r="D9" s="1037"/>
      <c r="E9" s="1038"/>
      <c r="F9" s="1039"/>
      <c r="G9" s="1040"/>
      <c r="H9" s="1041"/>
      <c r="I9" s="1040" t="s">
        <v>10</v>
      </c>
      <c r="J9" s="1040"/>
      <c r="K9" s="1042" t="s">
        <v>11</v>
      </c>
      <c r="L9" s="1042"/>
      <c r="M9" s="1042"/>
      <c r="N9" s="1042" t="s">
        <v>12</v>
      </c>
      <c r="O9" s="1038"/>
      <c r="P9" s="1039"/>
      <c r="Q9" s="1038"/>
      <c r="R9" s="1043"/>
      <c r="S9" s="1044" t="s">
        <v>13</v>
      </c>
      <c r="T9" s="1045" t="s">
        <v>14</v>
      </c>
      <c r="U9" s="1071"/>
      <c r="V9" s="1072"/>
      <c r="W9" s="1073"/>
      <c r="X9" s="2428"/>
      <c r="Y9" s="2428"/>
      <c r="Z9" s="2428"/>
      <c r="AA9" s="2428"/>
      <c r="AB9" s="2428"/>
      <c r="AC9" s="258"/>
      <c r="AD9" s="258"/>
      <c r="AE9" s="258"/>
    </row>
    <row r="10" spans="1:31" s="259" customFormat="1" ht="8.25">
      <c r="A10" s="1035"/>
      <c r="B10" s="1035"/>
      <c r="C10" s="1036"/>
      <c r="D10" s="1046" t="s">
        <v>15</v>
      </c>
      <c r="E10" s="1046" t="s">
        <v>16</v>
      </c>
      <c r="F10" s="1028" t="s">
        <v>17</v>
      </c>
      <c r="G10" s="1040"/>
      <c r="H10" s="1041"/>
      <c r="I10" s="1040"/>
      <c r="J10" s="1040"/>
      <c r="K10" s="1047" t="s">
        <v>18</v>
      </c>
      <c r="L10" s="1047" t="s">
        <v>17</v>
      </c>
      <c r="M10" s="1047" t="s">
        <v>19</v>
      </c>
      <c r="N10" s="1047" t="s">
        <v>20</v>
      </c>
      <c r="O10" s="1046" t="s">
        <v>16</v>
      </c>
      <c r="P10" s="1028" t="s">
        <v>17</v>
      </c>
      <c r="Q10" s="1046" t="s">
        <v>16</v>
      </c>
      <c r="R10" s="1028" t="s">
        <v>17</v>
      </c>
      <c r="S10" s="1044" t="s">
        <v>21</v>
      </c>
      <c r="T10" s="1045" t="s">
        <v>22</v>
      </c>
      <c r="U10" s="1046" t="s">
        <v>15</v>
      </c>
      <c r="V10" s="1046" t="s">
        <v>16</v>
      </c>
      <c r="W10" s="1028" t="s">
        <v>17</v>
      </c>
      <c r="X10" s="2428"/>
      <c r="Y10" s="2428"/>
      <c r="Z10" s="2428"/>
      <c r="AA10" s="2428"/>
      <c r="AB10" s="2428"/>
      <c r="AC10" s="258"/>
      <c r="AD10" s="258"/>
      <c r="AE10" s="258"/>
    </row>
    <row r="11" spans="1:31" s="259" customFormat="1" ht="8.25">
      <c r="A11" s="1035"/>
      <c r="B11" s="1035"/>
      <c r="C11" s="1036"/>
      <c r="D11" s="1044" t="s">
        <v>23</v>
      </c>
      <c r="E11" s="1044"/>
      <c r="F11" s="1042" t="s">
        <v>23</v>
      </c>
      <c r="G11" s="1028" t="s">
        <v>24</v>
      </c>
      <c r="H11" s="1028" t="s">
        <v>25</v>
      </c>
      <c r="I11" s="1028" t="s">
        <v>26</v>
      </c>
      <c r="J11" s="1028" t="s">
        <v>27</v>
      </c>
      <c r="K11" s="1042" t="s">
        <v>28</v>
      </c>
      <c r="L11" s="1042" t="s">
        <v>29</v>
      </c>
      <c r="M11" s="1042" t="s">
        <v>30</v>
      </c>
      <c r="N11" s="1042" t="s">
        <v>31</v>
      </c>
      <c r="O11" s="1044"/>
      <c r="P11" s="1042" t="s">
        <v>23</v>
      </c>
      <c r="Q11" s="1044"/>
      <c r="R11" s="1042" t="s">
        <v>23</v>
      </c>
      <c r="S11" s="1036"/>
      <c r="T11" s="1045" t="s">
        <v>32</v>
      </c>
      <c r="U11" s="1044" t="s">
        <v>23</v>
      </c>
      <c r="V11" s="1044"/>
      <c r="W11" s="1042" t="s">
        <v>23</v>
      </c>
      <c r="X11" s="2428"/>
      <c r="Y11" s="2428"/>
      <c r="Z11" s="2428"/>
      <c r="AA11" s="2428"/>
      <c r="AB11" s="2428"/>
      <c r="AC11" s="258"/>
      <c r="AD11" s="258"/>
      <c r="AE11" s="258"/>
    </row>
    <row r="12" spans="1:31">
      <c r="A12" s="1035"/>
      <c r="B12" s="1035"/>
      <c r="C12" s="1036"/>
      <c r="D12" s="1036"/>
      <c r="E12" s="1036"/>
      <c r="F12" s="1048"/>
      <c r="G12" s="1048"/>
      <c r="H12" s="1048"/>
      <c r="I12" s="1048"/>
      <c r="J12" s="1042" t="s">
        <v>33</v>
      </c>
      <c r="K12" s="1042" t="s">
        <v>34</v>
      </c>
      <c r="L12" s="1042"/>
      <c r="M12" s="1042"/>
      <c r="N12" s="1042"/>
      <c r="O12" s="1036"/>
      <c r="P12" s="1048"/>
      <c r="Q12" s="1036"/>
      <c r="R12" s="1048"/>
      <c r="S12" s="1049"/>
      <c r="T12" s="1050"/>
      <c r="U12" s="1036"/>
      <c r="V12" s="1036"/>
      <c r="W12" s="1048"/>
      <c r="X12" s="2428"/>
      <c r="Y12" s="2428"/>
      <c r="Z12" s="2428"/>
      <c r="AA12" s="2428"/>
      <c r="AB12" s="2428"/>
    </row>
    <row r="13" spans="1:31">
      <c r="A13" s="1051"/>
      <c r="B13" s="1051" t="s">
        <v>35</v>
      </c>
      <c r="C13" s="1052" t="s">
        <v>36</v>
      </c>
      <c r="D13" s="1052"/>
      <c r="E13" s="1052"/>
      <c r="F13" s="1053" t="s">
        <v>37</v>
      </c>
      <c r="G13" s="1053" t="s">
        <v>38</v>
      </c>
      <c r="H13" s="1053" t="s">
        <v>39</v>
      </c>
      <c r="I13" s="1053" t="s">
        <v>40</v>
      </c>
      <c r="J13" s="1053" t="s">
        <v>41</v>
      </c>
      <c r="K13" s="1053" t="s">
        <v>42</v>
      </c>
      <c r="L13" s="1053" t="s">
        <v>43</v>
      </c>
      <c r="M13" s="1053" t="s">
        <v>44</v>
      </c>
      <c r="N13" s="1053" t="s">
        <v>45</v>
      </c>
      <c r="O13" s="1052"/>
      <c r="P13" s="1053" t="s">
        <v>37</v>
      </c>
      <c r="Q13" s="1052" t="s">
        <v>46</v>
      </c>
      <c r="R13" s="1052"/>
      <c r="S13" s="1054" t="s">
        <v>47</v>
      </c>
      <c r="T13" s="1055" t="s">
        <v>48</v>
      </c>
      <c r="U13" s="1052"/>
      <c r="V13" s="1052"/>
      <c r="W13" s="1053" t="s">
        <v>37</v>
      </c>
      <c r="X13" s="263" t="s">
        <v>86</v>
      </c>
      <c r="Y13" s="263"/>
      <c r="Z13" s="263"/>
      <c r="AA13" s="263"/>
      <c r="AB13" s="263"/>
    </row>
    <row r="14" spans="1:31">
      <c r="A14" s="1057"/>
      <c r="B14" s="265"/>
      <c r="C14" s="230"/>
      <c r="D14" s="1058"/>
      <c r="E14" s="1057"/>
      <c r="F14" s="226"/>
      <c r="G14" s="226"/>
      <c r="H14" s="226"/>
      <c r="I14" s="226"/>
      <c r="J14" s="226"/>
      <c r="K14" s="226"/>
      <c r="L14" s="226"/>
      <c r="M14" s="226"/>
      <c r="N14" s="226"/>
      <c r="O14" s="230"/>
      <c r="P14" s="226"/>
      <c r="Q14" s="230"/>
      <c r="R14" s="230"/>
      <c r="S14" s="1059"/>
      <c r="T14" s="1060"/>
      <c r="U14" s="230"/>
      <c r="V14" s="1057"/>
      <c r="W14" s="226"/>
      <c r="X14" s="1060"/>
      <c r="Y14" s="1060"/>
      <c r="Z14" s="1060"/>
      <c r="AA14" s="1060"/>
      <c r="AB14" s="1060"/>
    </row>
    <row r="15" spans="1:31" ht="13.5" customHeight="1">
      <c r="A15" s="1057"/>
      <c r="B15" s="265"/>
      <c r="C15" s="226">
        <f>D15*E15</f>
        <v>0</v>
      </c>
      <c r="D15" s="1058"/>
      <c r="E15" s="1057"/>
      <c r="F15" s="226">
        <f>D15*E15</f>
        <v>0</v>
      </c>
      <c r="G15" s="226"/>
      <c r="H15" s="226"/>
      <c r="I15" s="226"/>
      <c r="J15" s="226"/>
      <c r="K15" s="226"/>
      <c r="L15" s="226"/>
      <c r="M15" s="226"/>
      <c r="N15" s="226"/>
      <c r="O15" s="230"/>
      <c r="P15" s="226"/>
      <c r="Q15" s="230"/>
      <c r="R15" s="230"/>
      <c r="S15" s="1059"/>
      <c r="T15" s="1060"/>
      <c r="U15" s="230"/>
      <c r="V15" s="1057"/>
      <c r="W15" s="226">
        <f>U15*V15</f>
        <v>0</v>
      </c>
      <c r="X15" s="1060"/>
      <c r="Y15" s="1060"/>
      <c r="Z15" s="1060"/>
      <c r="AA15" s="1060"/>
      <c r="AB15" s="1060"/>
    </row>
    <row r="16" spans="1:31" ht="33.75">
      <c r="A16" s="229">
        <v>1</v>
      </c>
      <c r="B16" s="227" t="s">
        <v>100</v>
      </c>
      <c r="C16" s="226">
        <f>D16*E16</f>
        <v>216000</v>
      </c>
      <c r="D16" s="226">
        <f>180000*1.2</f>
        <v>216000</v>
      </c>
      <c r="E16" s="229">
        <v>1</v>
      </c>
      <c r="F16" s="226">
        <f>D16*E16</f>
        <v>216000</v>
      </c>
      <c r="G16" s="226">
        <f>108000*1.2</f>
        <v>129600</v>
      </c>
      <c r="H16" s="226" t="s">
        <v>96</v>
      </c>
      <c r="I16" s="226">
        <f>W16</f>
        <v>216000</v>
      </c>
      <c r="J16" s="226"/>
      <c r="K16" s="226"/>
      <c r="L16" s="226">
        <f>+I16-J16+K16</f>
        <v>216000</v>
      </c>
      <c r="M16" s="226"/>
      <c r="N16" s="226">
        <f>G16</f>
        <v>129600</v>
      </c>
      <c r="O16" s="226">
        <v>1</v>
      </c>
      <c r="P16" s="226">
        <f>+O16*D16</f>
        <v>216000</v>
      </c>
      <c r="Q16" s="226"/>
      <c r="R16" s="230">
        <v>216000</v>
      </c>
      <c r="S16" s="230">
        <f>+P16-R16</f>
        <v>0</v>
      </c>
      <c r="T16" s="577">
        <f>W16-L16</f>
        <v>0</v>
      </c>
      <c r="U16" s="226">
        <f>180000*1.2</f>
        <v>216000</v>
      </c>
      <c r="V16" s="229">
        <v>1</v>
      </c>
      <c r="W16" s="226">
        <f>U16*V16</f>
        <v>216000</v>
      </c>
      <c r="X16" s="577">
        <v>216000</v>
      </c>
      <c r="Y16" s="2355">
        <v>129600</v>
      </c>
      <c r="Z16" s="577">
        <v>216000</v>
      </c>
      <c r="AA16" s="577"/>
      <c r="AB16" s="228">
        <v>216000</v>
      </c>
    </row>
    <row r="17" spans="1:28" hidden="1">
      <c r="A17" s="1061"/>
      <c r="B17" s="268"/>
      <c r="C17" s="226"/>
      <c r="D17" s="226"/>
      <c r="E17" s="229"/>
      <c r="F17" s="226"/>
      <c r="G17" s="226"/>
      <c r="H17" s="226" t="s">
        <v>96</v>
      </c>
      <c r="I17" s="226">
        <f>W17</f>
        <v>0</v>
      </c>
      <c r="J17" s="226"/>
      <c r="K17" s="226"/>
      <c r="L17" s="226">
        <f>+I17-J17+K17</f>
        <v>0</v>
      </c>
      <c r="M17" s="226"/>
      <c r="N17" s="226">
        <f>G17</f>
        <v>0</v>
      </c>
      <c r="O17" s="226"/>
      <c r="P17" s="226"/>
      <c r="Q17" s="226"/>
      <c r="R17" s="230"/>
      <c r="S17" s="230"/>
      <c r="T17" s="577">
        <f>W17-L17</f>
        <v>0</v>
      </c>
      <c r="U17" s="226"/>
      <c r="V17" s="229"/>
      <c r="W17" s="226"/>
      <c r="X17" s="1064">
        <v>0</v>
      </c>
      <c r="Y17" s="2356">
        <v>0</v>
      </c>
      <c r="Z17" s="1064"/>
      <c r="AA17" s="1064"/>
      <c r="AB17" s="1065"/>
    </row>
    <row r="18" spans="1:28" hidden="1">
      <c r="A18" s="1062"/>
      <c r="B18" s="268"/>
      <c r="C18" s="226"/>
      <c r="D18" s="226"/>
      <c r="E18" s="229"/>
      <c r="F18" s="226"/>
      <c r="G18" s="226"/>
      <c r="H18" s="226" t="s">
        <v>96</v>
      </c>
      <c r="I18" s="226">
        <f>W18</f>
        <v>0</v>
      </c>
      <c r="J18" s="226"/>
      <c r="K18" s="226"/>
      <c r="L18" s="226">
        <f>+I18-J18+K18</f>
        <v>0</v>
      </c>
      <c r="M18" s="226"/>
      <c r="N18" s="226">
        <f>G18</f>
        <v>0</v>
      </c>
      <c r="O18" s="226"/>
      <c r="P18" s="226"/>
      <c r="Q18" s="226"/>
      <c r="R18" s="230"/>
      <c r="S18" s="230"/>
      <c r="T18" s="577">
        <f>W18-L18</f>
        <v>0</v>
      </c>
      <c r="U18" s="226"/>
      <c r="V18" s="229"/>
      <c r="W18" s="226"/>
      <c r="X18" s="1064">
        <v>0</v>
      </c>
      <c r="Y18" s="2356">
        <v>0</v>
      </c>
      <c r="Z18" s="1064"/>
      <c r="AA18" s="1064"/>
      <c r="AB18" s="1065"/>
    </row>
    <row r="19" spans="1:28" ht="29.25" customHeight="1">
      <c r="A19" s="1063">
        <v>2</v>
      </c>
      <c r="B19" s="227" t="s">
        <v>101</v>
      </c>
      <c r="C19" s="226">
        <f t="shared" ref="C19:C38" si="0">D19*E19</f>
        <v>252000</v>
      </c>
      <c r="D19" s="226">
        <f>210000*1.2</f>
        <v>252000</v>
      </c>
      <c r="E19" s="229">
        <v>1</v>
      </c>
      <c r="F19" s="226">
        <f t="shared" ref="F19:F38" si="1">D19*E19</f>
        <v>252000</v>
      </c>
      <c r="G19" s="236">
        <f>126000*1.2</f>
        <v>151200</v>
      </c>
      <c r="H19" s="226" t="s">
        <v>96</v>
      </c>
      <c r="I19" s="226">
        <f>W19</f>
        <v>252000</v>
      </c>
      <c r="J19" s="236"/>
      <c r="K19" s="236"/>
      <c r="L19" s="226">
        <f>+I19-J19+K19</f>
        <v>252000</v>
      </c>
      <c r="M19" s="236"/>
      <c r="N19" s="226">
        <f>G19</f>
        <v>151200</v>
      </c>
      <c r="O19" s="236">
        <v>1</v>
      </c>
      <c r="P19" s="233">
        <f>+O19*W19</f>
        <v>252000</v>
      </c>
      <c r="Q19" s="234"/>
      <c r="R19" s="226"/>
      <c r="S19" s="236"/>
      <c r="T19" s="577">
        <f>W19-L19</f>
        <v>0</v>
      </c>
      <c r="U19" s="226">
        <f>210000*1.2</f>
        <v>252000</v>
      </c>
      <c r="V19" s="229">
        <v>1</v>
      </c>
      <c r="W19" s="226">
        <f t="shared" ref="W19:W38" si="2">U19*V19</f>
        <v>252000</v>
      </c>
      <c r="X19" s="236">
        <v>252000</v>
      </c>
      <c r="Y19" s="2357">
        <v>151200</v>
      </c>
      <c r="Z19" s="236">
        <v>252000</v>
      </c>
      <c r="AA19" s="236"/>
      <c r="AB19" s="228">
        <v>252000</v>
      </c>
    </row>
    <row r="20" spans="1:28" ht="21.75" customHeight="1">
      <c r="A20" s="239">
        <v>3</v>
      </c>
      <c r="B20" s="235" t="s">
        <v>90</v>
      </c>
      <c r="C20" s="226">
        <f t="shared" si="0"/>
        <v>120000</v>
      </c>
      <c r="D20" s="226">
        <f>100000*1.2</f>
        <v>120000</v>
      </c>
      <c r="E20" s="229">
        <v>1</v>
      </c>
      <c r="F20" s="226">
        <f t="shared" si="1"/>
        <v>120000</v>
      </c>
      <c r="G20" s="236">
        <f>60000*1.2</f>
        <v>72000</v>
      </c>
      <c r="H20" s="226" t="s">
        <v>96</v>
      </c>
      <c r="I20" s="226">
        <f>W20</f>
        <v>120000</v>
      </c>
      <c r="J20" s="236"/>
      <c r="K20" s="236"/>
      <c r="L20" s="226">
        <f>+I20-J20+K20</f>
        <v>120000</v>
      </c>
      <c r="M20" s="236"/>
      <c r="N20" s="226">
        <f>G20*0.6</f>
        <v>43200</v>
      </c>
      <c r="O20" s="236"/>
      <c r="P20" s="226"/>
      <c r="Q20" s="234"/>
      <c r="R20" s="236"/>
      <c r="S20" s="236"/>
      <c r="T20" s="577">
        <f>W20-L20</f>
        <v>0</v>
      </c>
      <c r="U20" s="226">
        <f>100000*1.2</f>
        <v>120000</v>
      </c>
      <c r="V20" s="229">
        <v>1</v>
      </c>
      <c r="W20" s="226">
        <f t="shared" si="2"/>
        <v>120000</v>
      </c>
      <c r="X20" s="236">
        <v>72000</v>
      </c>
      <c r="Y20" s="2357">
        <v>43200</v>
      </c>
      <c r="Z20" s="236"/>
      <c r="AA20" s="236"/>
      <c r="AB20" s="228">
        <v>120000</v>
      </c>
    </row>
    <row r="21" spans="1:28">
      <c r="A21" s="239"/>
      <c r="B21" s="235"/>
      <c r="C21" s="226">
        <f t="shared" si="0"/>
        <v>0</v>
      </c>
      <c r="D21" s="228"/>
      <c r="E21" s="229"/>
      <c r="F21" s="226">
        <f t="shared" si="1"/>
        <v>0</v>
      </c>
      <c r="G21" s="236"/>
      <c r="H21" s="236"/>
      <c r="I21" s="236"/>
      <c r="J21" s="236"/>
      <c r="K21" s="236"/>
      <c r="L21" s="236"/>
      <c r="M21" s="236"/>
      <c r="N21" s="236"/>
      <c r="O21" s="236"/>
      <c r="P21" s="226"/>
      <c r="Q21" s="234"/>
      <c r="R21" s="236"/>
      <c r="S21" s="236"/>
      <c r="T21" s="236"/>
      <c r="U21" s="228"/>
      <c r="V21" s="229"/>
      <c r="W21" s="226">
        <f t="shared" si="2"/>
        <v>0</v>
      </c>
      <c r="X21" s="236"/>
      <c r="Y21" s="236"/>
      <c r="Z21" s="236"/>
      <c r="AA21" s="236"/>
      <c r="AB21" s="236"/>
    </row>
    <row r="22" spans="1:28">
      <c r="A22" s="229"/>
      <c r="B22" s="237"/>
      <c r="C22" s="226">
        <f t="shared" si="0"/>
        <v>0</v>
      </c>
      <c r="D22" s="228"/>
      <c r="E22" s="229"/>
      <c r="F22" s="226">
        <f t="shared" si="1"/>
        <v>0</v>
      </c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4"/>
      <c r="R22" s="236"/>
      <c r="S22" s="236"/>
      <c r="T22" s="236"/>
      <c r="U22" s="238"/>
      <c r="V22" s="229"/>
      <c r="W22" s="226">
        <f t="shared" si="2"/>
        <v>0</v>
      </c>
      <c r="X22" s="236"/>
      <c r="Y22" s="236"/>
      <c r="Z22" s="236"/>
      <c r="AA22" s="236"/>
      <c r="AB22" s="236"/>
    </row>
    <row r="23" spans="1:28" hidden="1">
      <c r="A23" s="229"/>
      <c r="B23" s="237"/>
      <c r="C23" s="226">
        <f t="shared" si="0"/>
        <v>0</v>
      </c>
      <c r="D23" s="228"/>
      <c r="E23" s="239"/>
      <c r="F23" s="226">
        <f t="shared" si="1"/>
        <v>0</v>
      </c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40"/>
      <c r="R23" s="226"/>
      <c r="S23" s="236"/>
      <c r="T23" s="236"/>
      <c r="U23" s="238"/>
      <c r="V23" s="239"/>
      <c r="W23" s="226">
        <f t="shared" si="2"/>
        <v>0</v>
      </c>
      <c r="X23" s="236"/>
      <c r="Y23" s="236"/>
      <c r="Z23" s="236"/>
      <c r="AA23" s="236"/>
      <c r="AB23" s="236"/>
    </row>
    <row r="24" spans="1:28" ht="0.75" hidden="1" customHeight="1">
      <c r="A24" s="1061"/>
      <c r="B24" s="269"/>
      <c r="C24" s="226">
        <f t="shared" si="0"/>
        <v>0</v>
      </c>
      <c r="D24" s="228"/>
      <c r="E24" s="229"/>
      <c r="F24" s="226">
        <f t="shared" si="1"/>
        <v>0</v>
      </c>
      <c r="G24" s="236"/>
      <c r="H24" s="236"/>
      <c r="I24" s="236"/>
      <c r="J24" s="236"/>
      <c r="K24" s="236"/>
      <c r="L24" s="236"/>
      <c r="M24" s="236"/>
      <c r="N24" s="236"/>
      <c r="O24" s="236"/>
      <c r="P24" s="226"/>
      <c r="Q24" s="234"/>
      <c r="R24" s="226"/>
      <c r="S24" s="236">
        <f>+P24-R24</f>
        <v>0</v>
      </c>
      <c r="T24" s="236"/>
      <c r="U24" s="238"/>
      <c r="V24" s="229"/>
      <c r="W24" s="226">
        <f t="shared" si="2"/>
        <v>0</v>
      </c>
      <c r="X24" s="236"/>
      <c r="Y24" s="236"/>
      <c r="Z24" s="236"/>
      <c r="AA24" s="236"/>
      <c r="AB24" s="236"/>
    </row>
    <row r="25" spans="1:28" hidden="1">
      <c r="A25" s="1061"/>
      <c r="B25" s="237"/>
      <c r="C25" s="226">
        <f t="shared" si="0"/>
        <v>0</v>
      </c>
      <c r="D25" s="228"/>
      <c r="E25" s="229"/>
      <c r="F25" s="226">
        <f t="shared" si="1"/>
        <v>0</v>
      </c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4"/>
      <c r="R25" s="226"/>
      <c r="S25" s="236">
        <f>+P25-R25</f>
        <v>0</v>
      </c>
      <c r="T25" s="236"/>
      <c r="U25" s="238"/>
      <c r="V25" s="229"/>
      <c r="W25" s="226">
        <f t="shared" si="2"/>
        <v>0</v>
      </c>
      <c r="X25" s="236"/>
      <c r="Y25" s="236"/>
      <c r="Z25" s="236"/>
      <c r="AA25" s="236"/>
      <c r="AB25" s="236"/>
    </row>
    <row r="26" spans="1:28">
      <c r="A26" s="229"/>
      <c r="B26" s="270"/>
      <c r="C26" s="226">
        <f t="shared" si="0"/>
        <v>0</v>
      </c>
      <c r="D26" s="228"/>
      <c r="E26" s="229"/>
      <c r="F26" s="226">
        <f t="shared" si="1"/>
        <v>0</v>
      </c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4"/>
      <c r="R26" s="226"/>
      <c r="S26" s="236"/>
      <c r="T26" s="236"/>
      <c r="U26" s="238"/>
      <c r="V26" s="229"/>
      <c r="W26" s="226">
        <f t="shared" si="2"/>
        <v>0</v>
      </c>
      <c r="X26" s="236"/>
      <c r="Y26" s="236"/>
      <c r="Z26" s="236"/>
      <c r="AA26" s="236"/>
      <c r="AB26" s="236"/>
    </row>
    <row r="27" spans="1:28" ht="12" customHeight="1">
      <c r="A27" s="239"/>
      <c r="B27" s="271"/>
      <c r="C27" s="226">
        <f t="shared" si="0"/>
        <v>0</v>
      </c>
      <c r="D27" s="228"/>
      <c r="E27" s="229"/>
      <c r="F27" s="226">
        <f t="shared" si="1"/>
        <v>0</v>
      </c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4"/>
      <c r="R27" s="236"/>
      <c r="S27" s="236"/>
      <c r="T27" s="236"/>
      <c r="U27" s="238"/>
      <c r="V27" s="229"/>
      <c r="W27" s="226">
        <f t="shared" si="2"/>
        <v>0</v>
      </c>
      <c r="X27" s="236"/>
      <c r="Y27" s="236"/>
      <c r="Z27" s="236"/>
      <c r="AA27" s="236"/>
      <c r="AB27" s="236"/>
    </row>
    <row r="28" spans="1:28">
      <c r="A28" s="239"/>
      <c r="B28" s="271"/>
      <c r="C28" s="226">
        <f t="shared" si="0"/>
        <v>0</v>
      </c>
      <c r="D28" s="228"/>
      <c r="E28" s="229"/>
      <c r="F28" s="226">
        <f t="shared" si="1"/>
        <v>0</v>
      </c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4"/>
      <c r="R28" s="236"/>
      <c r="S28" s="236"/>
      <c r="T28" s="236"/>
      <c r="U28" s="238"/>
      <c r="V28" s="229"/>
      <c r="W28" s="226">
        <f t="shared" si="2"/>
        <v>0</v>
      </c>
      <c r="X28" s="236"/>
      <c r="Y28" s="236"/>
      <c r="Z28" s="236"/>
      <c r="AA28" s="236"/>
      <c r="AB28" s="236"/>
    </row>
    <row r="29" spans="1:28">
      <c r="A29" s="239"/>
      <c r="B29" s="271"/>
      <c r="C29" s="226">
        <f t="shared" si="0"/>
        <v>0</v>
      </c>
      <c r="D29" s="228"/>
      <c r="E29" s="229"/>
      <c r="F29" s="226">
        <f t="shared" si="1"/>
        <v>0</v>
      </c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4"/>
      <c r="R29" s="236"/>
      <c r="S29" s="236"/>
      <c r="T29" s="236"/>
      <c r="U29" s="238"/>
      <c r="V29" s="229"/>
      <c r="W29" s="226">
        <f t="shared" si="2"/>
        <v>0</v>
      </c>
      <c r="X29" s="236"/>
      <c r="Y29" s="236"/>
      <c r="Z29" s="236"/>
      <c r="AA29" s="236"/>
      <c r="AB29" s="236"/>
    </row>
    <row r="30" spans="1:28">
      <c r="A30" s="239"/>
      <c r="B30" s="271"/>
      <c r="C30" s="226">
        <f t="shared" si="0"/>
        <v>0</v>
      </c>
      <c r="D30" s="228"/>
      <c r="E30" s="229"/>
      <c r="F30" s="226">
        <f t="shared" si="1"/>
        <v>0</v>
      </c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4"/>
      <c r="R30" s="236"/>
      <c r="S30" s="236"/>
      <c r="T30" s="236"/>
      <c r="U30" s="238"/>
      <c r="V30" s="229"/>
      <c r="W30" s="226">
        <f t="shared" si="2"/>
        <v>0</v>
      </c>
      <c r="X30" s="236"/>
      <c r="Y30" s="236"/>
      <c r="Z30" s="236"/>
      <c r="AA30" s="236"/>
      <c r="AB30" s="236"/>
    </row>
    <row r="31" spans="1:28">
      <c r="A31" s="239"/>
      <c r="B31" s="272"/>
      <c r="C31" s="226">
        <f t="shared" si="0"/>
        <v>0</v>
      </c>
      <c r="D31" s="228"/>
      <c r="E31" s="229"/>
      <c r="F31" s="226">
        <f t="shared" si="1"/>
        <v>0</v>
      </c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73"/>
      <c r="R31" s="236"/>
      <c r="S31" s="236"/>
      <c r="T31" s="236"/>
      <c r="U31" s="238"/>
      <c r="V31" s="229"/>
      <c r="W31" s="226">
        <f t="shared" si="2"/>
        <v>0</v>
      </c>
      <c r="X31" s="236"/>
      <c r="Y31" s="236"/>
      <c r="Z31" s="236"/>
      <c r="AA31" s="236"/>
      <c r="AB31" s="236"/>
    </row>
    <row r="32" spans="1:28">
      <c r="A32" s="229"/>
      <c r="B32" s="270"/>
      <c r="C32" s="226">
        <f t="shared" si="0"/>
        <v>0</v>
      </c>
      <c r="D32" s="228"/>
      <c r="E32" s="229"/>
      <c r="F32" s="226">
        <f t="shared" si="1"/>
        <v>0</v>
      </c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73"/>
      <c r="R32" s="236"/>
      <c r="S32" s="236"/>
      <c r="T32" s="236"/>
      <c r="U32" s="238"/>
      <c r="V32" s="229"/>
      <c r="W32" s="226">
        <f t="shared" si="2"/>
        <v>0</v>
      </c>
      <c r="X32" s="236"/>
      <c r="Y32" s="236"/>
      <c r="Z32" s="236"/>
      <c r="AA32" s="236"/>
      <c r="AB32" s="236">
        <v>0</v>
      </c>
    </row>
    <row r="33" spans="1:28" ht="0.75" hidden="1" customHeight="1">
      <c r="A33" s="239"/>
      <c r="B33" s="271"/>
      <c r="C33" s="226">
        <f t="shared" si="0"/>
        <v>0</v>
      </c>
      <c r="D33" s="228"/>
      <c r="E33" s="229"/>
      <c r="F33" s="226">
        <f t="shared" si="1"/>
        <v>0</v>
      </c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73"/>
      <c r="R33" s="236"/>
      <c r="S33" s="236"/>
      <c r="T33" s="236"/>
      <c r="U33" s="238"/>
      <c r="V33" s="229"/>
      <c r="W33" s="226">
        <f t="shared" si="2"/>
        <v>0</v>
      </c>
      <c r="X33" s="236"/>
      <c r="Y33" s="236"/>
      <c r="Z33" s="236"/>
      <c r="AA33" s="236"/>
      <c r="AB33" s="236">
        <v>0</v>
      </c>
    </row>
    <row r="34" spans="1:28" ht="0.75" hidden="1" customHeight="1">
      <c r="A34" s="239"/>
      <c r="B34" s="271"/>
      <c r="C34" s="226">
        <f t="shared" si="0"/>
        <v>0</v>
      </c>
      <c r="D34" s="228"/>
      <c r="E34" s="229"/>
      <c r="F34" s="226">
        <f t="shared" si="1"/>
        <v>0</v>
      </c>
      <c r="G34" s="226"/>
      <c r="H34" s="226"/>
      <c r="I34" s="230"/>
      <c r="J34" s="226"/>
      <c r="K34" s="226"/>
      <c r="L34" s="236"/>
      <c r="M34" s="226"/>
      <c r="N34" s="226"/>
      <c r="O34" s="226"/>
      <c r="P34" s="236"/>
      <c r="Q34" s="273"/>
      <c r="R34" s="236"/>
      <c r="S34" s="236"/>
      <c r="T34" s="1064"/>
      <c r="U34" s="238"/>
      <c r="V34" s="229"/>
      <c r="W34" s="226">
        <f t="shared" si="2"/>
        <v>0</v>
      </c>
      <c r="X34" s="1064"/>
      <c r="Y34" s="1064"/>
      <c r="Z34" s="1064"/>
      <c r="AA34" s="1064"/>
      <c r="AB34" s="1064"/>
    </row>
    <row r="35" spans="1:28">
      <c r="A35" s="239"/>
      <c r="B35" s="271"/>
      <c r="C35" s="226">
        <f t="shared" si="0"/>
        <v>0</v>
      </c>
      <c r="D35" s="228"/>
      <c r="E35" s="229"/>
      <c r="F35" s="226">
        <f t="shared" si="1"/>
        <v>0</v>
      </c>
      <c r="G35" s="226"/>
      <c r="H35" s="226"/>
      <c r="I35" s="230"/>
      <c r="J35" s="226"/>
      <c r="K35" s="226"/>
      <c r="L35" s="236"/>
      <c r="M35" s="226"/>
      <c r="N35" s="226"/>
      <c r="O35" s="226"/>
      <c r="P35" s="226"/>
      <c r="Q35" s="273"/>
      <c r="R35" s="236"/>
      <c r="S35" s="236"/>
      <c r="T35" s="1064"/>
      <c r="U35" s="238"/>
      <c r="V35" s="229"/>
      <c r="W35" s="226">
        <f t="shared" si="2"/>
        <v>0</v>
      </c>
      <c r="X35" s="1064"/>
      <c r="Y35" s="1064"/>
      <c r="Z35" s="1064"/>
      <c r="AA35" s="1064"/>
      <c r="AB35" s="1064"/>
    </row>
    <row r="36" spans="1:28">
      <c r="A36" s="239"/>
      <c r="B36" s="271"/>
      <c r="C36" s="226">
        <f t="shared" si="0"/>
        <v>0</v>
      </c>
      <c r="D36" s="228"/>
      <c r="E36" s="229"/>
      <c r="F36" s="226">
        <f t="shared" si="1"/>
        <v>0</v>
      </c>
      <c r="G36" s="226"/>
      <c r="H36" s="226"/>
      <c r="I36" s="230"/>
      <c r="J36" s="226"/>
      <c r="K36" s="226"/>
      <c r="L36" s="236"/>
      <c r="M36" s="226"/>
      <c r="N36" s="226"/>
      <c r="O36" s="226"/>
      <c r="P36" s="226"/>
      <c r="Q36" s="273"/>
      <c r="R36" s="236"/>
      <c r="S36" s="236"/>
      <c r="T36" s="1064"/>
      <c r="U36" s="238"/>
      <c r="V36" s="229"/>
      <c r="W36" s="226">
        <f t="shared" si="2"/>
        <v>0</v>
      </c>
      <c r="X36" s="1064"/>
      <c r="Y36" s="1064"/>
      <c r="Z36" s="1064"/>
      <c r="AA36" s="1064"/>
      <c r="AB36" s="1064"/>
    </row>
    <row r="37" spans="1:28">
      <c r="A37" s="239"/>
      <c r="B37" s="271"/>
      <c r="C37" s="226">
        <f t="shared" si="0"/>
        <v>0</v>
      </c>
      <c r="D37" s="228"/>
      <c r="E37" s="229"/>
      <c r="F37" s="226">
        <f t="shared" si="1"/>
        <v>0</v>
      </c>
      <c r="G37" s="226"/>
      <c r="H37" s="226"/>
      <c r="I37" s="230"/>
      <c r="J37" s="226"/>
      <c r="K37" s="226"/>
      <c r="L37" s="236"/>
      <c r="M37" s="226"/>
      <c r="N37" s="226"/>
      <c r="O37" s="226"/>
      <c r="P37" s="226"/>
      <c r="Q37" s="273"/>
      <c r="R37" s="236"/>
      <c r="S37" s="236"/>
      <c r="T37" s="1064"/>
      <c r="U37" s="238"/>
      <c r="V37" s="229"/>
      <c r="W37" s="226">
        <f t="shared" si="2"/>
        <v>0</v>
      </c>
      <c r="X37" s="1064"/>
      <c r="Y37" s="1064"/>
      <c r="Z37" s="1064"/>
      <c r="AA37" s="1064"/>
      <c r="AB37" s="1064"/>
    </row>
    <row r="38" spans="1:28">
      <c r="A38" s="239"/>
      <c r="B38" s="271"/>
      <c r="C38" s="226">
        <f t="shared" si="0"/>
        <v>0</v>
      </c>
      <c r="D38" s="228"/>
      <c r="E38" s="229"/>
      <c r="F38" s="226">
        <f t="shared" si="1"/>
        <v>0</v>
      </c>
      <c r="G38" s="226"/>
      <c r="H38" s="226"/>
      <c r="I38" s="230"/>
      <c r="J38" s="226"/>
      <c r="K38" s="226"/>
      <c r="L38" s="236"/>
      <c r="M38" s="226"/>
      <c r="N38" s="226"/>
      <c r="O38" s="226"/>
      <c r="P38" s="226"/>
      <c r="Q38" s="273"/>
      <c r="R38" s="236"/>
      <c r="S38" s="236"/>
      <c r="T38" s="1064"/>
      <c r="U38" s="238"/>
      <c r="V38" s="229"/>
      <c r="W38" s="226">
        <f t="shared" si="2"/>
        <v>0</v>
      </c>
      <c r="X38" s="1064"/>
      <c r="Y38" s="1064"/>
      <c r="Z38" s="1064"/>
      <c r="AA38" s="1064"/>
      <c r="AB38" s="1064"/>
    </row>
    <row r="39" spans="1:28">
      <c r="A39" s="239"/>
      <c r="B39" s="271"/>
      <c r="C39" s="226"/>
      <c r="D39" s="228"/>
      <c r="E39" s="229"/>
      <c r="F39" s="226"/>
      <c r="G39" s="226"/>
      <c r="H39" s="226"/>
      <c r="I39" s="230"/>
      <c r="J39" s="226"/>
      <c r="K39" s="226"/>
      <c r="L39" s="236"/>
      <c r="M39" s="226"/>
      <c r="N39" s="226"/>
      <c r="O39" s="226"/>
      <c r="P39" s="226"/>
      <c r="Q39" s="273"/>
      <c r="R39" s="236"/>
      <c r="S39" s="236"/>
      <c r="T39" s="1064"/>
      <c r="U39" s="238"/>
      <c r="V39" s="229"/>
      <c r="W39" s="226"/>
      <c r="X39" s="1064"/>
      <c r="Y39" s="1064"/>
      <c r="Z39" s="1064"/>
      <c r="AA39" s="1064"/>
      <c r="AB39" s="1064"/>
    </row>
    <row r="40" spans="1:28">
      <c r="A40" s="239"/>
      <c r="B40" s="271"/>
      <c r="C40" s="226"/>
      <c r="D40" s="228"/>
      <c r="E40" s="229"/>
      <c r="F40" s="226"/>
      <c r="G40" s="226"/>
      <c r="H40" s="226"/>
      <c r="I40" s="230"/>
      <c r="J40" s="226"/>
      <c r="K40" s="226"/>
      <c r="L40" s="236"/>
      <c r="M40" s="226"/>
      <c r="N40" s="226"/>
      <c r="O40" s="226"/>
      <c r="P40" s="226"/>
      <c r="Q40" s="273"/>
      <c r="R40" s="236"/>
      <c r="S40" s="236"/>
      <c r="T40" s="1064"/>
      <c r="U40" s="238"/>
      <c r="V40" s="229"/>
      <c r="W40" s="226"/>
      <c r="X40" s="1064"/>
      <c r="Y40" s="1064"/>
      <c r="Z40" s="1064"/>
      <c r="AA40" s="1064"/>
      <c r="AB40" s="1064"/>
    </row>
    <row r="41" spans="1:28">
      <c r="A41" s="239"/>
      <c r="B41" s="271"/>
      <c r="C41" s="226"/>
      <c r="D41" s="228"/>
      <c r="E41" s="229"/>
      <c r="F41" s="226"/>
      <c r="G41" s="226"/>
      <c r="H41" s="226"/>
      <c r="I41" s="230"/>
      <c r="J41" s="226"/>
      <c r="K41" s="226"/>
      <c r="L41" s="236"/>
      <c r="M41" s="226"/>
      <c r="N41" s="226"/>
      <c r="O41" s="226"/>
      <c r="P41" s="226"/>
      <c r="Q41" s="273"/>
      <c r="R41" s="236"/>
      <c r="S41" s="236"/>
      <c r="T41" s="1064"/>
      <c r="U41" s="238"/>
      <c r="V41" s="229"/>
      <c r="W41" s="226"/>
      <c r="X41" s="1064"/>
      <c r="Y41" s="1064"/>
      <c r="Z41" s="1064"/>
      <c r="AA41" s="1064"/>
      <c r="AB41" s="1064"/>
    </row>
    <row r="42" spans="1:28">
      <c r="A42" s="239"/>
      <c r="B42" s="271"/>
      <c r="C42" s="226"/>
      <c r="D42" s="228"/>
      <c r="E42" s="229"/>
      <c r="F42" s="226"/>
      <c r="G42" s="226"/>
      <c r="H42" s="226"/>
      <c r="I42" s="230"/>
      <c r="J42" s="226"/>
      <c r="K42" s="226"/>
      <c r="L42" s="236"/>
      <c r="M42" s="226"/>
      <c r="N42" s="226"/>
      <c r="O42" s="226"/>
      <c r="P42" s="226"/>
      <c r="Q42" s="273"/>
      <c r="R42" s="236"/>
      <c r="S42" s="236"/>
      <c r="T42" s="1064"/>
      <c r="U42" s="238"/>
      <c r="V42" s="229"/>
      <c r="W42" s="226"/>
      <c r="X42" s="1064"/>
      <c r="Y42" s="1064"/>
      <c r="Z42" s="1064"/>
      <c r="AA42" s="1064"/>
      <c r="AB42" s="1064"/>
    </row>
    <row r="43" spans="1:28">
      <c r="A43" s="239"/>
      <c r="B43" s="271"/>
      <c r="C43" s="226"/>
      <c r="D43" s="228"/>
      <c r="E43" s="229"/>
      <c r="F43" s="226"/>
      <c r="G43" s="226"/>
      <c r="H43" s="226"/>
      <c r="I43" s="230"/>
      <c r="J43" s="226"/>
      <c r="K43" s="226"/>
      <c r="L43" s="236"/>
      <c r="M43" s="226"/>
      <c r="N43" s="226"/>
      <c r="O43" s="226"/>
      <c r="P43" s="226"/>
      <c r="Q43" s="273"/>
      <c r="R43" s="236"/>
      <c r="S43" s="236"/>
      <c r="T43" s="1064"/>
      <c r="U43" s="238"/>
      <c r="V43" s="229"/>
      <c r="W43" s="226"/>
      <c r="X43" s="1064"/>
      <c r="Y43" s="1064"/>
      <c r="Z43" s="1064"/>
      <c r="AA43" s="1064"/>
      <c r="AB43" s="1064"/>
    </row>
    <row r="44" spans="1:28">
      <c r="A44" s="239"/>
      <c r="B44" s="271"/>
      <c r="C44" s="226"/>
      <c r="D44" s="228"/>
      <c r="E44" s="229"/>
      <c r="F44" s="226"/>
      <c r="G44" s="226"/>
      <c r="H44" s="226"/>
      <c r="I44" s="230"/>
      <c r="J44" s="226"/>
      <c r="K44" s="226"/>
      <c r="L44" s="236"/>
      <c r="M44" s="226"/>
      <c r="N44" s="226"/>
      <c r="O44" s="226"/>
      <c r="P44" s="226"/>
      <c r="Q44" s="273"/>
      <c r="R44" s="236"/>
      <c r="S44" s="236"/>
      <c r="T44" s="1064"/>
      <c r="U44" s="238"/>
      <c r="V44" s="229"/>
      <c r="W44" s="226"/>
      <c r="X44" s="1064"/>
      <c r="Y44" s="1064"/>
      <c r="Z44" s="1064"/>
      <c r="AA44" s="1064"/>
      <c r="AB44" s="1064"/>
    </row>
    <row r="45" spans="1:28">
      <c r="A45" s="239"/>
      <c r="B45" s="271"/>
      <c r="C45" s="226">
        <f>D45*E45</f>
        <v>0</v>
      </c>
      <c r="D45" s="228"/>
      <c r="E45" s="229"/>
      <c r="F45" s="226">
        <f>D45*E45</f>
        <v>0</v>
      </c>
      <c r="G45" s="226"/>
      <c r="H45" s="226"/>
      <c r="I45" s="230"/>
      <c r="J45" s="226"/>
      <c r="K45" s="226"/>
      <c r="L45" s="236"/>
      <c r="M45" s="226"/>
      <c r="N45" s="226"/>
      <c r="O45" s="226"/>
      <c r="P45" s="236"/>
      <c r="Q45" s="226"/>
      <c r="R45" s="236"/>
      <c r="S45" s="236"/>
      <c r="T45" s="1064"/>
      <c r="U45" s="238"/>
      <c r="V45" s="229"/>
      <c r="W45" s="226">
        <f>U45*V45</f>
        <v>0</v>
      </c>
      <c r="X45" s="1064"/>
      <c r="Y45" s="1064"/>
      <c r="Z45" s="1064"/>
      <c r="AA45" s="1064"/>
      <c r="AB45" s="1064"/>
    </row>
    <row r="46" spans="1:28">
      <c r="A46" s="239"/>
      <c r="B46" s="271"/>
      <c r="C46" s="226">
        <f>D46*E46</f>
        <v>0</v>
      </c>
      <c r="D46" s="228"/>
      <c r="E46" s="229"/>
      <c r="F46" s="226">
        <f>D46*E46</f>
        <v>0</v>
      </c>
      <c r="G46" s="226"/>
      <c r="H46" s="226"/>
      <c r="I46" s="230"/>
      <c r="J46" s="226"/>
      <c r="K46" s="226"/>
      <c r="L46" s="236"/>
      <c r="M46" s="226"/>
      <c r="N46" s="226"/>
      <c r="O46" s="226"/>
      <c r="P46" s="236"/>
      <c r="Q46" s="226"/>
      <c r="R46" s="236"/>
      <c r="S46" s="236"/>
      <c r="T46" s="1064"/>
      <c r="U46" s="238"/>
      <c r="V46" s="229"/>
      <c r="W46" s="226">
        <f>U46*V46</f>
        <v>0</v>
      </c>
      <c r="X46" s="1064"/>
      <c r="Y46" s="1064"/>
      <c r="Z46" s="1064"/>
      <c r="AA46" s="1064"/>
      <c r="AB46" s="1064"/>
    </row>
    <row r="47" spans="1:28">
      <c r="A47" s="239"/>
      <c r="B47" s="271"/>
      <c r="C47" s="226">
        <f>D47*E47</f>
        <v>0</v>
      </c>
      <c r="D47" s="228"/>
      <c r="E47" s="229"/>
      <c r="F47" s="226">
        <f>D47*E47</f>
        <v>0</v>
      </c>
      <c r="G47" s="226"/>
      <c r="H47" s="226"/>
      <c r="I47" s="230"/>
      <c r="J47" s="226"/>
      <c r="K47" s="226"/>
      <c r="L47" s="236"/>
      <c r="M47" s="226"/>
      <c r="N47" s="226"/>
      <c r="O47" s="226"/>
      <c r="P47" s="236"/>
      <c r="Q47" s="226"/>
      <c r="R47" s="236"/>
      <c r="S47" s="236"/>
      <c r="T47" s="1064"/>
      <c r="U47" s="238"/>
      <c r="V47" s="229"/>
      <c r="W47" s="226">
        <f>U47*V47</f>
        <v>0</v>
      </c>
      <c r="X47" s="1064"/>
      <c r="Y47" s="1064"/>
      <c r="Z47" s="1064"/>
      <c r="AA47" s="1064"/>
      <c r="AB47" s="1064"/>
    </row>
    <row r="48" spans="1:28">
      <c r="A48" s="239"/>
      <c r="B48" s="271"/>
      <c r="C48" s="226">
        <f>D48*E48</f>
        <v>0</v>
      </c>
      <c r="D48" s="228"/>
      <c r="E48" s="239"/>
      <c r="F48" s="226">
        <f>D48*E48</f>
        <v>0</v>
      </c>
      <c r="G48" s="226"/>
      <c r="H48" s="226"/>
      <c r="I48" s="230"/>
      <c r="J48" s="226"/>
      <c r="K48" s="226"/>
      <c r="L48" s="236"/>
      <c r="M48" s="226"/>
      <c r="N48" s="226"/>
      <c r="O48" s="226"/>
      <c r="P48" s="236"/>
      <c r="Q48" s="226"/>
      <c r="R48" s="236"/>
      <c r="S48" s="236"/>
      <c r="T48" s="1064"/>
      <c r="U48" s="238"/>
      <c r="V48" s="239"/>
      <c r="W48" s="226">
        <f>U48*V48</f>
        <v>0</v>
      </c>
      <c r="X48" s="1064"/>
      <c r="Y48" s="1064"/>
      <c r="Z48" s="1064"/>
      <c r="AA48" s="1064"/>
      <c r="AB48" s="1064"/>
    </row>
    <row r="49" spans="1:28">
      <c r="A49" s="239"/>
      <c r="B49" s="271"/>
      <c r="C49" s="226">
        <f>D49*E49</f>
        <v>0</v>
      </c>
      <c r="D49" s="228"/>
      <c r="E49" s="239"/>
      <c r="F49" s="226">
        <f>D49*E49</f>
        <v>0</v>
      </c>
      <c r="G49" s="226"/>
      <c r="H49" s="226"/>
      <c r="I49" s="230"/>
      <c r="J49" s="226"/>
      <c r="K49" s="226"/>
      <c r="L49" s="236"/>
      <c r="M49" s="226"/>
      <c r="N49" s="226"/>
      <c r="O49" s="226"/>
      <c r="P49" s="236"/>
      <c r="Q49" s="226"/>
      <c r="R49" s="236"/>
      <c r="S49" s="236"/>
      <c r="T49" s="1064"/>
      <c r="U49" s="238"/>
      <c r="V49" s="239"/>
      <c r="W49" s="226">
        <f>U49*V49</f>
        <v>0</v>
      </c>
      <c r="X49" s="1064"/>
      <c r="Y49" s="1064"/>
      <c r="Z49" s="1064"/>
      <c r="AA49" s="1064"/>
      <c r="AB49" s="1064"/>
    </row>
    <row r="50" spans="1:28">
      <c r="A50" s="239"/>
      <c r="B50" s="271"/>
      <c r="C50" s="226"/>
      <c r="D50" s="228"/>
      <c r="E50" s="239"/>
      <c r="F50" s="226"/>
      <c r="G50" s="226"/>
      <c r="H50" s="226"/>
      <c r="I50" s="230"/>
      <c r="J50" s="226"/>
      <c r="K50" s="226"/>
      <c r="L50" s="236"/>
      <c r="M50" s="226"/>
      <c r="N50" s="226"/>
      <c r="O50" s="226"/>
      <c r="P50" s="236"/>
      <c r="Q50" s="226"/>
      <c r="R50" s="236"/>
      <c r="S50" s="236"/>
      <c r="T50" s="1064"/>
      <c r="U50" s="238"/>
      <c r="V50" s="239"/>
      <c r="W50" s="226"/>
      <c r="X50" s="1064"/>
      <c r="Y50" s="1064"/>
      <c r="Z50" s="1064"/>
      <c r="AA50" s="1064"/>
      <c r="AB50" s="1064"/>
    </row>
    <row r="51" spans="1:28">
      <c r="A51" s="239"/>
      <c r="B51" s="271"/>
      <c r="C51" s="226"/>
      <c r="D51" s="228"/>
      <c r="E51" s="239"/>
      <c r="F51" s="226"/>
      <c r="G51" s="226"/>
      <c r="H51" s="226"/>
      <c r="I51" s="230"/>
      <c r="J51" s="226"/>
      <c r="K51" s="226"/>
      <c r="L51" s="236"/>
      <c r="M51" s="226"/>
      <c r="N51" s="226"/>
      <c r="O51" s="226"/>
      <c r="P51" s="236"/>
      <c r="Q51" s="226"/>
      <c r="R51" s="236"/>
      <c r="S51" s="236"/>
      <c r="T51" s="1064"/>
      <c r="U51" s="238"/>
      <c r="V51" s="239"/>
      <c r="W51" s="226"/>
      <c r="X51" s="1064"/>
      <c r="Y51" s="1064"/>
      <c r="Z51" s="1064"/>
      <c r="AA51" s="1064"/>
      <c r="AB51" s="1064"/>
    </row>
    <row r="52" spans="1:28">
      <c r="A52" s="239"/>
      <c r="B52" s="271"/>
      <c r="C52" s="226">
        <f>D52*E52</f>
        <v>0</v>
      </c>
      <c r="D52" s="228"/>
      <c r="E52" s="239"/>
      <c r="F52" s="226">
        <f>D52*E52</f>
        <v>0</v>
      </c>
      <c r="G52" s="226"/>
      <c r="H52" s="226"/>
      <c r="I52" s="230"/>
      <c r="J52" s="226"/>
      <c r="K52" s="226"/>
      <c r="L52" s="236"/>
      <c r="M52" s="226"/>
      <c r="N52" s="226"/>
      <c r="O52" s="226"/>
      <c r="P52" s="236"/>
      <c r="Q52" s="226"/>
      <c r="R52" s="236"/>
      <c r="S52" s="236"/>
      <c r="T52" s="1064"/>
      <c r="U52" s="238"/>
      <c r="V52" s="239"/>
      <c r="W52" s="226">
        <f>U52*V52</f>
        <v>0</v>
      </c>
      <c r="X52" s="1064"/>
      <c r="Y52" s="1064"/>
      <c r="Z52" s="1064"/>
      <c r="AA52" s="1064"/>
      <c r="AB52" s="1064"/>
    </row>
    <row r="53" spans="1:28">
      <c r="A53" s="239"/>
      <c r="B53" s="271"/>
      <c r="C53" s="226">
        <f>D53*E53</f>
        <v>0</v>
      </c>
      <c r="D53" s="228"/>
      <c r="E53" s="239"/>
      <c r="F53" s="226">
        <f>D53*E53</f>
        <v>0</v>
      </c>
      <c r="G53" s="226"/>
      <c r="H53" s="226"/>
      <c r="I53" s="230"/>
      <c r="J53" s="226"/>
      <c r="K53" s="226"/>
      <c r="L53" s="236"/>
      <c r="M53" s="226"/>
      <c r="N53" s="226"/>
      <c r="O53" s="226"/>
      <c r="P53" s="236"/>
      <c r="Q53" s="226"/>
      <c r="R53" s="236"/>
      <c r="S53" s="236"/>
      <c r="T53" s="1064"/>
      <c r="U53" s="238"/>
      <c r="V53" s="239"/>
      <c r="W53" s="226">
        <f>U53*V53</f>
        <v>0</v>
      </c>
      <c r="X53" s="1064"/>
      <c r="Y53" s="1064"/>
      <c r="Z53" s="1064"/>
      <c r="AA53" s="1064"/>
      <c r="AB53" s="1064"/>
    </row>
    <row r="54" spans="1:28">
      <c r="A54" s="239"/>
      <c r="B54" s="271"/>
      <c r="C54" s="226">
        <f>D54*E54</f>
        <v>0</v>
      </c>
      <c r="D54" s="228"/>
      <c r="E54" s="239"/>
      <c r="F54" s="226">
        <f>D54*E54</f>
        <v>0</v>
      </c>
      <c r="G54" s="226"/>
      <c r="H54" s="226"/>
      <c r="I54" s="230"/>
      <c r="J54" s="226"/>
      <c r="K54" s="226"/>
      <c r="L54" s="236"/>
      <c r="M54" s="226"/>
      <c r="N54" s="226"/>
      <c r="O54" s="226"/>
      <c r="P54" s="236"/>
      <c r="Q54" s="226"/>
      <c r="R54" s="236"/>
      <c r="S54" s="236"/>
      <c r="T54" s="1064"/>
      <c r="U54" s="238"/>
      <c r="V54" s="239"/>
      <c r="W54" s="226">
        <f>U54*V54</f>
        <v>0</v>
      </c>
      <c r="X54" s="1064"/>
      <c r="Y54" s="1064"/>
      <c r="Z54" s="1064"/>
      <c r="AA54" s="1064"/>
      <c r="AB54" s="1064"/>
    </row>
    <row r="55" spans="1:28">
      <c r="A55" s="239"/>
      <c r="B55" s="271"/>
      <c r="C55" s="226">
        <f>D55*E55</f>
        <v>0</v>
      </c>
      <c r="D55" s="228"/>
      <c r="E55" s="239"/>
      <c r="F55" s="226">
        <f>D55*E55</f>
        <v>0</v>
      </c>
      <c r="G55" s="226"/>
      <c r="H55" s="226"/>
      <c r="I55" s="230"/>
      <c r="J55" s="226"/>
      <c r="K55" s="226"/>
      <c r="L55" s="236"/>
      <c r="M55" s="226"/>
      <c r="N55" s="226"/>
      <c r="O55" s="226"/>
      <c r="P55" s="236"/>
      <c r="Q55" s="226"/>
      <c r="R55" s="236"/>
      <c r="S55" s="236"/>
      <c r="T55" s="1064"/>
      <c r="U55" s="238"/>
      <c r="V55" s="239"/>
      <c r="W55" s="226">
        <f>U55*V55</f>
        <v>0</v>
      </c>
      <c r="X55" s="1064"/>
      <c r="Y55" s="1064"/>
      <c r="Z55" s="1064"/>
      <c r="AA55" s="1064"/>
      <c r="AB55" s="1064"/>
    </row>
    <row r="56" spans="1:28">
      <c r="A56" s="239"/>
      <c r="B56" s="271"/>
      <c r="C56" s="226">
        <f>D56*E56</f>
        <v>0</v>
      </c>
      <c r="D56" s="228"/>
      <c r="E56" s="229"/>
      <c r="F56" s="226">
        <f>D56*E56</f>
        <v>0</v>
      </c>
      <c r="G56" s="226"/>
      <c r="H56" s="226"/>
      <c r="I56" s="226"/>
      <c r="J56" s="226"/>
      <c r="K56" s="226"/>
      <c r="L56" s="236"/>
      <c r="M56" s="226"/>
      <c r="N56" s="226"/>
      <c r="O56" s="226"/>
      <c r="P56" s="236"/>
      <c r="Q56" s="226"/>
      <c r="R56" s="236"/>
      <c r="S56" s="236"/>
      <c r="T56" s="1064"/>
      <c r="U56" s="238"/>
      <c r="V56" s="229"/>
      <c r="W56" s="226">
        <f>U56*V56</f>
        <v>0</v>
      </c>
      <c r="X56" s="1064"/>
      <c r="Y56" s="1064"/>
      <c r="Z56" s="1064"/>
      <c r="AA56" s="1064"/>
      <c r="AB56" s="1064"/>
    </row>
    <row r="57" spans="1:28">
      <c r="A57" s="274"/>
      <c r="B57" s="275" t="s">
        <v>17</v>
      </c>
      <c r="C57" s="892">
        <f t="shared" ref="C57:AB57" si="3">SUM(C15:C56)</f>
        <v>588000</v>
      </c>
      <c r="D57" s="892">
        <f t="shared" si="3"/>
        <v>588000</v>
      </c>
      <c r="E57" s="892">
        <f t="shared" si="3"/>
        <v>3</v>
      </c>
      <c r="F57" s="892">
        <f t="shared" si="3"/>
        <v>588000</v>
      </c>
      <c r="G57" s="892">
        <f t="shared" si="3"/>
        <v>352800</v>
      </c>
      <c r="H57" s="892">
        <f t="shared" si="3"/>
        <v>0</v>
      </c>
      <c r="I57" s="892">
        <f t="shared" si="3"/>
        <v>588000</v>
      </c>
      <c r="J57" s="892">
        <f t="shared" si="3"/>
        <v>0</v>
      </c>
      <c r="K57" s="892">
        <f t="shared" si="3"/>
        <v>0</v>
      </c>
      <c r="L57" s="892">
        <f t="shared" si="3"/>
        <v>588000</v>
      </c>
      <c r="M57" s="892">
        <f t="shared" si="3"/>
        <v>0</v>
      </c>
      <c r="N57" s="892">
        <f t="shared" si="3"/>
        <v>324000</v>
      </c>
      <c r="O57" s="892">
        <f t="shared" si="3"/>
        <v>2</v>
      </c>
      <c r="P57" s="892">
        <f t="shared" si="3"/>
        <v>468000</v>
      </c>
      <c r="Q57" s="892">
        <f t="shared" si="3"/>
        <v>0</v>
      </c>
      <c r="R57" s="892">
        <f t="shared" si="3"/>
        <v>216000</v>
      </c>
      <c r="S57" s="892">
        <f t="shared" si="3"/>
        <v>0</v>
      </c>
      <c r="T57" s="893">
        <f>W57-L57</f>
        <v>0</v>
      </c>
      <c r="U57" s="892">
        <f t="shared" si="3"/>
        <v>588000</v>
      </c>
      <c r="V57" s="892">
        <f t="shared" si="3"/>
        <v>3</v>
      </c>
      <c r="W57" s="892">
        <f t="shared" si="3"/>
        <v>588000</v>
      </c>
      <c r="X57" s="892">
        <f t="shared" si="3"/>
        <v>540000</v>
      </c>
      <c r="Y57" s="892">
        <f t="shared" si="3"/>
        <v>324000</v>
      </c>
      <c r="Z57" s="892">
        <f t="shared" si="3"/>
        <v>468000</v>
      </c>
      <c r="AA57" s="892">
        <f t="shared" si="3"/>
        <v>0</v>
      </c>
      <c r="AB57" s="892">
        <f t="shared" si="3"/>
        <v>588000</v>
      </c>
    </row>
    <row r="58" spans="1:28">
      <c r="A58" s="277"/>
      <c r="B58" s="278"/>
      <c r="F58" s="279"/>
      <c r="G58" s="279"/>
      <c r="H58" s="279"/>
      <c r="I58" s="279"/>
      <c r="J58" s="279"/>
      <c r="K58" s="279"/>
      <c r="L58" s="279"/>
      <c r="M58" s="279"/>
      <c r="N58" s="279"/>
      <c r="P58" s="279"/>
      <c r="Q58" s="247"/>
      <c r="R58" s="247"/>
      <c r="W58" s="279"/>
    </row>
    <row r="59" spans="1:28">
      <c r="A59" s="280"/>
      <c r="B59" s="278"/>
      <c r="F59" s="279"/>
      <c r="G59" s="279"/>
      <c r="H59" s="279"/>
      <c r="I59" s="279"/>
      <c r="J59" s="279"/>
      <c r="K59" s="279"/>
      <c r="L59" s="279"/>
      <c r="M59" s="279"/>
      <c r="N59" s="279"/>
      <c r="P59" s="279"/>
      <c r="Q59" s="247"/>
      <c r="R59" s="247"/>
      <c r="W59" s="279"/>
    </row>
    <row r="60" spans="1:28">
      <c r="F60" s="279"/>
      <c r="R60" s="247"/>
      <c r="W60" s="279"/>
    </row>
    <row r="61" spans="1:28">
      <c r="F61" s="279"/>
      <c r="R61" s="247"/>
      <c r="W61" s="279"/>
    </row>
    <row r="62" spans="1:28">
      <c r="R62" s="247"/>
    </row>
    <row r="63" spans="1:28">
      <c r="A63" s="247" t="s">
        <v>59</v>
      </c>
      <c r="F63" s="279"/>
      <c r="W63" s="279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33" type="noConversion"/>
  <conditionalFormatting sqref="U8:W9 X8:AB12">
    <cfRule type="cellIs" dxfId="26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6"/>
  <dimension ref="A1:AE55"/>
  <sheetViews>
    <sheetView showGridLines="0" showZeros="0" topLeftCell="N1" zoomScaleNormal="100" workbookViewId="0">
      <pane ySplit="13" topLeftCell="A14" activePane="bottomLeft" state="frozen"/>
      <selection activeCell="E81" sqref="E81:P81"/>
      <selection pane="bottomLeft" activeCell="Z16" sqref="Z16:Z20"/>
    </sheetView>
  </sheetViews>
  <sheetFormatPr baseColWidth="10" defaultRowHeight="12.75"/>
  <cols>
    <col min="1" max="1" width="10.25" style="752" customWidth="1"/>
    <col min="2" max="2" width="35.375" style="752" customWidth="1"/>
    <col min="3" max="3" width="10.125" style="752" customWidth="1"/>
    <col min="4" max="4" width="10.375" style="752" customWidth="1"/>
    <col min="5" max="5" width="4.875" style="752" customWidth="1"/>
    <col min="6" max="9" width="10.25" style="752" customWidth="1"/>
    <col min="10" max="10" width="12" style="752" customWidth="1"/>
    <col min="11" max="11" width="10.25" style="752" customWidth="1"/>
    <col min="12" max="12" width="9" style="752" customWidth="1"/>
    <col min="13" max="13" width="9.75" style="752" customWidth="1"/>
    <col min="14" max="14" width="8.75" style="752" customWidth="1"/>
    <col min="15" max="15" width="6.5" style="752" customWidth="1"/>
    <col min="16" max="16" width="11" style="752"/>
    <col min="17" max="17" width="9.625" style="751" customWidth="1"/>
    <col min="18" max="19" width="11" style="751"/>
    <col min="20" max="20" width="10.875" style="751" customWidth="1"/>
    <col min="21" max="21" width="9" style="752" customWidth="1"/>
    <col min="22" max="22" width="4.875" style="752" customWidth="1"/>
    <col min="23" max="23" width="10.25" style="752" customWidth="1"/>
    <col min="24" max="28" width="10.875" style="751" customWidth="1"/>
    <col min="29" max="31" width="11" style="751"/>
    <col min="32" max="16384" width="11" style="750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125" t="s">
        <v>49</v>
      </c>
      <c r="B2" s="65" t="s">
        <v>554</v>
      </c>
      <c r="C2" s="65"/>
      <c r="D2" s="65"/>
      <c r="E2" s="65"/>
      <c r="F2" s="65"/>
      <c r="G2" s="65"/>
      <c r="H2" s="778"/>
      <c r="I2" s="778"/>
      <c r="J2" s="1127"/>
      <c r="K2" s="1127"/>
      <c r="L2" s="1127"/>
      <c r="M2" s="1127"/>
      <c r="Q2" s="752"/>
      <c r="R2" s="752"/>
    </row>
    <row r="3" spans="1:31">
      <c r="A3" s="1126" t="s">
        <v>60</v>
      </c>
      <c r="B3" s="1126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127"/>
      <c r="I3" s="1127"/>
      <c r="J3" s="1127"/>
      <c r="K3" s="1127"/>
      <c r="L3" s="1127"/>
      <c r="M3" s="1127"/>
      <c r="N3" s="770"/>
      <c r="O3" s="770"/>
      <c r="P3" s="770"/>
      <c r="Q3" s="770"/>
      <c r="R3" s="770"/>
      <c r="S3" s="768"/>
      <c r="T3" s="768"/>
      <c r="U3" s="779"/>
      <c r="V3" s="770"/>
      <c r="W3" s="770"/>
      <c r="X3" s="768"/>
      <c r="Y3" s="768"/>
      <c r="Z3" s="768"/>
      <c r="AA3" s="768"/>
      <c r="AB3" s="768"/>
    </row>
    <row r="4" spans="1:31">
      <c r="A4" s="1131" t="s">
        <v>61</v>
      </c>
      <c r="B4" s="778" t="s">
        <v>553</v>
      </c>
      <c r="C4" s="2140" t="s">
        <v>81</v>
      </c>
      <c r="D4" s="2140"/>
      <c r="E4" s="2140"/>
      <c r="F4" s="2141"/>
      <c r="G4" s="2141"/>
      <c r="H4" s="1125"/>
      <c r="I4" s="1125"/>
      <c r="J4" s="1125"/>
      <c r="K4" s="1125"/>
      <c r="L4" s="1125"/>
      <c r="M4" s="1125"/>
      <c r="N4" s="769"/>
      <c r="O4" s="770"/>
      <c r="P4" s="769"/>
      <c r="Q4" s="770"/>
      <c r="R4" s="770"/>
      <c r="S4" s="768"/>
      <c r="T4" s="768"/>
      <c r="U4" s="770"/>
      <c r="V4" s="770"/>
      <c r="W4" s="769"/>
      <c r="X4" s="768"/>
      <c r="Y4" s="768"/>
      <c r="Z4" s="768"/>
      <c r="AA4" s="768"/>
      <c r="AB4" s="768"/>
    </row>
    <row r="5" spans="1:31">
      <c r="A5" s="1128" t="s">
        <v>62</v>
      </c>
      <c r="B5" s="777">
        <v>201100435</v>
      </c>
      <c r="C5" s="1127"/>
      <c r="D5" s="1127"/>
      <c r="E5" s="1127"/>
      <c r="F5" s="1125"/>
      <c r="G5" s="1125"/>
      <c r="H5" s="1127"/>
      <c r="I5" s="1127"/>
      <c r="J5" s="1125"/>
      <c r="K5" s="1129"/>
      <c r="L5" s="1125"/>
      <c r="M5" s="1125"/>
      <c r="N5" s="769"/>
      <c r="O5" s="770"/>
      <c r="P5" s="769"/>
      <c r="Q5" s="770"/>
      <c r="R5" s="770"/>
      <c r="S5" s="769"/>
      <c r="T5" s="768"/>
      <c r="U5" s="770"/>
      <c r="V5" s="770"/>
      <c r="W5" s="769"/>
      <c r="X5" s="768"/>
      <c r="Y5" s="768"/>
      <c r="Z5" s="768"/>
      <c r="AA5" s="768"/>
      <c r="AB5" s="768"/>
    </row>
    <row r="6" spans="1:31" ht="15.75" customHeight="1">
      <c r="A6" s="1128" t="s">
        <v>51</v>
      </c>
      <c r="B6" s="74" t="s">
        <v>552</v>
      </c>
      <c r="C6" s="1127"/>
      <c r="D6" s="2432"/>
      <c r="E6" s="2432"/>
      <c r="F6" s="1125"/>
      <c r="G6" s="1125"/>
      <c r="H6" s="1130"/>
      <c r="I6" s="1130"/>
      <c r="J6" s="1132"/>
      <c r="K6" s="1131"/>
      <c r="L6" s="1131"/>
      <c r="M6" s="1131"/>
      <c r="N6" s="751"/>
      <c r="O6" s="751"/>
      <c r="P6" s="751"/>
      <c r="Q6" s="768"/>
      <c r="R6" s="770"/>
      <c r="S6" s="768"/>
      <c r="T6" s="768"/>
      <c r="U6" s="770"/>
      <c r="V6" s="770"/>
      <c r="W6" s="769"/>
      <c r="X6" s="768"/>
      <c r="Y6" s="768"/>
      <c r="Z6" s="768"/>
      <c r="AA6" s="768"/>
      <c r="AB6" s="768"/>
    </row>
    <row r="7" spans="1:31">
      <c r="A7" s="776"/>
      <c r="B7" s="775"/>
      <c r="C7" s="770"/>
      <c r="D7" s="770"/>
      <c r="E7" s="770"/>
      <c r="F7" s="769"/>
      <c r="G7" s="769"/>
      <c r="H7" s="774"/>
      <c r="I7" s="773"/>
      <c r="J7" s="772"/>
      <c r="K7" s="771"/>
      <c r="L7" s="771"/>
      <c r="M7" s="768"/>
      <c r="N7" s="751"/>
      <c r="O7" s="751"/>
      <c r="P7" s="751"/>
      <c r="Q7" s="768"/>
      <c r="R7" s="770"/>
      <c r="S7" s="768"/>
      <c r="T7" s="768"/>
      <c r="U7" s="770"/>
      <c r="V7" s="770"/>
      <c r="W7" s="769"/>
      <c r="X7" s="768"/>
      <c r="Y7" s="768"/>
      <c r="Z7" s="768"/>
      <c r="AA7" s="768"/>
      <c r="AB7" s="768"/>
    </row>
    <row r="8" spans="1:31" s="766" customFormat="1" ht="16.5">
      <c r="A8" s="1133" t="s">
        <v>0</v>
      </c>
      <c r="B8" s="1133" t="s">
        <v>1</v>
      </c>
      <c r="C8" s="934" t="s">
        <v>2</v>
      </c>
      <c r="D8" s="1134" t="s">
        <v>3</v>
      </c>
      <c r="E8" s="1135"/>
      <c r="F8" s="1136"/>
      <c r="G8" s="1137" t="s">
        <v>4</v>
      </c>
      <c r="H8" s="1138"/>
      <c r="I8" s="1137" t="s">
        <v>5</v>
      </c>
      <c r="J8" s="1138"/>
      <c r="K8" s="1139" t="s">
        <v>6</v>
      </c>
      <c r="L8" s="1139"/>
      <c r="M8" s="1139"/>
      <c r="N8" s="1139"/>
      <c r="O8" s="1135" t="s">
        <v>7</v>
      </c>
      <c r="P8" s="1136"/>
      <c r="Q8" s="1135" t="s">
        <v>8</v>
      </c>
      <c r="R8" s="1136"/>
      <c r="S8" s="1140"/>
      <c r="T8" s="1141"/>
      <c r="U8" s="1142" t="s">
        <v>82</v>
      </c>
      <c r="V8" s="1143"/>
      <c r="W8" s="1144"/>
      <c r="X8" s="2421" t="str">
        <f>"Production cumulée au 31/12/"&amp;(YEAR($E$1)-1)</f>
        <v>Production cumulée au 31/12/2014</v>
      </c>
      <c r="Y8" s="2421" t="str">
        <f>"Sous traitance cumulée au 31/12/"&amp;(YEAR($E$1)-1)</f>
        <v>Sous traitance cumulée au 31/12/2014</v>
      </c>
      <c r="Z8" s="2421" t="str">
        <f>"Facturation cumulée au 31/12/"&amp;(YEAR($E$1)-1)</f>
        <v>Facturation cumulée au 31/12/2014</v>
      </c>
      <c r="AA8" s="2421" t="str">
        <f>"Encaissement cumulé au 31/12/"&amp;(YEAR($E$1)-1)</f>
        <v>Encaissement cumulé au 31/12/2014</v>
      </c>
      <c r="AB8" s="2421" t="s">
        <v>64</v>
      </c>
      <c r="AC8" s="767"/>
      <c r="AD8" s="767"/>
      <c r="AE8" s="767"/>
    </row>
    <row r="9" spans="1:31" s="766" customFormat="1" ht="8.25">
      <c r="A9" s="1145" t="s">
        <v>9</v>
      </c>
      <c r="B9" s="1146"/>
      <c r="C9" s="1147"/>
      <c r="D9" s="1148"/>
      <c r="E9" s="1149"/>
      <c r="F9" s="1150"/>
      <c r="G9" s="1151"/>
      <c r="H9" s="1152"/>
      <c r="I9" s="1151" t="s">
        <v>10</v>
      </c>
      <c r="J9" s="1151"/>
      <c r="K9" s="1153" t="s">
        <v>11</v>
      </c>
      <c r="L9" s="1153"/>
      <c r="M9" s="1153"/>
      <c r="N9" s="1153" t="s">
        <v>12</v>
      </c>
      <c r="O9" s="1149"/>
      <c r="P9" s="1150"/>
      <c r="Q9" s="1149"/>
      <c r="R9" s="1154"/>
      <c r="S9" s="1155" t="s">
        <v>13</v>
      </c>
      <c r="T9" s="1156" t="s">
        <v>14</v>
      </c>
      <c r="U9" s="968"/>
      <c r="V9" s="969"/>
      <c r="W9" s="970"/>
      <c r="X9" s="2422"/>
      <c r="Y9" s="2422"/>
      <c r="Z9" s="2422"/>
      <c r="AA9" s="2422"/>
      <c r="AB9" s="2422"/>
      <c r="AC9" s="767"/>
      <c r="AD9" s="767"/>
      <c r="AE9" s="767"/>
    </row>
    <row r="10" spans="1:31" s="766" customFormat="1" ht="8.25">
      <c r="A10" s="1146"/>
      <c r="B10" s="1146"/>
      <c r="C10" s="1147"/>
      <c r="D10" s="1157" t="s">
        <v>15</v>
      </c>
      <c r="E10" s="1157" t="s">
        <v>16</v>
      </c>
      <c r="F10" s="1139" t="s">
        <v>17</v>
      </c>
      <c r="G10" s="1151"/>
      <c r="H10" s="1152"/>
      <c r="I10" s="1151"/>
      <c r="J10" s="1151"/>
      <c r="K10" s="1158" t="s">
        <v>18</v>
      </c>
      <c r="L10" s="1158" t="s">
        <v>17</v>
      </c>
      <c r="M10" s="1158" t="s">
        <v>19</v>
      </c>
      <c r="N10" s="1158" t="s">
        <v>20</v>
      </c>
      <c r="O10" s="1157" t="s">
        <v>16</v>
      </c>
      <c r="P10" s="1139" t="s">
        <v>17</v>
      </c>
      <c r="Q10" s="1157" t="s">
        <v>16</v>
      </c>
      <c r="R10" s="1139" t="s">
        <v>17</v>
      </c>
      <c r="S10" s="1155" t="s">
        <v>21</v>
      </c>
      <c r="T10" s="1156" t="s">
        <v>22</v>
      </c>
      <c r="U10" s="1157" t="s">
        <v>15</v>
      </c>
      <c r="V10" s="1157" t="s">
        <v>16</v>
      </c>
      <c r="W10" s="1139" t="s">
        <v>17</v>
      </c>
      <c r="X10" s="2422"/>
      <c r="Y10" s="2422"/>
      <c r="Z10" s="2422"/>
      <c r="AA10" s="2422"/>
      <c r="AB10" s="2422"/>
      <c r="AC10" s="767"/>
      <c r="AD10" s="767"/>
      <c r="AE10" s="767"/>
    </row>
    <row r="11" spans="1:31" s="766" customFormat="1" ht="8.25">
      <c r="A11" s="1146"/>
      <c r="B11" s="1146"/>
      <c r="C11" s="1147"/>
      <c r="D11" s="1155" t="s">
        <v>23</v>
      </c>
      <c r="E11" s="1155"/>
      <c r="F11" s="1153" t="s">
        <v>23</v>
      </c>
      <c r="G11" s="1139" t="s">
        <v>24</v>
      </c>
      <c r="H11" s="1139" t="s">
        <v>25</v>
      </c>
      <c r="I11" s="1139" t="s">
        <v>26</v>
      </c>
      <c r="J11" s="1139" t="s">
        <v>27</v>
      </c>
      <c r="K11" s="1153" t="s">
        <v>28</v>
      </c>
      <c r="L11" s="1153" t="s">
        <v>29</v>
      </c>
      <c r="M11" s="1153" t="s">
        <v>30</v>
      </c>
      <c r="N11" s="1153" t="s">
        <v>31</v>
      </c>
      <c r="O11" s="1155"/>
      <c r="P11" s="1153" t="s">
        <v>23</v>
      </c>
      <c r="Q11" s="1155"/>
      <c r="R11" s="1153" t="s">
        <v>23</v>
      </c>
      <c r="S11" s="1147"/>
      <c r="T11" s="1156" t="s">
        <v>32</v>
      </c>
      <c r="U11" s="1155" t="s">
        <v>23</v>
      </c>
      <c r="V11" s="1155"/>
      <c r="W11" s="1153" t="s">
        <v>23</v>
      </c>
      <c r="X11" s="2422"/>
      <c r="Y11" s="2422"/>
      <c r="Z11" s="2422"/>
      <c r="AA11" s="2422"/>
      <c r="AB11" s="2422"/>
      <c r="AC11" s="767"/>
      <c r="AD11" s="767"/>
      <c r="AE11" s="767"/>
    </row>
    <row r="12" spans="1:31">
      <c r="A12" s="1146"/>
      <c r="B12" s="1146"/>
      <c r="C12" s="1147"/>
      <c r="D12" s="1147"/>
      <c r="E12" s="1147"/>
      <c r="F12" s="1159"/>
      <c r="G12" s="1159"/>
      <c r="H12" s="1159"/>
      <c r="I12" s="1159"/>
      <c r="J12" s="1153" t="s">
        <v>33</v>
      </c>
      <c r="K12" s="1153" t="s">
        <v>34</v>
      </c>
      <c r="L12" s="1153"/>
      <c r="M12" s="1153"/>
      <c r="N12" s="1153"/>
      <c r="O12" s="1147"/>
      <c r="P12" s="1159"/>
      <c r="Q12" s="1147"/>
      <c r="R12" s="1159"/>
      <c r="S12" s="1160"/>
      <c r="T12" s="1161"/>
      <c r="U12" s="1147"/>
      <c r="V12" s="1147"/>
      <c r="W12" s="1159"/>
      <c r="X12" s="2422"/>
      <c r="Y12" s="2422"/>
      <c r="Z12" s="2422"/>
      <c r="AA12" s="2422"/>
      <c r="AB12" s="2422"/>
    </row>
    <row r="13" spans="1:31">
      <c r="A13" s="1162"/>
      <c r="B13" s="1162" t="s">
        <v>35</v>
      </c>
      <c r="C13" s="1163" t="s">
        <v>36</v>
      </c>
      <c r="D13" s="1163"/>
      <c r="E13" s="1163"/>
      <c r="F13" s="1164" t="s">
        <v>37</v>
      </c>
      <c r="G13" s="1164" t="s">
        <v>38</v>
      </c>
      <c r="H13" s="1164" t="s">
        <v>39</v>
      </c>
      <c r="I13" s="1164" t="s">
        <v>40</v>
      </c>
      <c r="J13" s="1164" t="s">
        <v>41</v>
      </c>
      <c r="K13" s="1164" t="s">
        <v>42</v>
      </c>
      <c r="L13" s="1164" t="s">
        <v>43</v>
      </c>
      <c r="M13" s="1164" t="s">
        <v>44</v>
      </c>
      <c r="N13" s="1164" t="s">
        <v>45</v>
      </c>
      <c r="O13" s="1163"/>
      <c r="P13" s="1164" t="s">
        <v>37</v>
      </c>
      <c r="Q13" s="1163" t="s">
        <v>46</v>
      </c>
      <c r="R13" s="1163"/>
      <c r="S13" s="1165" t="s">
        <v>47</v>
      </c>
      <c r="T13" s="1166" t="s">
        <v>48</v>
      </c>
      <c r="U13" s="1163"/>
      <c r="V13" s="1163"/>
      <c r="W13" s="1164" t="s">
        <v>37</v>
      </c>
      <c r="X13" s="1166" t="s">
        <v>86</v>
      </c>
      <c r="Y13" s="1166"/>
      <c r="Z13" s="1166"/>
      <c r="AA13" s="1166"/>
      <c r="AB13" s="1166"/>
    </row>
    <row r="14" spans="1:31">
      <c r="A14" s="982"/>
      <c r="B14" s="765"/>
      <c r="C14" s="758"/>
      <c r="D14" s="981"/>
      <c r="E14" s="982"/>
      <c r="F14" s="755"/>
      <c r="G14" s="755"/>
      <c r="H14" s="755"/>
      <c r="I14" s="755"/>
      <c r="J14" s="755"/>
      <c r="K14" s="755"/>
      <c r="L14" s="755"/>
      <c r="M14" s="755"/>
      <c r="N14" s="755"/>
      <c r="O14" s="758"/>
      <c r="P14" s="755"/>
      <c r="Q14" s="758"/>
      <c r="R14" s="758"/>
      <c r="S14" s="983"/>
      <c r="T14" s="984"/>
      <c r="U14" s="758"/>
      <c r="V14" s="982"/>
      <c r="W14" s="755"/>
      <c r="X14" s="984"/>
      <c r="Y14" s="984"/>
      <c r="Z14" s="984"/>
      <c r="AA14" s="984"/>
      <c r="AB14" s="984"/>
    </row>
    <row r="15" spans="1:31" ht="13.5" customHeight="1">
      <c r="A15" s="982"/>
      <c r="B15" s="765"/>
      <c r="C15" s="699">
        <f>D15*E15</f>
        <v>0</v>
      </c>
      <c r="D15" s="973"/>
      <c r="E15" s="972"/>
      <c r="F15" s="699">
        <f>D15*E15</f>
        <v>0</v>
      </c>
      <c r="G15" s="699"/>
      <c r="H15" s="699"/>
      <c r="I15" s="699"/>
      <c r="J15" s="699"/>
      <c r="K15" s="699"/>
      <c r="L15" s="699"/>
      <c r="M15" s="699"/>
      <c r="N15" s="699"/>
      <c r="O15" s="706"/>
      <c r="P15" s="699"/>
      <c r="Q15" s="706"/>
      <c r="R15" s="706"/>
      <c r="S15" s="974"/>
      <c r="T15" s="975"/>
      <c r="U15" s="706"/>
      <c r="V15" s="972"/>
      <c r="W15" s="699">
        <f>U15*V15</f>
        <v>0</v>
      </c>
      <c r="X15" s="975"/>
      <c r="Y15" s="975"/>
      <c r="Z15" s="975"/>
      <c r="AA15" s="975"/>
      <c r="AB15" s="975"/>
    </row>
    <row r="16" spans="1:31" s="686" customFormat="1" ht="37.5" customHeight="1">
      <c r="A16" s="700">
        <v>1</v>
      </c>
      <c r="B16" s="718" t="s">
        <v>89</v>
      </c>
      <c r="C16" s="699">
        <f>D16*E16</f>
        <v>492000</v>
      </c>
      <c r="D16" s="703">
        <f>410000*1.2</f>
        <v>492000</v>
      </c>
      <c r="E16" s="700">
        <v>1</v>
      </c>
      <c r="F16" s="699">
        <f>D16*E16</f>
        <v>492000</v>
      </c>
      <c r="G16" s="699">
        <f>12600+43*500*1.2</f>
        <v>38400</v>
      </c>
      <c r="H16" s="699" t="s">
        <v>522</v>
      </c>
      <c r="I16" s="699">
        <f>W16</f>
        <v>492000</v>
      </c>
      <c r="J16" s="699"/>
      <c r="L16" s="1495">
        <f>+I16-J16+K16</f>
        <v>492000</v>
      </c>
      <c r="M16" s="699"/>
      <c r="N16" s="699">
        <f>G16</f>
        <v>38400</v>
      </c>
      <c r="O16" s="699">
        <v>1</v>
      </c>
      <c r="P16" s="699">
        <f>O16*U16</f>
        <v>492000</v>
      </c>
      <c r="Q16" s="699"/>
      <c r="R16" s="706">
        <v>492000</v>
      </c>
      <c r="S16" s="706">
        <f>P16-R16</f>
        <v>0</v>
      </c>
      <c r="T16" s="986">
        <f>W16-L16</f>
        <v>0</v>
      </c>
      <c r="U16" s="703">
        <f>410000*1.2</f>
        <v>492000</v>
      </c>
      <c r="V16" s="700">
        <v>1</v>
      </c>
      <c r="W16" s="699">
        <f>U16*V16</f>
        <v>492000</v>
      </c>
      <c r="X16" s="1506">
        <v>492000</v>
      </c>
      <c r="Y16" s="2142">
        <v>38400</v>
      </c>
      <c r="Z16" s="699">
        <v>492000</v>
      </c>
      <c r="AA16" s="2143">
        <v>492000</v>
      </c>
      <c r="AB16" s="703">
        <f>410000*1.2</f>
        <v>492000</v>
      </c>
      <c r="AC16" s="687"/>
      <c r="AD16" s="687"/>
      <c r="AE16" s="687"/>
    </row>
    <row r="17" spans="1:31" hidden="1">
      <c r="A17" s="1167"/>
      <c r="B17" s="764"/>
      <c r="C17" s="699"/>
      <c r="D17" s="1010"/>
      <c r="E17" s="700"/>
      <c r="F17" s="699"/>
      <c r="G17" s="699"/>
      <c r="H17" s="699"/>
      <c r="I17" s="699">
        <f>W17</f>
        <v>0</v>
      </c>
      <c r="J17" s="699"/>
      <c r="K17" s="699"/>
      <c r="L17" s="699">
        <f>+I17-J17+K17</f>
        <v>0</v>
      </c>
      <c r="M17" s="699"/>
      <c r="N17" s="699"/>
      <c r="O17" s="699"/>
      <c r="P17" s="699"/>
      <c r="Q17" s="699"/>
      <c r="R17" s="706"/>
      <c r="S17" s="706">
        <f>P17-R17</f>
        <v>0</v>
      </c>
      <c r="T17" s="986">
        <f>W17-L17</f>
        <v>0</v>
      </c>
      <c r="U17" s="1010"/>
      <c r="V17" s="700"/>
      <c r="W17" s="699"/>
      <c r="X17" s="1506">
        <v>0</v>
      </c>
      <c r="Y17" s="987"/>
      <c r="Z17" s="987"/>
      <c r="AA17" s="987"/>
      <c r="AB17" s="1010"/>
      <c r="AC17" s="750"/>
      <c r="AD17" s="750"/>
      <c r="AE17" s="750"/>
    </row>
    <row r="18" spans="1:31" hidden="1">
      <c r="A18" s="1168"/>
      <c r="B18" s="764"/>
      <c r="C18" s="699"/>
      <c r="D18" s="1010"/>
      <c r="E18" s="700"/>
      <c r="F18" s="699"/>
      <c r="G18" s="699"/>
      <c r="H18" s="699"/>
      <c r="I18" s="699">
        <f>W18</f>
        <v>0</v>
      </c>
      <c r="J18" s="699"/>
      <c r="K18" s="699"/>
      <c r="L18" s="699">
        <f>+I18-J18+K18</f>
        <v>0</v>
      </c>
      <c r="M18" s="699"/>
      <c r="N18" s="699"/>
      <c r="O18" s="699"/>
      <c r="P18" s="699"/>
      <c r="Q18" s="699"/>
      <c r="R18" s="706"/>
      <c r="S18" s="706">
        <f>P18-R18</f>
        <v>0</v>
      </c>
      <c r="T18" s="986">
        <f>W18-L18</f>
        <v>0</v>
      </c>
      <c r="U18" s="1010"/>
      <c r="V18" s="700"/>
      <c r="W18" s="699"/>
      <c r="X18" s="1506">
        <v>0</v>
      </c>
      <c r="Y18" s="987"/>
      <c r="Z18" s="987"/>
      <c r="AA18" s="987"/>
      <c r="AB18" s="1010"/>
      <c r="AC18" s="750"/>
      <c r="AD18" s="750"/>
      <c r="AE18" s="750"/>
    </row>
    <row r="19" spans="1:31" ht="29.25" customHeight="1">
      <c r="A19" s="1169">
        <v>2</v>
      </c>
      <c r="B19" s="718" t="s">
        <v>88</v>
      </c>
      <c r="C19" s="699">
        <f t="shared" ref="C19:C48" si="0">D19*E19</f>
        <v>624000</v>
      </c>
      <c r="D19" s="703">
        <f>520000*1.2</f>
        <v>624000</v>
      </c>
      <c r="E19" s="700">
        <v>1</v>
      </c>
      <c r="F19" s="699">
        <f t="shared" ref="F19:F48" si="1">D19*E19</f>
        <v>624000</v>
      </c>
      <c r="G19" s="702">
        <f>500*1.2*43+96000</f>
        <v>121800</v>
      </c>
      <c r="H19" s="702" t="s">
        <v>551</v>
      </c>
      <c r="I19" s="699">
        <f>W19</f>
        <v>624000</v>
      </c>
      <c r="J19" s="699"/>
      <c r="K19" s="702"/>
      <c r="L19" s="699">
        <f>+I19-J19+K19</f>
        <v>624000</v>
      </c>
      <c r="M19" s="702"/>
      <c r="N19" s="702">
        <v>96000</v>
      </c>
      <c r="O19" s="702">
        <v>1</v>
      </c>
      <c r="P19" s="699">
        <f>O19*U19</f>
        <v>624000</v>
      </c>
      <c r="Q19" s="711"/>
      <c r="R19" s="699"/>
      <c r="S19" s="706">
        <f>P19-R19</f>
        <v>624000</v>
      </c>
      <c r="T19" s="986">
        <f>W19-L19</f>
        <v>0</v>
      </c>
      <c r="U19" s="703">
        <f>520000*1.2</f>
        <v>624000</v>
      </c>
      <c r="V19" s="700">
        <v>1</v>
      </c>
      <c r="W19" s="699">
        <f t="shared" ref="W19:W48" si="2">U19*V19</f>
        <v>624000</v>
      </c>
      <c r="X19" s="1507">
        <v>624000</v>
      </c>
      <c r="Y19" s="702">
        <v>96000</v>
      </c>
      <c r="Z19" s="702">
        <v>624000</v>
      </c>
      <c r="AA19" s="702"/>
      <c r="AB19" s="703">
        <f>520000*1.2</f>
        <v>624000</v>
      </c>
      <c r="AC19" s="750"/>
      <c r="AD19" s="750"/>
      <c r="AE19" s="750"/>
    </row>
    <row r="20" spans="1:31" ht="21.75" customHeight="1">
      <c r="A20" s="705">
        <v>3</v>
      </c>
      <c r="B20" s="715" t="s">
        <v>90</v>
      </c>
      <c r="C20" s="699">
        <f t="shared" si="0"/>
        <v>288000</v>
      </c>
      <c r="D20" s="703">
        <f>240000*1.2</f>
        <v>288000</v>
      </c>
      <c r="E20" s="700">
        <v>1</v>
      </c>
      <c r="F20" s="699">
        <f t="shared" si="1"/>
        <v>288000</v>
      </c>
      <c r="G20" s="702">
        <f>43*300*1.2</f>
        <v>15480</v>
      </c>
      <c r="H20" s="702" t="s">
        <v>96</v>
      </c>
      <c r="I20" s="699">
        <f>W20</f>
        <v>288000</v>
      </c>
      <c r="J20" s="702">
        <f>I20*0.3-5429.86</f>
        <v>80970.14</v>
      </c>
      <c r="K20" s="699"/>
      <c r="L20" s="699">
        <f>+I20-J20+K20</f>
        <v>207029.86</v>
      </c>
      <c r="M20" s="702"/>
      <c r="N20" s="702"/>
      <c r="O20" s="702"/>
      <c r="P20" s="2378">
        <v>5429</v>
      </c>
      <c r="Q20" s="711"/>
      <c r="R20" s="702"/>
      <c r="S20" s="706">
        <f>P20-R20</f>
        <v>5429</v>
      </c>
      <c r="T20" s="1504">
        <f>W20-L20</f>
        <v>80970.140000000014</v>
      </c>
      <c r="U20" s="703">
        <f>240000*1.2</f>
        <v>288000</v>
      </c>
      <c r="V20" s="700">
        <v>1</v>
      </c>
      <c r="W20" s="699">
        <f t="shared" si="2"/>
        <v>288000</v>
      </c>
      <c r="X20" s="1507">
        <v>207029.8600000001</v>
      </c>
      <c r="Y20" s="702"/>
      <c r="Z20" s="702">
        <v>5429</v>
      </c>
      <c r="AA20" s="702"/>
      <c r="AB20" s="703">
        <f>240000*1.2</f>
        <v>288000</v>
      </c>
      <c r="AC20" s="750"/>
      <c r="AD20" s="750"/>
      <c r="AE20" s="750"/>
    </row>
    <row r="21" spans="1:31">
      <c r="A21" s="705"/>
      <c r="B21" s="715"/>
      <c r="C21" s="699">
        <f t="shared" si="0"/>
        <v>0</v>
      </c>
      <c r="D21" s="703"/>
      <c r="E21" s="700"/>
      <c r="F21" s="699">
        <f t="shared" si="1"/>
        <v>0</v>
      </c>
      <c r="G21" s="702"/>
      <c r="H21" s="702"/>
      <c r="I21" s="702"/>
      <c r="J21" s="702"/>
      <c r="K21" s="702"/>
      <c r="L21" s="702"/>
      <c r="M21" s="702"/>
      <c r="N21" s="702"/>
      <c r="O21" s="702"/>
      <c r="P21" s="699"/>
      <c r="Q21" s="711"/>
      <c r="R21" s="702"/>
      <c r="S21" s="702"/>
      <c r="T21" s="702"/>
      <c r="U21" s="703"/>
      <c r="V21" s="700"/>
      <c r="W21" s="699">
        <f t="shared" si="2"/>
        <v>0</v>
      </c>
      <c r="X21" s="702"/>
      <c r="Y21" s="702"/>
      <c r="Z21" s="702"/>
      <c r="AA21" s="702"/>
      <c r="AB21" s="702"/>
      <c r="AC21" s="750"/>
      <c r="AD21" s="750"/>
      <c r="AE21" s="750"/>
    </row>
    <row r="22" spans="1:31">
      <c r="A22" s="700"/>
      <c r="B22" s="712"/>
      <c r="C22" s="699">
        <f t="shared" si="0"/>
        <v>0</v>
      </c>
      <c r="D22" s="703"/>
      <c r="E22" s="700"/>
      <c r="F22" s="699">
        <f t="shared" si="1"/>
        <v>0</v>
      </c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11"/>
      <c r="R22" s="702"/>
      <c r="S22" s="702"/>
      <c r="T22" s="702"/>
      <c r="U22" s="701"/>
      <c r="V22" s="700"/>
      <c r="W22" s="699">
        <f t="shared" si="2"/>
        <v>0</v>
      </c>
      <c r="X22" s="702"/>
      <c r="Y22" s="702"/>
      <c r="Z22" s="702"/>
      <c r="AA22" s="702"/>
      <c r="AB22" s="702"/>
      <c r="AC22" s="750"/>
      <c r="AD22" s="750"/>
      <c r="AE22" s="750"/>
    </row>
    <row r="23" spans="1:31" hidden="1">
      <c r="A23" s="700"/>
      <c r="B23" s="712"/>
      <c r="C23" s="699">
        <f t="shared" si="0"/>
        <v>0</v>
      </c>
      <c r="D23" s="703"/>
      <c r="E23" s="705"/>
      <c r="F23" s="699">
        <f t="shared" si="1"/>
        <v>0</v>
      </c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14"/>
      <c r="R23" s="699"/>
      <c r="S23" s="702"/>
      <c r="T23" s="702"/>
      <c r="U23" s="701"/>
      <c r="V23" s="705"/>
      <c r="W23" s="699">
        <f t="shared" si="2"/>
        <v>0</v>
      </c>
      <c r="X23" s="702"/>
      <c r="Y23" s="702"/>
      <c r="Z23" s="702"/>
      <c r="AA23" s="702"/>
      <c r="AB23" s="702"/>
      <c r="AC23" s="750"/>
      <c r="AD23" s="750"/>
      <c r="AE23" s="750"/>
    </row>
    <row r="24" spans="1:31" ht="0.75" hidden="1" customHeight="1">
      <c r="A24" s="1167"/>
      <c r="B24" s="763"/>
      <c r="C24" s="699">
        <f t="shared" si="0"/>
        <v>0</v>
      </c>
      <c r="D24" s="703"/>
      <c r="E24" s="700"/>
      <c r="F24" s="699">
        <f t="shared" si="1"/>
        <v>0</v>
      </c>
      <c r="G24" s="702"/>
      <c r="H24" s="702"/>
      <c r="I24" s="702"/>
      <c r="J24" s="702"/>
      <c r="K24" s="702"/>
      <c r="L24" s="702"/>
      <c r="M24" s="702"/>
      <c r="N24" s="702"/>
      <c r="O24" s="702"/>
      <c r="P24" s="699"/>
      <c r="Q24" s="711"/>
      <c r="R24" s="699"/>
      <c r="S24" s="702">
        <f>+P24-R24</f>
        <v>0</v>
      </c>
      <c r="T24" s="702"/>
      <c r="U24" s="701"/>
      <c r="V24" s="700"/>
      <c r="W24" s="699">
        <f t="shared" si="2"/>
        <v>0</v>
      </c>
      <c r="X24" s="702"/>
      <c r="Y24" s="702"/>
      <c r="Z24" s="702"/>
      <c r="AA24" s="702"/>
      <c r="AB24" s="702"/>
      <c r="AC24" s="750"/>
      <c r="AD24" s="750"/>
      <c r="AE24" s="750"/>
    </row>
    <row r="25" spans="1:31" hidden="1">
      <c r="A25" s="1167"/>
      <c r="B25" s="762"/>
      <c r="C25" s="699">
        <f t="shared" si="0"/>
        <v>0</v>
      </c>
      <c r="D25" s="703"/>
      <c r="E25" s="700"/>
      <c r="F25" s="699">
        <f t="shared" si="1"/>
        <v>0</v>
      </c>
      <c r="G25" s="702"/>
      <c r="H25" s="702"/>
      <c r="I25" s="702"/>
      <c r="J25" s="702"/>
      <c r="K25" s="702"/>
      <c r="L25" s="702"/>
      <c r="M25" s="702"/>
      <c r="N25" s="702"/>
      <c r="O25" s="702"/>
      <c r="P25" s="702"/>
      <c r="Q25" s="711"/>
      <c r="R25" s="699"/>
      <c r="S25" s="702">
        <f>+P25-R25</f>
        <v>0</v>
      </c>
      <c r="T25" s="702"/>
      <c r="U25" s="701"/>
      <c r="V25" s="700"/>
      <c r="W25" s="699">
        <f t="shared" si="2"/>
        <v>0</v>
      </c>
      <c r="X25" s="702"/>
      <c r="Y25" s="702"/>
      <c r="Z25" s="702"/>
      <c r="AA25" s="702"/>
      <c r="AB25" s="702"/>
      <c r="AC25" s="750"/>
      <c r="AD25" s="750"/>
      <c r="AE25" s="750"/>
    </row>
    <row r="26" spans="1:31">
      <c r="A26" s="1009"/>
      <c r="B26" s="760"/>
      <c r="C26" s="699">
        <f t="shared" si="0"/>
        <v>0</v>
      </c>
      <c r="D26" s="703"/>
      <c r="E26" s="700"/>
      <c r="F26" s="699">
        <f t="shared" si="1"/>
        <v>0</v>
      </c>
      <c r="G26" s="702"/>
      <c r="H26" s="702"/>
      <c r="I26" s="702"/>
      <c r="J26" s="702"/>
      <c r="K26" s="702"/>
      <c r="L26" s="702"/>
      <c r="M26" s="702"/>
      <c r="N26" s="702"/>
      <c r="O26" s="702"/>
      <c r="P26" s="702"/>
      <c r="Q26" s="711"/>
      <c r="R26" s="699"/>
      <c r="S26" s="702"/>
      <c r="T26" s="702"/>
      <c r="U26" s="701"/>
      <c r="V26" s="700"/>
      <c r="W26" s="699">
        <f t="shared" si="2"/>
        <v>0</v>
      </c>
      <c r="X26" s="702"/>
      <c r="Y26" s="702"/>
      <c r="Z26" s="702"/>
      <c r="AA26" s="702"/>
      <c r="AB26" s="702"/>
      <c r="AC26" s="750"/>
      <c r="AD26" s="750"/>
      <c r="AE26" s="750"/>
    </row>
    <row r="27" spans="1:31" ht="12" customHeight="1">
      <c r="A27" s="757"/>
      <c r="B27" s="759"/>
      <c r="C27" s="699">
        <f t="shared" si="0"/>
        <v>0</v>
      </c>
      <c r="D27" s="703"/>
      <c r="E27" s="700"/>
      <c r="F27" s="699">
        <f t="shared" si="1"/>
        <v>0</v>
      </c>
      <c r="G27" s="702"/>
      <c r="H27" s="702"/>
      <c r="I27" s="702"/>
      <c r="J27" s="702"/>
      <c r="K27" s="702"/>
      <c r="L27" s="702"/>
      <c r="M27" s="702"/>
      <c r="N27" s="702"/>
      <c r="O27" s="702"/>
      <c r="P27" s="702"/>
      <c r="Q27" s="711"/>
      <c r="R27" s="702"/>
      <c r="S27" s="702"/>
      <c r="T27" s="702"/>
      <c r="U27" s="701"/>
      <c r="V27" s="700"/>
      <c r="W27" s="699">
        <f t="shared" si="2"/>
        <v>0</v>
      </c>
      <c r="X27" s="702"/>
      <c r="Y27" s="702"/>
      <c r="Z27" s="702"/>
      <c r="AA27" s="702"/>
      <c r="AB27" s="702"/>
      <c r="AC27" s="750"/>
      <c r="AD27" s="750"/>
      <c r="AE27" s="750"/>
    </row>
    <row r="28" spans="1:31">
      <c r="A28" s="705"/>
      <c r="B28" s="759"/>
      <c r="C28" s="699">
        <f t="shared" si="0"/>
        <v>0</v>
      </c>
      <c r="D28" s="703"/>
      <c r="E28" s="700"/>
      <c r="F28" s="699">
        <f t="shared" si="1"/>
        <v>0</v>
      </c>
      <c r="G28" s="702"/>
      <c r="H28" s="702"/>
      <c r="I28" s="702"/>
      <c r="J28" s="702"/>
      <c r="K28" s="702"/>
      <c r="L28" s="702"/>
      <c r="M28" s="702"/>
      <c r="N28" s="702"/>
      <c r="O28" s="702"/>
      <c r="P28" s="702"/>
      <c r="Q28" s="711"/>
      <c r="R28" s="702"/>
      <c r="S28" s="702"/>
      <c r="T28" s="702"/>
      <c r="U28" s="701"/>
      <c r="V28" s="700"/>
      <c r="W28" s="699">
        <f t="shared" si="2"/>
        <v>0</v>
      </c>
      <c r="X28" s="702"/>
      <c r="Y28" s="702"/>
      <c r="Z28" s="702"/>
      <c r="AA28" s="702"/>
      <c r="AB28" s="702"/>
      <c r="AC28" s="750"/>
      <c r="AD28" s="750"/>
      <c r="AE28" s="750"/>
    </row>
    <row r="29" spans="1:31">
      <c r="A29" s="757"/>
      <c r="B29" s="759"/>
      <c r="C29" s="699">
        <f t="shared" si="0"/>
        <v>0</v>
      </c>
      <c r="D29" s="703"/>
      <c r="E29" s="700"/>
      <c r="F29" s="699">
        <f t="shared" si="1"/>
        <v>0</v>
      </c>
      <c r="G29" s="702"/>
      <c r="H29" s="702"/>
      <c r="I29" s="702"/>
      <c r="J29" s="702"/>
      <c r="K29" s="702"/>
      <c r="L29" s="702"/>
      <c r="M29" s="702"/>
      <c r="N29" s="702"/>
      <c r="O29" s="702"/>
      <c r="P29" s="702"/>
      <c r="Q29" s="711"/>
      <c r="R29" s="702"/>
      <c r="S29" s="702"/>
      <c r="T29" s="702"/>
      <c r="U29" s="701"/>
      <c r="V29" s="700"/>
      <c r="W29" s="699">
        <f t="shared" si="2"/>
        <v>0</v>
      </c>
      <c r="X29" s="702"/>
      <c r="Y29" s="702"/>
      <c r="Z29" s="702"/>
      <c r="AA29" s="702"/>
      <c r="AB29" s="702"/>
      <c r="AC29" s="750"/>
      <c r="AD29" s="750"/>
      <c r="AE29" s="750"/>
    </row>
    <row r="30" spans="1:31">
      <c r="A30" s="757"/>
      <c r="B30" s="759"/>
      <c r="C30" s="699">
        <f t="shared" si="0"/>
        <v>0</v>
      </c>
      <c r="D30" s="703"/>
      <c r="E30" s="700"/>
      <c r="F30" s="699">
        <f t="shared" si="1"/>
        <v>0</v>
      </c>
      <c r="G30" s="702"/>
      <c r="H30" s="702"/>
      <c r="I30" s="702"/>
      <c r="J30" s="702"/>
      <c r="K30" s="702"/>
      <c r="L30" s="702"/>
      <c r="M30" s="702"/>
      <c r="N30" s="702"/>
      <c r="O30" s="702"/>
      <c r="P30" s="702"/>
      <c r="Q30" s="711"/>
      <c r="R30" s="702"/>
      <c r="S30" s="702"/>
      <c r="T30" s="702"/>
      <c r="U30" s="701"/>
      <c r="V30" s="700"/>
      <c r="W30" s="699">
        <f t="shared" si="2"/>
        <v>0</v>
      </c>
      <c r="X30" s="702"/>
      <c r="Y30" s="702"/>
      <c r="Z30" s="702"/>
      <c r="AA30" s="702"/>
      <c r="AB30" s="702"/>
      <c r="AC30" s="750"/>
      <c r="AD30" s="750"/>
      <c r="AE30" s="750"/>
    </row>
    <row r="31" spans="1:31">
      <c r="A31" s="757"/>
      <c r="B31" s="761"/>
      <c r="C31" s="699">
        <f t="shared" si="0"/>
        <v>0</v>
      </c>
      <c r="D31" s="703"/>
      <c r="E31" s="700"/>
      <c r="F31" s="699">
        <f t="shared" si="1"/>
        <v>0</v>
      </c>
      <c r="G31" s="702"/>
      <c r="H31" s="702"/>
      <c r="I31" s="702"/>
      <c r="J31" s="702"/>
      <c r="K31" s="702"/>
      <c r="L31" s="702"/>
      <c r="M31" s="702"/>
      <c r="N31" s="702"/>
      <c r="O31" s="702"/>
      <c r="P31" s="702"/>
      <c r="Q31" s="707"/>
      <c r="R31" s="702"/>
      <c r="S31" s="702"/>
      <c r="T31" s="702"/>
      <c r="U31" s="701"/>
      <c r="V31" s="700"/>
      <c r="W31" s="699">
        <f t="shared" si="2"/>
        <v>0</v>
      </c>
      <c r="X31" s="702"/>
      <c r="Y31" s="702"/>
      <c r="Z31" s="702"/>
      <c r="AA31" s="702"/>
      <c r="AB31" s="702"/>
      <c r="AC31" s="750"/>
      <c r="AD31" s="750"/>
      <c r="AE31" s="750"/>
    </row>
    <row r="32" spans="1:31">
      <c r="A32" s="1009"/>
      <c r="B32" s="760"/>
      <c r="C32" s="699">
        <f t="shared" si="0"/>
        <v>0</v>
      </c>
      <c r="D32" s="703"/>
      <c r="E32" s="700"/>
      <c r="F32" s="699">
        <f t="shared" si="1"/>
        <v>0</v>
      </c>
      <c r="G32" s="702"/>
      <c r="H32" s="702"/>
      <c r="I32" s="702"/>
      <c r="J32" s="702"/>
      <c r="K32" s="702"/>
      <c r="L32" s="702"/>
      <c r="M32" s="702"/>
      <c r="N32" s="702"/>
      <c r="O32" s="702"/>
      <c r="P32" s="702"/>
      <c r="Q32" s="707"/>
      <c r="R32" s="702"/>
      <c r="S32" s="702"/>
      <c r="T32" s="702"/>
      <c r="U32" s="701"/>
      <c r="V32" s="700"/>
      <c r="W32" s="699">
        <f t="shared" si="2"/>
        <v>0</v>
      </c>
      <c r="X32" s="702"/>
      <c r="Y32" s="702"/>
      <c r="Z32" s="702"/>
      <c r="AA32" s="702"/>
      <c r="AB32" s="702">
        <v>0</v>
      </c>
      <c r="AC32" s="750"/>
      <c r="AD32" s="750"/>
      <c r="AE32" s="750"/>
    </row>
    <row r="33" spans="1:31" ht="0.75" hidden="1" customHeight="1">
      <c r="A33" s="757"/>
      <c r="B33" s="759"/>
      <c r="C33" s="699">
        <f t="shared" si="0"/>
        <v>0</v>
      </c>
      <c r="D33" s="703"/>
      <c r="E33" s="700"/>
      <c r="F33" s="699">
        <f t="shared" si="1"/>
        <v>0</v>
      </c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7"/>
      <c r="R33" s="702"/>
      <c r="S33" s="702"/>
      <c r="T33" s="702"/>
      <c r="U33" s="701"/>
      <c r="V33" s="700"/>
      <c r="W33" s="699">
        <f t="shared" si="2"/>
        <v>0</v>
      </c>
      <c r="X33" s="702"/>
      <c r="Y33" s="702"/>
      <c r="Z33" s="702"/>
      <c r="AA33" s="702"/>
      <c r="AB33" s="702">
        <v>0</v>
      </c>
      <c r="AC33" s="750"/>
      <c r="AD33" s="750"/>
      <c r="AE33" s="750"/>
    </row>
    <row r="34" spans="1:31" ht="0.75" hidden="1" customHeight="1">
      <c r="A34" s="705"/>
      <c r="B34" s="759"/>
      <c r="C34" s="699">
        <f t="shared" si="0"/>
        <v>0</v>
      </c>
      <c r="D34" s="703"/>
      <c r="E34" s="700"/>
      <c r="F34" s="699">
        <f t="shared" si="1"/>
        <v>0</v>
      </c>
      <c r="G34" s="699"/>
      <c r="H34" s="699"/>
      <c r="I34" s="706"/>
      <c r="J34" s="699"/>
      <c r="K34" s="699"/>
      <c r="L34" s="702"/>
      <c r="M34" s="699"/>
      <c r="N34" s="699"/>
      <c r="O34" s="699"/>
      <c r="P34" s="702"/>
      <c r="Q34" s="707"/>
      <c r="R34" s="702"/>
      <c r="S34" s="702"/>
      <c r="T34" s="987"/>
      <c r="U34" s="701"/>
      <c r="V34" s="700"/>
      <c r="W34" s="699">
        <f t="shared" si="2"/>
        <v>0</v>
      </c>
      <c r="X34" s="987"/>
      <c r="Y34" s="987"/>
      <c r="Z34" s="987"/>
      <c r="AA34" s="987"/>
      <c r="AB34" s="987"/>
      <c r="AC34" s="750"/>
      <c r="AD34" s="750"/>
      <c r="AE34" s="750"/>
    </row>
    <row r="35" spans="1:31">
      <c r="A35" s="757"/>
      <c r="B35" s="759"/>
      <c r="C35" s="699">
        <f t="shared" si="0"/>
        <v>0</v>
      </c>
      <c r="D35" s="703"/>
      <c r="E35" s="700"/>
      <c r="F35" s="699">
        <f t="shared" si="1"/>
        <v>0</v>
      </c>
      <c r="G35" s="699"/>
      <c r="H35" s="699"/>
      <c r="I35" s="706"/>
      <c r="J35" s="699"/>
      <c r="K35" s="699"/>
      <c r="L35" s="702"/>
      <c r="M35" s="699"/>
      <c r="N35" s="699"/>
      <c r="O35" s="699"/>
      <c r="P35" s="699"/>
      <c r="Q35" s="707"/>
      <c r="R35" s="702"/>
      <c r="S35" s="702"/>
      <c r="T35" s="987"/>
      <c r="U35" s="701"/>
      <c r="V35" s="700"/>
      <c r="W35" s="699">
        <f t="shared" si="2"/>
        <v>0</v>
      </c>
      <c r="X35" s="987"/>
      <c r="Y35" s="987"/>
      <c r="Z35" s="987"/>
      <c r="AA35" s="987"/>
      <c r="AB35" s="987"/>
      <c r="AC35" s="750"/>
      <c r="AD35" s="750"/>
      <c r="AE35" s="750"/>
    </row>
    <row r="36" spans="1:31">
      <c r="A36" s="757"/>
      <c r="B36" s="759"/>
      <c r="C36" s="699">
        <f t="shared" si="0"/>
        <v>0</v>
      </c>
      <c r="D36" s="703"/>
      <c r="E36" s="700"/>
      <c r="F36" s="699">
        <f t="shared" si="1"/>
        <v>0</v>
      </c>
      <c r="G36" s="699"/>
      <c r="H36" s="699"/>
      <c r="I36" s="706"/>
      <c r="J36" s="699"/>
      <c r="K36" s="699"/>
      <c r="L36" s="702"/>
      <c r="M36" s="699"/>
      <c r="N36" s="699"/>
      <c r="O36" s="699"/>
      <c r="P36" s="699"/>
      <c r="Q36" s="707"/>
      <c r="R36" s="702"/>
      <c r="S36" s="702"/>
      <c r="T36" s="987"/>
      <c r="U36" s="701"/>
      <c r="V36" s="700"/>
      <c r="W36" s="699">
        <f t="shared" si="2"/>
        <v>0</v>
      </c>
      <c r="X36" s="987"/>
      <c r="Y36" s="987"/>
      <c r="Z36" s="987"/>
      <c r="AA36" s="987"/>
      <c r="AB36" s="987"/>
      <c r="AC36" s="750"/>
      <c r="AD36" s="750"/>
      <c r="AE36" s="750"/>
    </row>
    <row r="37" spans="1:31">
      <c r="A37" s="757"/>
      <c r="B37" s="759"/>
      <c r="C37" s="699">
        <f t="shared" si="0"/>
        <v>0</v>
      </c>
      <c r="D37" s="703"/>
      <c r="E37" s="700"/>
      <c r="F37" s="699">
        <f t="shared" si="1"/>
        <v>0</v>
      </c>
      <c r="G37" s="699"/>
      <c r="H37" s="699"/>
      <c r="I37" s="706"/>
      <c r="J37" s="699"/>
      <c r="K37" s="699"/>
      <c r="L37" s="702"/>
      <c r="M37" s="699"/>
      <c r="N37" s="699"/>
      <c r="O37" s="699"/>
      <c r="P37" s="699"/>
      <c r="Q37" s="707"/>
      <c r="R37" s="702"/>
      <c r="S37" s="702"/>
      <c r="T37" s="987"/>
      <c r="U37" s="701"/>
      <c r="V37" s="700"/>
      <c r="W37" s="699">
        <f t="shared" si="2"/>
        <v>0</v>
      </c>
      <c r="X37" s="987"/>
      <c r="Y37" s="987"/>
      <c r="Z37" s="987"/>
      <c r="AA37" s="987"/>
      <c r="AB37" s="987"/>
      <c r="AC37" s="750"/>
      <c r="AD37" s="750"/>
      <c r="AE37" s="750"/>
    </row>
    <row r="38" spans="1:31">
      <c r="A38" s="757"/>
      <c r="B38" s="759"/>
      <c r="C38" s="699">
        <f t="shared" si="0"/>
        <v>0</v>
      </c>
      <c r="D38" s="703"/>
      <c r="E38" s="700"/>
      <c r="F38" s="699">
        <f t="shared" si="1"/>
        <v>0</v>
      </c>
      <c r="G38" s="699"/>
      <c r="H38" s="699"/>
      <c r="I38" s="706"/>
      <c r="J38" s="699"/>
      <c r="K38" s="699"/>
      <c r="L38" s="702"/>
      <c r="M38" s="699"/>
      <c r="N38" s="699"/>
      <c r="O38" s="699"/>
      <c r="P38" s="699"/>
      <c r="Q38" s="707"/>
      <c r="R38" s="702"/>
      <c r="S38" s="702"/>
      <c r="T38" s="987"/>
      <c r="U38" s="701"/>
      <c r="V38" s="700"/>
      <c r="W38" s="699">
        <f t="shared" si="2"/>
        <v>0</v>
      </c>
      <c r="X38" s="987"/>
      <c r="Y38" s="987"/>
      <c r="Z38" s="987"/>
      <c r="AA38" s="987"/>
      <c r="AB38" s="987"/>
      <c r="AC38" s="750"/>
      <c r="AD38" s="750"/>
      <c r="AE38" s="750"/>
    </row>
    <row r="39" spans="1:31">
      <c r="A39" s="757"/>
      <c r="B39" s="759"/>
      <c r="C39" s="699">
        <f t="shared" si="0"/>
        <v>0</v>
      </c>
      <c r="D39" s="703"/>
      <c r="E39" s="700"/>
      <c r="F39" s="699">
        <f t="shared" si="1"/>
        <v>0</v>
      </c>
      <c r="G39" s="699"/>
      <c r="H39" s="699"/>
      <c r="I39" s="706"/>
      <c r="J39" s="699"/>
      <c r="K39" s="699"/>
      <c r="L39" s="702"/>
      <c r="M39" s="699"/>
      <c r="N39" s="699"/>
      <c r="O39" s="699"/>
      <c r="P39" s="702"/>
      <c r="Q39" s="699"/>
      <c r="R39" s="702"/>
      <c r="S39" s="702"/>
      <c r="T39" s="987"/>
      <c r="U39" s="701"/>
      <c r="V39" s="700"/>
      <c r="W39" s="699">
        <f t="shared" si="2"/>
        <v>0</v>
      </c>
      <c r="X39" s="987"/>
      <c r="Y39" s="987"/>
      <c r="Z39" s="987"/>
      <c r="AA39" s="987"/>
      <c r="AB39" s="987"/>
      <c r="AC39" s="750"/>
      <c r="AD39" s="750"/>
      <c r="AE39" s="750"/>
    </row>
    <row r="40" spans="1:31">
      <c r="A40" s="757"/>
      <c r="B40" s="759"/>
      <c r="C40" s="699">
        <f t="shared" si="0"/>
        <v>0</v>
      </c>
      <c r="D40" s="703"/>
      <c r="E40" s="700"/>
      <c r="F40" s="699">
        <f t="shared" si="1"/>
        <v>0</v>
      </c>
      <c r="G40" s="699"/>
      <c r="H40" s="699"/>
      <c r="I40" s="706"/>
      <c r="J40" s="699"/>
      <c r="K40" s="699"/>
      <c r="L40" s="702"/>
      <c r="M40" s="699"/>
      <c r="N40" s="699"/>
      <c r="O40" s="699"/>
      <c r="P40" s="702"/>
      <c r="Q40" s="699"/>
      <c r="R40" s="702"/>
      <c r="S40" s="702"/>
      <c r="T40" s="987"/>
      <c r="U40" s="701"/>
      <c r="V40" s="700"/>
      <c r="W40" s="699">
        <f t="shared" si="2"/>
        <v>0</v>
      </c>
      <c r="X40" s="987"/>
      <c r="Y40" s="987"/>
      <c r="Z40" s="987"/>
      <c r="AA40" s="987"/>
      <c r="AB40" s="987"/>
      <c r="AC40" s="750"/>
      <c r="AD40" s="750"/>
      <c r="AE40" s="750"/>
    </row>
    <row r="41" spans="1:31">
      <c r="A41" s="757"/>
      <c r="B41" s="759"/>
      <c r="C41" s="699">
        <f t="shared" si="0"/>
        <v>0</v>
      </c>
      <c r="D41" s="703"/>
      <c r="E41" s="700"/>
      <c r="F41" s="699">
        <f t="shared" si="1"/>
        <v>0</v>
      </c>
      <c r="G41" s="699"/>
      <c r="H41" s="699"/>
      <c r="I41" s="706"/>
      <c r="J41" s="699"/>
      <c r="K41" s="699"/>
      <c r="L41" s="702"/>
      <c r="M41" s="699"/>
      <c r="N41" s="699"/>
      <c r="O41" s="699"/>
      <c r="P41" s="702"/>
      <c r="Q41" s="699"/>
      <c r="R41" s="702"/>
      <c r="S41" s="702"/>
      <c r="T41" s="987"/>
      <c r="U41" s="701"/>
      <c r="V41" s="700"/>
      <c r="W41" s="699">
        <f t="shared" si="2"/>
        <v>0</v>
      </c>
      <c r="X41" s="987"/>
      <c r="Y41" s="987"/>
      <c r="Z41" s="987"/>
      <c r="AA41" s="987"/>
      <c r="AB41" s="987"/>
      <c r="AC41" s="750"/>
      <c r="AD41" s="750"/>
      <c r="AE41" s="750"/>
    </row>
    <row r="42" spans="1:31">
      <c r="A42" s="757"/>
      <c r="B42" s="759"/>
      <c r="C42" s="699">
        <f t="shared" si="0"/>
        <v>0</v>
      </c>
      <c r="D42" s="703"/>
      <c r="E42" s="705"/>
      <c r="F42" s="699">
        <f t="shared" si="1"/>
        <v>0</v>
      </c>
      <c r="G42" s="699"/>
      <c r="H42" s="699"/>
      <c r="I42" s="706"/>
      <c r="J42" s="699"/>
      <c r="K42" s="699"/>
      <c r="L42" s="702"/>
      <c r="M42" s="699"/>
      <c r="N42" s="699"/>
      <c r="O42" s="699"/>
      <c r="P42" s="702"/>
      <c r="Q42" s="699"/>
      <c r="R42" s="702"/>
      <c r="S42" s="702"/>
      <c r="T42" s="987"/>
      <c r="U42" s="701"/>
      <c r="V42" s="705"/>
      <c r="W42" s="699">
        <f t="shared" si="2"/>
        <v>0</v>
      </c>
      <c r="X42" s="987"/>
      <c r="Y42" s="987"/>
      <c r="Z42" s="987"/>
      <c r="AA42" s="987"/>
      <c r="AB42" s="987"/>
      <c r="AC42" s="750"/>
      <c r="AD42" s="750"/>
      <c r="AE42" s="750"/>
    </row>
    <row r="43" spans="1:31">
      <c r="A43" s="757"/>
      <c r="B43" s="759"/>
      <c r="C43" s="699">
        <f t="shared" si="0"/>
        <v>0</v>
      </c>
      <c r="D43" s="703"/>
      <c r="E43" s="705"/>
      <c r="F43" s="699">
        <f t="shared" si="1"/>
        <v>0</v>
      </c>
      <c r="G43" s="699"/>
      <c r="H43" s="699"/>
      <c r="I43" s="706"/>
      <c r="J43" s="699"/>
      <c r="K43" s="699"/>
      <c r="L43" s="702"/>
      <c r="M43" s="699"/>
      <c r="N43" s="699"/>
      <c r="O43" s="699"/>
      <c r="P43" s="702"/>
      <c r="Q43" s="699"/>
      <c r="R43" s="702"/>
      <c r="S43" s="702"/>
      <c r="T43" s="987"/>
      <c r="U43" s="701"/>
      <c r="V43" s="705"/>
      <c r="W43" s="699">
        <f t="shared" si="2"/>
        <v>0</v>
      </c>
      <c r="X43" s="987"/>
      <c r="Y43" s="987"/>
      <c r="Z43" s="987"/>
      <c r="AA43" s="987"/>
      <c r="AB43" s="987"/>
      <c r="AC43" s="750"/>
      <c r="AD43" s="750"/>
      <c r="AE43" s="750"/>
    </row>
    <row r="44" spans="1:31">
      <c r="A44" s="757"/>
      <c r="B44" s="759"/>
      <c r="C44" s="699">
        <f t="shared" si="0"/>
        <v>0</v>
      </c>
      <c r="D44" s="703"/>
      <c r="E44" s="705"/>
      <c r="F44" s="699">
        <f t="shared" si="1"/>
        <v>0</v>
      </c>
      <c r="G44" s="699"/>
      <c r="H44" s="699"/>
      <c r="I44" s="706"/>
      <c r="J44" s="699"/>
      <c r="K44" s="699"/>
      <c r="L44" s="702"/>
      <c r="M44" s="699"/>
      <c r="N44" s="699"/>
      <c r="O44" s="699"/>
      <c r="P44" s="702"/>
      <c r="Q44" s="699"/>
      <c r="R44" s="702"/>
      <c r="S44" s="702"/>
      <c r="T44" s="987"/>
      <c r="U44" s="701"/>
      <c r="V44" s="705"/>
      <c r="W44" s="699">
        <f t="shared" si="2"/>
        <v>0</v>
      </c>
      <c r="X44" s="987"/>
      <c r="Y44" s="987"/>
      <c r="Z44" s="987"/>
      <c r="AA44" s="987"/>
      <c r="AB44" s="987"/>
      <c r="AC44" s="750"/>
      <c r="AD44" s="750"/>
      <c r="AE44" s="750"/>
    </row>
    <row r="45" spans="1:31">
      <c r="A45" s="757"/>
      <c r="B45" s="759"/>
      <c r="C45" s="699">
        <f t="shared" si="0"/>
        <v>0</v>
      </c>
      <c r="D45" s="703"/>
      <c r="E45" s="705"/>
      <c r="F45" s="699">
        <f t="shared" si="1"/>
        <v>0</v>
      </c>
      <c r="G45" s="699"/>
      <c r="H45" s="699"/>
      <c r="I45" s="706"/>
      <c r="J45" s="699"/>
      <c r="K45" s="699"/>
      <c r="L45" s="702"/>
      <c r="M45" s="699"/>
      <c r="N45" s="699"/>
      <c r="O45" s="699"/>
      <c r="P45" s="702"/>
      <c r="Q45" s="699"/>
      <c r="R45" s="702"/>
      <c r="S45" s="702"/>
      <c r="T45" s="987"/>
      <c r="U45" s="701"/>
      <c r="V45" s="705"/>
      <c r="W45" s="699">
        <f t="shared" si="2"/>
        <v>0</v>
      </c>
      <c r="X45" s="987"/>
      <c r="Y45" s="987"/>
      <c r="Z45" s="987"/>
      <c r="AA45" s="987"/>
      <c r="AB45" s="987"/>
      <c r="AC45" s="750"/>
      <c r="AD45" s="750"/>
      <c r="AE45" s="750"/>
    </row>
    <row r="46" spans="1:31">
      <c r="A46" s="757"/>
      <c r="B46" s="759"/>
      <c r="C46" s="699">
        <f t="shared" si="0"/>
        <v>0</v>
      </c>
      <c r="D46" s="703"/>
      <c r="E46" s="705"/>
      <c r="F46" s="699">
        <f t="shared" si="1"/>
        <v>0</v>
      </c>
      <c r="G46" s="699"/>
      <c r="H46" s="699"/>
      <c r="I46" s="706"/>
      <c r="J46" s="699"/>
      <c r="K46" s="699"/>
      <c r="L46" s="702"/>
      <c r="M46" s="699"/>
      <c r="N46" s="699"/>
      <c r="O46" s="699"/>
      <c r="P46" s="702"/>
      <c r="Q46" s="699"/>
      <c r="R46" s="702"/>
      <c r="S46" s="702"/>
      <c r="T46" s="987"/>
      <c r="U46" s="701"/>
      <c r="V46" s="705"/>
      <c r="W46" s="699">
        <f t="shared" si="2"/>
        <v>0</v>
      </c>
      <c r="X46" s="987"/>
      <c r="Y46" s="987"/>
      <c r="Z46" s="987"/>
      <c r="AA46" s="987"/>
      <c r="AB46" s="987"/>
      <c r="AC46" s="750"/>
      <c r="AD46" s="750"/>
      <c r="AE46" s="750"/>
    </row>
    <row r="47" spans="1:31">
      <c r="A47" s="757"/>
      <c r="B47" s="759"/>
      <c r="C47" s="699">
        <f t="shared" si="0"/>
        <v>0</v>
      </c>
      <c r="D47" s="703"/>
      <c r="E47" s="705"/>
      <c r="F47" s="699">
        <f t="shared" si="1"/>
        <v>0</v>
      </c>
      <c r="G47" s="699"/>
      <c r="H47" s="699"/>
      <c r="I47" s="706"/>
      <c r="J47" s="699"/>
      <c r="K47" s="699"/>
      <c r="L47" s="702"/>
      <c r="M47" s="699"/>
      <c r="N47" s="699"/>
      <c r="O47" s="699"/>
      <c r="P47" s="702"/>
      <c r="Q47" s="699"/>
      <c r="R47" s="702"/>
      <c r="S47" s="702"/>
      <c r="T47" s="987"/>
      <c r="U47" s="701"/>
      <c r="V47" s="705"/>
      <c r="W47" s="699">
        <f t="shared" si="2"/>
        <v>0</v>
      </c>
      <c r="X47" s="987"/>
      <c r="Y47" s="987"/>
      <c r="Z47" s="987"/>
      <c r="AA47" s="987"/>
      <c r="AB47" s="987"/>
      <c r="AC47" s="750"/>
      <c r="AD47" s="750"/>
      <c r="AE47" s="750"/>
    </row>
    <row r="48" spans="1:31">
      <c r="A48" s="757"/>
      <c r="B48" s="756"/>
      <c r="C48" s="699">
        <f t="shared" si="0"/>
        <v>0</v>
      </c>
      <c r="D48" s="703"/>
      <c r="E48" s="700"/>
      <c r="F48" s="699">
        <f t="shared" si="1"/>
        <v>0</v>
      </c>
      <c r="G48" s="699"/>
      <c r="H48" s="699"/>
      <c r="I48" s="699"/>
      <c r="J48" s="699"/>
      <c r="K48" s="699"/>
      <c r="L48" s="702"/>
      <c r="M48" s="699"/>
      <c r="N48" s="699"/>
      <c r="O48" s="699"/>
      <c r="P48" s="702"/>
      <c r="Q48" s="699"/>
      <c r="R48" s="702"/>
      <c r="S48" s="702"/>
      <c r="T48" s="987"/>
      <c r="U48" s="701"/>
      <c r="V48" s="700"/>
      <c r="W48" s="699">
        <f t="shared" si="2"/>
        <v>0</v>
      </c>
      <c r="X48" s="987"/>
      <c r="Y48" s="987"/>
      <c r="Z48" s="987"/>
      <c r="AA48" s="987"/>
      <c r="AB48" s="987"/>
      <c r="AC48" s="750"/>
      <c r="AD48" s="750"/>
      <c r="AE48" s="750"/>
    </row>
    <row r="49" spans="1:31">
      <c r="A49" s="754" t="s">
        <v>97</v>
      </c>
      <c r="B49" s="753" t="s">
        <v>17</v>
      </c>
      <c r="C49" s="989">
        <f>SUM(C15:C48)</f>
        <v>1404000</v>
      </c>
      <c r="D49" s="990"/>
      <c r="E49" s="990"/>
      <c r="F49" s="990">
        <f>SUM(F15:F48)</f>
        <v>1404000</v>
      </c>
      <c r="G49" s="990">
        <f t="shared" ref="G49:N49" si="3">SUM(G16:G48)</f>
        <v>175680</v>
      </c>
      <c r="H49" s="990">
        <f t="shared" si="3"/>
        <v>0</v>
      </c>
      <c r="I49" s="990">
        <f t="shared" si="3"/>
        <v>1404000</v>
      </c>
      <c r="J49" s="990">
        <f t="shared" si="3"/>
        <v>80970.14</v>
      </c>
      <c r="K49" s="990">
        <f>SUM(K17:K48)</f>
        <v>0</v>
      </c>
      <c r="L49" s="990">
        <f t="shared" si="3"/>
        <v>1323029.8599999999</v>
      </c>
      <c r="M49" s="990">
        <f t="shared" si="3"/>
        <v>0</v>
      </c>
      <c r="N49" s="990">
        <f t="shared" si="3"/>
        <v>134400</v>
      </c>
      <c r="O49" s="990"/>
      <c r="P49" s="990">
        <f>SUM(P16:P48)</f>
        <v>1121429</v>
      </c>
      <c r="Q49" s="990">
        <f>SUM(Q16:Q48)</f>
        <v>0</v>
      </c>
      <c r="R49" s="990">
        <f>SUM(R16:R48)</f>
        <v>492000</v>
      </c>
      <c r="S49" s="990">
        <f>SUM(S16:S48)</f>
        <v>629429</v>
      </c>
      <c r="T49" s="991">
        <f>W49-L49</f>
        <v>80970.14000000013</v>
      </c>
      <c r="U49" s="990"/>
      <c r="V49" s="990"/>
      <c r="W49" s="990">
        <f>SUM(W14:W48)</f>
        <v>1404000</v>
      </c>
      <c r="X49" s="990">
        <f>SUM(X16:X48)</f>
        <v>1323029.8600000001</v>
      </c>
      <c r="Y49" s="990">
        <f>SUM(Y16:Y48)</f>
        <v>134400</v>
      </c>
      <c r="Z49" s="990">
        <f>SUM(Z16:Z48)</f>
        <v>1121429</v>
      </c>
      <c r="AA49" s="990">
        <f>SUM(AA16:AA48)</f>
        <v>492000</v>
      </c>
      <c r="AB49" s="990">
        <f>SUM(AB16:AB48)</f>
        <v>1404000</v>
      </c>
      <c r="AC49" s="750"/>
      <c r="AD49" s="750"/>
      <c r="AE49" s="750"/>
    </row>
    <row r="50" spans="1:31">
      <c r="A50" s="1170"/>
      <c r="B50" s="1171"/>
      <c r="C50" s="764"/>
      <c r="D50" s="764"/>
      <c r="E50" s="764"/>
      <c r="F50" s="1172"/>
      <c r="G50" s="1172"/>
      <c r="H50" s="1172"/>
      <c r="I50" s="1172"/>
      <c r="J50" s="1172"/>
      <c r="K50" s="1172"/>
      <c r="L50" s="1172"/>
      <c r="M50" s="1172"/>
      <c r="N50" s="1172"/>
      <c r="O50" s="764"/>
      <c r="P50" s="1172"/>
      <c r="Q50" s="764"/>
      <c r="R50" s="764"/>
      <c r="S50" s="1173"/>
      <c r="T50" s="1173"/>
      <c r="U50" s="764"/>
      <c r="V50" s="764"/>
      <c r="W50" s="1172"/>
      <c r="X50" s="1173"/>
      <c r="Y50" s="1173"/>
      <c r="Z50" s="1173"/>
      <c r="AA50" s="1173"/>
      <c r="AB50" s="1173"/>
      <c r="AC50" s="750"/>
      <c r="AD50" s="750"/>
      <c r="AE50" s="750"/>
    </row>
    <row r="51" spans="1:31">
      <c r="A51" s="1170"/>
      <c r="B51" s="1171"/>
      <c r="C51" s="764"/>
      <c r="D51" s="764"/>
      <c r="E51" s="764"/>
      <c r="F51" s="1172"/>
      <c r="G51" s="1172"/>
      <c r="H51" s="1172"/>
      <c r="I51" s="1172"/>
      <c r="J51" s="1172"/>
      <c r="K51" s="1172"/>
      <c r="L51" s="1172"/>
      <c r="M51" s="1172"/>
      <c r="N51" s="1172"/>
      <c r="O51" s="764"/>
      <c r="P51" s="1172">
        <v>1116000</v>
      </c>
      <c r="Q51" s="764">
        <v>492000</v>
      </c>
      <c r="R51" s="764"/>
      <c r="S51" s="1173"/>
      <c r="T51" s="1173"/>
      <c r="U51" s="764"/>
      <c r="V51" s="764"/>
      <c r="W51" s="1172"/>
      <c r="X51" s="1173"/>
      <c r="Y51" s="1173"/>
      <c r="Z51" s="1173"/>
      <c r="AA51" s="1173"/>
      <c r="AB51" s="1173"/>
      <c r="AC51" s="750"/>
      <c r="AD51" s="750"/>
      <c r="AE51" s="750"/>
    </row>
    <row r="52" spans="1:31">
      <c r="A52" s="764"/>
      <c r="B52" s="764"/>
      <c r="C52" s="764"/>
      <c r="D52" s="764"/>
      <c r="E52" s="764"/>
      <c r="F52" s="1172"/>
      <c r="G52" s="764"/>
      <c r="H52" s="764"/>
      <c r="I52" s="764"/>
      <c r="J52" s="764"/>
      <c r="K52" s="764"/>
      <c r="L52" s="764"/>
      <c r="M52" s="764"/>
      <c r="N52" s="764"/>
      <c r="O52" s="764"/>
      <c r="P52" s="764">
        <v>1121429</v>
      </c>
      <c r="Q52" s="1173"/>
      <c r="R52" s="764"/>
      <c r="S52" s="1173"/>
      <c r="T52" s="1173"/>
      <c r="U52" s="764"/>
      <c r="V52" s="764"/>
      <c r="W52" s="1172"/>
      <c r="X52" s="1173"/>
      <c r="Y52" s="1173"/>
      <c r="Z52" s="1173"/>
      <c r="AA52" s="1173"/>
      <c r="AB52" s="1173"/>
      <c r="AC52" s="750"/>
      <c r="AD52" s="750"/>
      <c r="AE52" s="750"/>
    </row>
    <row r="53" spans="1:31">
      <c r="A53" s="764"/>
      <c r="B53" s="764"/>
      <c r="C53" s="764"/>
      <c r="D53" s="764"/>
      <c r="E53" s="764"/>
      <c r="F53" s="1172"/>
      <c r="G53" s="764"/>
      <c r="H53" s="764"/>
      <c r="I53" s="764"/>
      <c r="J53" s="764"/>
      <c r="K53" s="764"/>
      <c r="L53" s="764"/>
      <c r="M53" s="764"/>
      <c r="N53" s="764"/>
      <c r="O53" s="764"/>
      <c r="P53" s="764">
        <f>+P52-P51</f>
        <v>5429</v>
      </c>
      <c r="Q53" s="1173"/>
      <c r="R53" s="764"/>
      <c r="S53" s="1173"/>
      <c r="T53" s="1173"/>
      <c r="U53" s="764"/>
      <c r="V53" s="764"/>
      <c r="W53" s="1172"/>
      <c r="X53" s="1173"/>
      <c r="Y53" s="1173"/>
      <c r="Z53" s="1173"/>
      <c r="AA53" s="1173"/>
      <c r="AB53" s="1173"/>
      <c r="AC53" s="750"/>
      <c r="AD53" s="750"/>
      <c r="AE53" s="750"/>
    </row>
    <row r="54" spans="1:31">
      <c r="A54" s="764"/>
      <c r="B54" s="764"/>
      <c r="C54" s="764"/>
      <c r="D54" s="764"/>
      <c r="E54" s="764"/>
      <c r="F54" s="764"/>
      <c r="G54" s="764"/>
      <c r="H54" s="764"/>
      <c r="I54" s="764"/>
      <c r="J54" s="764"/>
      <c r="K54" s="764"/>
      <c r="L54" s="764"/>
      <c r="M54" s="764"/>
      <c r="N54" s="764"/>
      <c r="O54" s="764"/>
      <c r="P54" s="764"/>
      <c r="Q54" s="1173"/>
      <c r="R54" s="764"/>
      <c r="S54" s="1173"/>
      <c r="T54" s="1173"/>
      <c r="U54" s="764"/>
      <c r="V54" s="764"/>
      <c r="W54" s="764"/>
      <c r="X54" s="1173"/>
      <c r="Y54" s="1173"/>
      <c r="Z54" s="1173"/>
      <c r="AA54" s="1173"/>
      <c r="AB54" s="1173"/>
      <c r="AC54" s="750"/>
      <c r="AD54" s="750"/>
      <c r="AE54" s="750"/>
    </row>
    <row r="55" spans="1:31">
      <c r="A55" s="764" t="s">
        <v>59</v>
      </c>
      <c r="B55" s="764"/>
      <c r="C55" s="764"/>
      <c r="D55" s="764"/>
      <c r="E55" s="764"/>
      <c r="F55" s="1172"/>
      <c r="G55" s="764"/>
      <c r="H55" s="764"/>
      <c r="I55" s="764"/>
      <c r="J55" s="764"/>
      <c r="K55" s="764"/>
      <c r="L55" s="764"/>
      <c r="M55" s="764"/>
      <c r="N55" s="764"/>
      <c r="O55" s="764"/>
      <c r="P55" s="764"/>
      <c r="Q55" s="1173"/>
      <c r="R55" s="1173"/>
      <c r="S55" s="1173"/>
      <c r="T55" s="1173"/>
      <c r="U55" s="764"/>
      <c r="V55" s="764"/>
      <c r="W55" s="1172"/>
      <c r="X55" s="1173"/>
      <c r="Y55" s="1173"/>
      <c r="Z55" s="1173"/>
      <c r="AA55" s="1173"/>
      <c r="AB55" s="1173"/>
      <c r="AC55" s="750"/>
      <c r="AD55" s="750"/>
      <c r="AE55" s="750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B12">
    <cfRule type="cellIs" dxfId="25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C64"/>
  <sheetViews>
    <sheetView showGridLines="0" showZeros="0" topLeftCell="L1" zoomScale="90" zoomScaleNormal="90" workbookViewId="0">
      <selection activeCell="Z19" sqref="Z19:Z21"/>
    </sheetView>
  </sheetViews>
  <sheetFormatPr baseColWidth="10" defaultRowHeight="15.75" customHeight="1"/>
  <cols>
    <col min="1" max="1" width="10.25" customWidth="1"/>
    <col min="2" max="2" width="35.375" customWidth="1"/>
    <col min="3" max="9" width="11" style="792"/>
    <col min="10" max="10" width="12.5" style="792" bestFit="1" customWidth="1"/>
    <col min="11" max="34" width="11" style="792"/>
  </cols>
  <sheetData>
    <row r="1" spans="1:81" ht="24" customHeight="1">
      <c r="A1" s="1488" t="s">
        <v>57</v>
      </c>
      <c r="B1" s="381"/>
      <c r="C1" s="2135"/>
      <c r="D1" s="2135"/>
      <c r="E1" s="2398">
        <v>42369</v>
      </c>
      <c r="F1" s="2398"/>
      <c r="G1" s="2135"/>
      <c r="H1" s="2135"/>
      <c r="I1" s="2135"/>
      <c r="J1" s="2135"/>
      <c r="K1" s="2135"/>
      <c r="L1" s="2135"/>
      <c r="M1" s="2135"/>
      <c r="N1" s="2135"/>
      <c r="O1" s="2135"/>
      <c r="P1" s="2135"/>
      <c r="Q1" s="2135"/>
      <c r="R1" s="2135"/>
      <c r="S1" s="382"/>
      <c r="T1" s="382"/>
      <c r="U1" s="2135"/>
      <c r="V1" s="2135"/>
      <c r="W1" s="2135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3"/>
      <c r="AJ1" s="383"/>
      <c r="AK1" s="383"/>
      <c r="AL1" s="383"/>
      <c r="AM1" s="382"/>
      <c r="AN1" s="382"/>
      <c r="AO1" s="382"/>
      <c r="AP1" s="382"/>
      <c r="AQ1" s="382"/>
      <c r="AR1" s="382"/>
      <c r="AS1" s="382"/>
      <c r="AT1" s="382"/>
      <c r="AU1" s="382"/>
      <c r="AV1" s="381"/>
      <c r="AW1" s="382"/>
      <c r="AX1" s="382"/>
      <c r="AY1" s="382"/>
      <c r="AZ1" s="382"/>
      <c r="BA1" s="382"/>
      <c r="BB1" s="381"/>
      <c r="BC1" s="382"/>
      <c r="BD1" s="382"/>
      <c r="BE1" s="382"/>
      <c r="BF1" s="382"/>
      <c r="BG1" s="382"/>
      <c r="BH1" s="381"/>
      <c r="BI1" s="382"/>
      <c r="BJ1" s="382"/>
      <c r="BK1" s="382"/>
      <c r="BL1" s="382"/>
      <c r="BM1" s="382"/>
      <c r="BN1" s="381"/>
      <c r="BO1" s="381"/>
      <c r="BP1" s="381"/>
      <c r="BQ1" s="381"/>
      <c r="BR1" s="381"/>
      <c r="BS1" s="381"/>
      <c r="BT1" s="381"/>
      <c r="BU1" s="381"/>
      <c r="BV1" s="381"/>
      <c r="BW1" s="381"/>
      <c r="BX1" s="381"/>
      <c r="BY1" s="381"/>
      <c r="BZ1" s="381"/>
      <c r="CA1" s="381"/>
      <c r="CB1" s="381"/>
      <c r="CC1" s="381"/>
    </row>
    <row r="2" spans="1:81" ht="12.75" customHeight="1">
      <c r="A2" s="1075" t="s">
        <v>49</v>
      </c>
      <c r="B2" s="1208" t="s">
        <v>190</v>
      </c>
      <c r="C2" s="1079"/>
      <c r="D2" s="1079"/>
      <c r="E2" s="1079"/>
      <c r="F2" s="1079"/>
      <c r="G2" s="1079"/>
      <c r="H2" s="1079"/>
      <c r="I2" s="67"/>
      <c r="J2" s="67"/>
      <c r="K2" s="67"/>
      <c r="L2" s="67"/>
      <c r="M2" s="67"/>
      <c r="N2" s="67"/>
      <c r="O2" s="67"/>
      <c r="P2" s="67"/>
      <c r="Q2" s="67"/>
      <c r="R2" s="67"/>
      <c r="S2" s="68"/>
      <c r="T2" s="68"/>
      <c r="U2" s="67"/>
      <c r="V2" s="67"/>
      <c r="W2" s="67"/>
      <c r="X2" s="68"/>
      <c r="Y2" s="68"/>
      <c r="Z2" s="68"/>
      <c r="AA2" s="68"/>
      <c r="AB2" s="68"/>
      <c r="AC2" s="68"/>
      <c r="AD2" s="68"/>
      <c r="AE2" s="384"/>
      <c r="AF2" s="384"/>
      <c r="AG2" s="384"/>
      <c r="AH2" s="384"/>
      <c r="AI2" s="384"/>
      <c r="AJ2" s="384"/>
      <c r="AK2" s="384"/>
      <c r="AL2" s="384"/>
      <c r="AM2" s="384"/>
      <c r="AN2" s="384"/>
      <c r="AO2" s="384"/>
      <c r="AP2" s="384"/>
      <c r="AQ2" s="384"/>
      <c r="AR2" s="384"/>
      <c r="AS2" s="384"/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  <c r="BH2" s="384"/>
      <c r="BI2" s="384"/>
      <c r="BJ2" s="384"/>
      <c r="BK2" s="384"/>
      <c r="BL2" s="384"/>
      <c r="BM2" s="384"/>
      <c r="BN2" s="384"/>
      <c r="BO2" s="384"/>
      <c r="BP2" s="384"/>
      <c r="BQ2" s="384"/>
      <c r="BR2" s="384"/>
      <c r="BS2" s="384"/>
      <c r="BT2" s="384"/>
      <c r="BU2" s="384"/>
      <c r="BV2" s="384"/>
      <c r="BW2" s="384"/>
      <c r="BX2" s="384"/>
      <c r="BY2" s="384"/>
      <c r="BZ2" s="384"/>
      <c r="CA2" s="384"/>
      <c r="CB2" s="384"/>
      <c r="CC2" s="384"/>
    </row>
    <row r="3" spans="1:81" ht="12.75" customHeight="1">
      <c r="A3" s="385" t="s">
        <v>60</v>
      </c>
      <c r="B3" s="385" t="s">
        <v>50</v>
      </c>
      <c r="C3" s="2136" t="s">
        <v>66</v>
      </c>
      <c r="D3" s="2136" t="s">
        <v>52</v>
      </c>
      <c r="E3" s="2136"/>
      <c r="F3" s="2136" t="s">
        <v>84</v>
      </c>
      <c r="G3" s="2136" t="s">
        <v>106</v>
      </c>
      <c r="H3" s="2136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  <c r="AC3" s="68"/>
      <c r="AD3" s="68"/>
      <c r="AE3" s="384"/>
      <c r="AF3" s="384"/>
      <c r="AG3" s="384"/>
      <c r="AH3" s="384"/>
      <c r="AI3" s="384"/>
      <c r="AJ3" s="384"/>
      <c r="AK3" s="384"/>
      <c r="AL3" s="384"/>
      <c r="AM3" s="384"/>
      <c r="AN3" s="384"/>
      <c r="AO3" s="384"/>
      <c r="AP3" s="384"/>
      <c r="AQ3" s="384"/>
      <c r="AR3" s="384"/>
      <c r="AS3" s="384"/>
      <c r="AT3" s="384"/>
      <c r="AU3" s="384"/>
      <c r="AV3" s="384"/>
      <c r="AW3" s="384"/>
      <c r="AX3" s="384"/>
      <c r="AY3" s="384"/>
      <c r="AZ3" s="384"/>
      <c r="BA3" s="384"/>
      <c r="BB3" s="384"/>
      <c r="BC3" s="384"/>
      <c r="BD3" s="384"/>
      <c r="BE3" s="384"/>
      <c r="BF3" s="384"/>
      <c r="BG3" s="384"/>
      <c r="BH3" s="384"/>
      <c r="BI3" s="384"/>
      <c r="BJ3" s="384"/>
      <c r="BK3" s="384"/>
      <c r="BL3" s="384"/>
      <c r="BM3" s="384"/>
      <c r="BN3" s="384"/>
      <c r="BO3" s="384"/>
      <c r="BP3" s="384"/>
      <c r="BQ3" s="384"/>
      <c r="BR3" s="384"/>
      <c r="BS3" s="384"/>
      <c r="BT3" s="384"/>
      <c r="BU3" s="384"/>
      <c r="BV3" s="384"/>
      <c r="BW3" s="384"/>
      <c r="BX3" s="384"/>
      <c r="BY3" s="384"/>
      <c r="BZ3" s="384"/>
      <c r="CA3" s="384"/>
      <c r="CB3" s="384"/>
      <c r="CC3" s="384"/>
    </row>
    <row r="4" spans="1:81" ht="12.75" customHeight="1">
      <c r="A4" s="1077" t="s">
        <v>61</v>
      </c>
      <c r="B4" s="386" t="s">
        <v>191</v>
      </c>
      <c r="C4" s="216" t="s">
        <v>81</v>
      </c>
      <c r="D4" s="216"/>
      <c r="E4" s="216"/>
      <c r="F4" s="217"/>
      <c r="G4" s="217"/>
      <c r="H4" s="217"/>
      <c r="I4" s="64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  <c r="AC4" s="68"/>
      <c r="AD4" s="68"/>
      <c r="AE4" s="384"/>
      <c r="AF4" s="384"/>
      <c r="AG4" s="384"/>
      <c r="AH4" s="384"/>
      <c r="AI4" s="384"/>
      <c r="AJ4" s="384"/>
      <c r="AK4" s="384"/>
      <c r="AL4" s="384"/>
      <c r="AM4" s="384"/>
      <c r="AN4" s="384"/>
      <c r="AO4" s="384"/>
      <c r="AP4" s="384"/>
      <c r="AQ4" s="384"/>
      <c r="AR4" s="384"/>
      <c r="AS4" s="384"/>
      <c r="AT4" s="384"/>
      <c r="AU4" s="384"/>
      <c r="AV4" s="384"/>
      <c r="AW4" s="384"/>
      <c r="AX4" s="384"/>
      <c r="AY4" s="384"/>
      <c r="AZ4" s="384"/>
      <c r="BA4" s="384"/>
      <c r="BB4" s="384"/>
      <c r="BC4" s="384"/>
      <c r="BD4" s="384"/>
      <c r="BE4" s="384"/>
      <c r="BF4" s="384"/>
      <c r="BG4" s="384"/>
      <c r="BH4" s="384"/>
      <c r="BI4" s="384"/>
      <c r="BJ4" s="384"/>
      <c r="BK4" s="384"/>
      <c r="BL4" s="384"/>
      <c r="BM4" s="384"/>
      <c r="BN4" s="384"/>
      <c r="BO4" s="384"/>
      <c r="BP4" s="384"/>
      <c r="BQ4" s="384"/>
      <c r="BR4" s="384"/>
      <c r="BS4" s="384"/>
      <c r="BT4" s="384"/>
      <c r="BU4" s="384"/>
      <c r="BV4" s="384"/>
      <c r="BW4" s="384"/>
      <c r="BX4" s="384"/>
      <c r="BY4" s="384"/>
      <c r="BZ4" s="384"/>
      <c r="CA4" s="384"/>
      <c r="CB4" s="384"/>
      <c r="CC4" s="384"/>
    </row>
    <row r="5" spans="1:81" ht="12.75" customHeight="1">
      <c r="A5" s="1078" t="s">
        <v>62</v>
      </c>
      <c r="B5" s="73">
        <v>201100350</v>
      </c>
      <c r="C5" s="1076"/>
      <c r="D5" s="1076"/>
      <c r="E5" s="1076"/>
      <c r="F5" s="1075"/>
      <c r="G5" s="1075"/>
      <c r="H5" s="1079"/>
      <c r="I5" s="67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  <c r="AC5" s="68"/>
      <c r="AD5" s="68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4"/>
      <c r="AP5" s="384"/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4"/>
      <c r="BC5" s="384"/>
      <c r="BD5" s="384"/>
      <c r="BE5" s="384"/>
      <c r="BF5" s="384"/>
      <c r="BG5" s="384"/>
      <c r="BH5" s="384"/>
      <c r="BI5" s="384"/>
      <c r="BJ5" s="384"/>
      <c r="BK5" s="384"/>
      <c r="BL5" s="384"/>
      <c r="BM5" s="384"/>
      <c r="BN5" s="384"/>
      <c r="BO5" s="384"/>
      <c r="BP5" s="384"/>
      <c r="BQ5" s="384"/>
      <c r="BR5" s="384"/>
      <c r="BS5" s="384"/>
      <c r="BT5" s="384"/>
      <c r="BU5" s="384"/>
      <c r="BV5" s="384"/>
      <c r="BW5" s="384"/>
      <c r="BX5" s="384"/>
      <c r="BY5" s="384"/>
      <c r="BZ5" s="384"/>
      <c r="CA5" s="384"/>
      <c r="CB5" s="384"/>
      <c r="CC5" s="384"/>
    </row>
    <row r="6" spans="1:81" ht="15.75" customHeight="1">
      <c r="A6" s="1078" t="s">
        <v>51</v>
      </c>
      <c r="B6" s="385"/>
      <c r="C6" s="1076"/>
      <c r="D6" s="2433"/>
      <c r="E6" s="2433"/>
      <c r="F6" s="1075"/>
      <c r="G6" s="1075"/>
      <c r="H6" s="1209"/>
      <c r="I6" s="76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  <c r="AC6" s="68"/>
      <c r="AD6" s="68"/>
      <c r="AE6" s="384"/>
      <c r="AF6" s="384"/>
      <c r="AG6" s="384"/>
      <c r="AH6" s="384"/>
      <c r="AI6" s="384"/>
      <c r="AJ6" s="384"/>
      <c r="AK6" s="384"/>
      <c r="AL6" s="384"/>
      <c r="AM6" s="384"/>
      <c r="AN6" s="384"/>
      <c r="AO6" s="384"/>
      <c r="AP6" s="384"/>
      <c r="AQ6" s="384"/>
      <c r="AR6" s="384"/>
      <c r="AS6" s="384"/>
      <c r="AT6" s="384"/>
      <c r="AU6" s="384"/>
      <c r="AV6" s="384"/>
      <c r="AW6" s="384"/>
      <c r="AX6" s="384"/>
      <c r="AY6" s="384"/>
      <c r="AZ6" s="384"/>
      <c r="BA6" s="384"/>
      <c r="BB6" s="384"/>
      <c r="BC6" s="384"/>
      <c r="BD6" s="384"/>
      <c r="BE6" s="384"/>
      <c r="BF6" s="384"/>
      <c r="BG6" s="384"/>
      <c r="BH6" s="384"/>
      <c r="BI6" s="384"/>
      <c r="BJ6" s="384"/>
      <c r="BK6" s="384"/>
      <c r="BL6" s="384"/>
      <c r="BM6" s="384"/>
      <c r="BN6" s="384"/>
      <c r="BO6" s="384"/>
      <c r="BP6" s="384"/>
      <c r="BQ6" s="384"/>
      <c r="BR6" s="384"/>
      <c r="BS6" s="384"/>
      <c r="BT6" s="384"/>
      <c r="BU6" s="384"/>
      <c r="BV6" s="384"/>
      <c r="BW6" s="384"/>
      <c r="BX6" s="384"/>
      <c r="BY6" s="384"/>
      <c r="BZ6" s="384"/>
      <c r="CA6" s="384"/>
      <c r="CB6" s="384"/>
      <c r="CC6" s="384"/>
    </row>
    <row r="7" spans="1:81" ht="12.75" customHeight="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  <c r="AC7" s="68"/>
      <c r="AD7" s="68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4"/>
      <c r="AP7" s="384"/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4"/>
      <c r="BC7" s="384"/>
      <c r="BD7" s="384"/>
      <c r="BE7" s="384"/>
      <c r="BF7" s="384"/>
      <c r="BG7" s="384"/>
      <c r="BH7" s="384"/>
      <c r="BI7" s="384"/>
      <c r="BJ7" s="384"/>
      <c r="BK7" s="384"/>
      <c r="BL7" s="384"/>
      <c r="BM7" s="384"/>
      <c r="BN7" s="384"/>
      <c r="BO7" s="384"/>
      <c r="BP7" s="384"/>
      <c r="BQ7" s="384"/>
      <c r="BR7" s="384"/>
      <c r="BS7" s="384"/>
      <c r="BT7" s="384"/>
      <c r="BU7" s="384"/>
      <c r="BV7" s="384"/>
      <c r="BW7" s="384"/>
      <c r="BX7" s="384"/>
      <c r="BY7" s="384"/>
      <c r="BZ7" s="384"/>
      <c r="CA7" s="384"/>
      <c r="CB7" s="384"/>
      <c r="CC7" s="384"/>
    </row>
    <row r="8" spans="1:81" ht="15.75" customHeight="1">
      <c r="A8" s="80" t="s">
        <v>0</v>
      </c>
      <c r="B8" s="80" t="s">
        <v>1</v>
      </c>
      <c r="C8" s="81" t="s">
        <v>2</v>
      </c>
      <c r="D8" s="82" t="s">
        <v>3</v>
      </c>
      <c r="E8" s="83"/>
      <c r="F8" s="84"/>
      <c r="G8" s="85" t="s">
        <v>4</v>
      </c>
      <c r="H8" s="86"/>
      <c r="I8" s="85" t="s">
        <v>5</v>
      </c>
      <c r="J8" s="86"/>
      <c r="K8" s="87" t="s">
        <v>6</v>
      </c>
      <c r="L8" s="87"/>
      <c r="M8" s="87"/>
      <c r="N8" s="87"/>
      <c r="O8" s="83" t="s">
        <v>7</v>
      </c>
      <c r="P8" s="84"/>
      <c r="Q8" s="83" t="s">
        <v>8</v>
      </c>
      <c r="R8" s="84"/>
      <c r="S8" s="88"/>
      <c r="T8" s="89"/>
      <c r="U8" s="90" t="s">
        <v>82</v>
      </c>
      <c r="V8" s="91"/>
      <c r="W8" s="92"/>
      <c r="X8" s="2427" t="str">
        <f>"Production cumulée au 31/12/"&amp;(YEAR($E$1)-1)</f>
        <v>Production cumulée au 31/12/2014</v>
      </c>
      <c r="Y8" s="2427" t="str">
        <f>"Sous traitance cumulée au 31/12/"&amp;(YEAR($E$1)-1)</f>
        <v>Sous traitance cumulée au 31/12/2014</v>
      </c>
      <c r="Z8" s="2427" t="str">
        <f>"Facturation cumulée au 31/12/"&amp;(YEAR($E$1)-1)</f>
        <v>Facturation cumulée au 31/12/2014</v>
      </c>
      <c r="AA8" s="2427" t="str">
        <f>"Encaissement cumulé au 31/12/"&amp;(YEAR($E$1)-1)</f>
        <v>Encaissement cumulé au 31/12/2014</v>
      </c>
      <c r="AB8" s="2406" t="s">
        <v>64</v>
      </c>
      <c r="AC8" s="93"/>
      <c r="AD8" s="93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</row>
    <row r="9" spans="1:81" ht="8.25" customHeight="1">
      <c r="A9" s="95" t="s">
        <v>9</v>
      </c>
      <c r="B9" s="96"/>
      <c r="C9" s="97"/>
      <c r="D9" s="98"/>
      <c r="E9" s="99"/>
      <c r="F9" s="100"/>
      <c r="G9" s="101"/>
      <c r="H9" s="102"/>
      <c r="I9" s="101" t="s">
        <v>10</v>
      </c>
      <c r="J9" s="101"/>
      <c r="K9" s="103" t="s">
        <v>11</v>
      </c>
      <c r="L9" s="103"/>
      <c r="M9" s="103"/>
      <c r="N9" s="103" t="s">
        <v>12</v>
      </c>
      <c r="O9" s="99"/>
      <c r="P9" s="100"/>
      <c r="Q9" s="99"/>
      <c r="R9" s="104"/>
      <c r="S9" s="105" t="s">
        <v>13</v>
      </c>
      <c r="T9" s="106" t="s">
        <v>14</v>
      </c>
      <c r="U9" s="107"/>
      <c r="V9" s="108"/>
      <c r="W9" s="109"/>
      <c r="X9" s="2428"/>
      <c r="Y9" s="2428"/>
      <c r="Z9" s="2428"/>
      <c r="AA9" s="2428"/>
      <c r="AB9" s="2407"/>
      <c r="AC9" s="93"/>
      <c r="AD9" s="93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</row>
    <row r="10" spans="1:81" ht="8.25" customHeight="1">
      <c r="A10" s="96"/>
      <c r="B10" s="96"/>
      <c r="C10" s="97"/>
      <c r="D10" s="110" t="s">
        <v>15</v>
      </c>
      <c r="E10" s="110" t="s">
        <v>16</v>
      </c>
      <c r="F10" s="87" t="s">
        <v>17</v>
      </c>
      <c r="G10" s="101"/>
      <c r="H10" s="102"/>
      <c r="I10" s="101"/>
      <c r="J10" s="101"/>
      <c r="K10" s="111" t="s">
        <v>18</v>
      </c>
      <c r="L10" s="111" t="s">
        <v>17</v>
      </c>
      <c r="M10" s="111" t="s">
        <v>19</v>
      </c>
      <c r="N10" s="111" t="s">
        <v>20</v>
      </c>
      <c r="O10" s="110" t="s">
        <v>16</v>
      </c>
      <c r="P10" s="87" t="s">
        <v>17</v>
      </c>
      <c r="Q10" s="110" t="s">
        <v>16</v>
      </c>
      <c r="R10" s="87" t="s">
        <v>17</v>
      </c>
      <c r="S10" s="105" t="s">
        <v>21</v>
      </c>
      <c r="T10" s="106" t="s">
        <v>22</v>
      </c>
      <c r="U10" s="110" t="s">
        <v>15</v>
      </c>
      <c r="V10" s="110" t="s">
        <v>16</v>
      </c>
      <c r="W10" s="87" t="s">
        <v>17</v>
      </c>
      <c r="X10" s="2428"/>
      <c r="Y10" s="2428"/>
      <c r="Z10" s="2428"/>
      <c r="AA10" s="2428"/>
      <c r="AB10" s="2407"/>
      <c r="AC10" s="93"/>
      <c r="AD10" s="93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</row>
    <row r="11" spans="1:81" ht="8.25" customHeight="1">
      <c r="A11" s="96"/>
      <c r="B11" s="96"/>
      <c r="C11" s="97"/>
      <c r="D11" s="105" t="s">
        <v>23</v>
      </c>
      <c r="E11" s="105"/>
      <c r="F11" s="103" t="s">
        <v>23</v>
      </c>
      <c r="G11" s="87" t="s">
        <v>24</v>
      </c>
      <c r="H11" s="87" t="s">
        <v>25</v>
      </c>
      <c r="I11" s="87" t="s">
        <v>26</v>
      </c>
      <c r="J11" s="87" t="s">
        <v>27</v>
      </c>
      <c r="K11" s="103" t="s">
        <v>28</v>
      </c>
      <c r="L11" s="103" t="s">
        <v>29</v>
      </c>
      <c r="M11" s="103" t="s">
        <v>30</v>
      </c>
      <c r="N11" s="103" t="s">
        <v>31</v>
      </c>
      <c r="O11" s="105"/>
      <c r="P11" s="103" t="s">
        <v>23</v>
      </c>
      <c r="Q11" s="105"/>
      <c r="R11" s="103" t="s">
        <v>23</v>
      </c>
      <c r="S11" s="97"/>
      <c r="T11" s="106" t="s">
        <v>32</v>
      </c>
      <c r="U11" s="105" t="s">
        <v>23</v>
      </c>
      <c r="V11" s="105"/>
      <c r="W11" s="103" t="s">
        <v>23</v>
      </c>
      <c r="X11" s="2428"/>
      <c r="Y11" s="2428"/>
      <c r="Z11" s="2428"/>
      <c r="AA11" s="2428"/>
      <c r="AB11" s="2407"/>
      <c r="AC11" s="93"/>
      <c r="AD11" s="93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</row>
    <row r="12" spans="1:81" ht="8.25" customHeight="1">
      <c r="A12" s="96"/>
      <c r="B12" s="96"/>
      <c r="C12" s="97"/>
      <c r="D12" s="97"/>
      <c r="E12" s="97"/>
      <c r="F12" s="112"/>
      <c r="G12" s="112"/>
      <c r="H12" s="112"/>
      <c r="I12" s="112"/>
      <c r="J12" s="103" t="s">
        <v>33</v>
      </c>
      <c r="K12" s="103" t="s">
        <v>34</v>
      </c>
      <c r="L12" s="103"/>
      <c r="M12" s="103"/>
      <c r="N12" s="103"/>
      <c r="O12" s="97"/>
      <c r="P12" s="112"/>
      <c r="Q12" s="97"/>
      <c r="R12" s="112"/>
      <c r="S12" s="113"/>
      <c r="T12" s="114"/>
      <c r="U12" s="97"/>
      <c r="V12" s="97"/>
      <c r="W12" s="112"/>
      <c r="X12" s="2428"/>
      <c r="Y12" s="2428"/>
      <c r="Z12" s="2428"/>
      <c r="AA12" s="2428"/>
      <c r="AB12" s="2407"/>
      <c r="AC12" s="68"/>
      <c r="AD12" s="68"/>
      <c r="AE12" s="384"/>
      <c r="AF12" s="384"/>
      <c r="AG12" s="384"/>
      <c r="AH12" s="384"/>
      <c r="AI12" s="384"/>
      <c r="AJ12" s="384"/>
      <c r="AK12" s="384"/>
      <c r="AL12" s="384"/>
      <c r="AM12" s="384"/>
      <c r="AN12" s="384"/>
      <c r="AO12" s="384"/>
      <c r="AP12" s="384"/>
      <c r="AQ12" s="384"/>
      <c r="AR12" s="384"/>
      <c r="AS12" s="384"/>
      <c r="AT12" s="384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</row>
    <row r="13" spans="1:81" ht="11.25" customHeight="1">
      <c r="A13" s="115"/>
      <c r="B13" s="115" t="s">
        <v>35</v>
      </c>
      <c r="C13" s="116" t="s">
        <v>36</v>
      </c>
      <c r="D13" s="116"/>
      <c r="E13" s="116"/>
      <c r="F13" s="117" t="s">
        <v>37</v>
      </c>
      <c r="G13" s="117" t="s">
        <v>38</v>
      </c>
      <c r="H13" s="117" t="s">
        <v>39</v>
      </c>
      <c r="I13" s="117" t="s">
        <v>40</v>
      </c>
      <c r="J13" s="117" t="s">
        <v>41</v>
      </c>
      <c r="K13" s="117" t="s">
        <v>42</v>
      </c>
      <c r="L13" s="117" t="s">
        <v>43</v>
      </c>
      <c r="M13" s="117" t="s">
        <v>44</v>
      </c>
      <c r="N13" s="117" t="s">
        <v>45</v>
      </c>
      <c r="O13" s="116"/>
      <c r="P13" s="117" t="s">
        <v>37</v>
      </c>
      <c r="Q13" s="116" t="s">
        <v>46</v>
      </c>
      <c r="R13" s="116"/>
      <c r="S13" s="118" t="s">
        <v>47</v>
      </c>
      <c r="T13" s="119" t="s">
        <v>48</v>
      </c>
      <c r="U13" s="116"/>
      <c r="V13" s="116"/>
      <c r="W13" s="117" t="s">
        <v>37</v>
      </c>
      <c r="X13" s="119" t="s">
        <v>86</v>
      </c>
      <c r="Y13" s="119"/>
      <c r="Z13" s="119"/>
      <c r="AA13" s="119"/>
      <c r="AB13" s="119"/>
      <c r="AC13" s="68"/>
      <c r="AD13" s="68"/>
      <c r="AE13" s="384"/>
      <c r="AF13" s="384"/>
      <c r="AG13" s="384"/>
      <c r="AH13" s="384"/>
      <c r="AI13" s="384"/>
      <c r="AJ13" s="384"/>
      <c r="AK13" s="384"/>
      <c r="AL13" s="384"/>
      <c r="AM13" s="384"/>
      <c r="AN13" s="384"/>
      <c r="AO13" s="384"/>
      <c r="AP13" s="384"/>
      <c r="AQ13" s="384"/>
      <c r="AR13" s="384"/>
      <c r="AS13" s="384"/>
      <c r="AT13" s="384"/>
      <c r="AU13" s="384"/>
      <c r="AV13" s="384"/>
      <c r="AW13" s="384"/>
      <c r="AX13" s="384"/>
      <c r="AY13" s="384"/>
      <c r="AZ13" s="384"/>
      <c r="BA13" s="384"/>
      <c r="BB13" s="384"/>
      <c r="BC13" s="384"/>
      <c r="BD13" s="384"/>
      <c r="BE13" s="384"/>
      <c r="BF13" s="384"/>
      <c r="BG13" s="384"/>
      <c r="BH13" s="384"/>
      <c r="BI13" s="384"/>
      <c r="BJ13" s="384"/>
      <c r="BK13" s="384"/>
      <c r="BL13" s="384"/>
      <c r="BM13" s="384"/>
      <c r="BN13" s="384"/>
      <c r="BO13" s="384"/>
      <c r="BP13" s="384"/>
      <c r="BQ13" s="384"/>
      <c r="BR13" s="384"/>
      <c r="BS13" s="384"/>
      <c r="BT13" s="384"/>
      <c r="BU13" s="384"/>
      <c r="BV13" s="384"/>
      <c r="BW13" s="384"/>
      <c r="BX13" s="384"/>
      <c r="BY13" s="384"/>
      <c r="BZ13" s="384"/>
      <c r="CA13" s="384"/>
      <c r="CB13" s="384"/>
      <c r="CC13" s="384"/>
    </row>
    <row r="14" spans="1:81" ht="15.75" customHeight="1">
      <c r="A14" s="169"/>
      <c r="B14" s="170"/>
      <c r="C14" s="128"/>
      <c r="D14" s="128"/>
      <c r="E14" s="128"/>
      <c r="F14" s="127"/>
      <c r="G14" s="127"/>
      <c r="H14" s="127"/>
      <c r="I14" s="127"/>
      <c r="J14" s="127"/>
      <c r="K14" s="127"/>
      <c r="L14" s="127"/>
      <c r="M14" s="127"/>
      <c r="N14" s="127"/>
      <c r="O14" s="128"/>
      <c r="P14" s="127">
        <v>0</v>
      </c>
      <c r="Q14" s="128"/>
      <c r="R14" s="128">
        <v>0</v>
      </c>
      <c r="S14" s="128"/>
      <c r="T14" s="129"/>
      <c r="U14" s="128"/>
      <c r="V14" s="128"/>
      <c r="W14" s="127"/>
      <c r="X14" s="127"/>
      <c r="Y14" s="127"/>
      <c r="Z14" s="127">
        <v>0</v>
      </c>
      <c r="AA14" s="128">
        <v>0</v>
      </c>
      <c r="AB14" s="129"/>
      <c r="AC14" s="68"/>
      <c r="AD14" s="68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384"/>
      <c r="AU14" s="384"/>
      <c r="AV14" s="384"/>
      <c r="AW14" s="384"/>
      <c r="AX14" s="384"/>
      <c r="AY14" s="384"/>
      <c r="AZ14" s="384"/>
      <c r="BA14" s="384"/>
      <c r="BB14" s="384"/>
      <c r="BC14" s="384"/>
      <c r="BD14" s="384"/>
      <c r="BE14" s="384"/>
      <c r="BF14" s="384"/>
      <c r="BG14" s="384"/>
      <c r="BH14" s="384"/>
      <c r="BI14" s="384"/>
      <c r="BJ14" s="384"/>
      <c r="BK14" s="384"/>
      <c r="BL14" s="384"/>
      <c r="BM14" s="384"/>
      <c r="BN14" s="384"/>
      <c r="BO14" s="384"/>
      <c r="BP14" s="384"/>
      <c r="BQ14" s="384"/>
      <c r="BR14" s="384"/>
      <c r="BS14" s="384"/>
      <c r="BT14" s="384"/>
      <c r="BU14" s="384"/>
      <c r="BV14" s="384"/>
      <c r="BW14" s="384"/>
      <c r="BX14" s="384"/>
      <c r="BY14" s="384"/>
      <c r="BZ14" s="384"/>
      <c r="CA14" s="384"/>
      <c r="CB14" s="384"/>
      <c r="CC14" s="384"/>
    </row>
    <row r="15" spans="1:81" ht="15.75" customHeight="1">
      <c r="A15" s="171"/>
      <c r="B15" s="172"/>
      <c r="C15" s="150"/>
      <c r="D15" s="17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4"/>
      <c r="Q15" s="133"/>
      <c r="R15" s="135"/>
      <c r="S15" s="135"/>
      <c r="T15" s="137"/>
      <c r="U15" s="124"/>
      <c r="V15" s="174"/>
      <c r="W15" s="124"/>
      <c r="X15" s="133"/>
      <c r="Y15" s="133"/>
      <c r="Z15" s="134"/>
      <c r="AA15" s="135"/>
      <c r="AB15" s="137"/>
      <c r="AC15" s="68"/>
      <c r="AD15" s="68"/>
      <c r="AE15" s="384"/>
      <c r="AF15" s="384"/>
      <c r="AG15" s="384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384"/>
      <c r="AU15" s="384"/>
      <c r="AV15" s="384"/>
      <c r="AW15" s="384"/>
      <c r="AX15" s="384"/>
      <c r="AY15" s="384"/>
      <c r="AZ15" s="384"/>
      <c r="BA15" s="384"/>
      <c r="BB15" s="384"/>
      <c r="BC15" s="384"/>
      <c r="BD15" s="384"/>
      <c r="BE15" s="384"/>
      <c r="BF15" s="384"/>
      <c r="BG15" s="384"/>
      <c r="BH15" s="384"/>
      <c r="BI15" s="384"/>
      <c r="BJ15" s="384"/>
      <c r="BK15" s="384"/>
      <c r="BL15" s="384"/>
      <c r="BM15" s="384"/>
      <c r="BN15" s="384"/>
      <c r="BO15" s="384"/>
      <c r="BP15" s="384"/>
      <c r="BQ15" s="384"/>
      <c r="BR15" s="384"/>
      <c r="BS15" s="384"/>
      <c r="BT15" s="384"/>
      <c r="BU15" s="384"/>
      <c r="BV15" s="384"/>
      <c r="BW15" s="384"/>
      <c r="BX15" s="384"/>
      <c r="BY15" s="384"/>
      <c r="BZ15" s="384"/>
      <c r="CA15" s="384"/>
      <c r="CB15" s="384"/>
      <c r="CC15" s="384"/>
    </row>
    <row r="16" spans="1:81" ht="15.75" customHeight="1">
      <c r="A16" s="67"/>
      <c r="B16" s="798"/>
      <c r="C16" s="175"/>
      <c r="D16" s="175"/>
      <c r="E16" s="176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4"/>
      <c r="Q16" s="133"/>
      <c r="R16" s="135"/>
      <c r="S16" s="135"/>
      <c r="T16" s="138"/>
      <c r="U16" s="143"/>
      <c r="V16" s="141"/>
      <c r="W16" s="124"/>
      <c r="X16" s="133"/>
      <c r="Y16" s="133"/>
      <c r="Z16" s="134"/>
      <c r="AA16" s="135"/>
      <c r="AB16" s="138"/>
      <c r="AC16" s="68"/>
      <c r="AD16" s="68"/>
      <c r="AE16" s="384"/>
      <c r="AF16" s="384"/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84"/>
      <c r="BV16" s="384"/>
      <c r="BW16" s="384"/>
      <c r="BX16" s="384"/>
      <c r="BY16" s="384"/>
      <c r="BZ16" s="384"/>
      <c r="CA16" s="384"/>
      <c r="CB16" s="384"/>
      <c r="CC16" s="384"/>
    </row>
    <row r="17" spans="1:81" ht="15.75" customHeight="1">
      <c r="A17" s="177"/>
      <c r="B17" s="167"/>
      <c r="C17" s="175"/>
      <c r="D17" s="175"/>
      <c r="E17" s="176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4"/>
      <c r="Q17" s="133"/>
      <c r="R17" s="135"/>
      <c r="S17" s="135"/>
      <c r="T17" s="138"/>
      <c r="U17" s="143"/>
      <c r="V17" s="141"/>
      <c r="W17" s="124"/>
      <c r="X17" s="133"/>
      <c r="Y17" s="133"/>
      <c r="Z17" s="134"/>
      <c r="AA17" s="135"/>
      <c r="AB17" s="138"/>
      <c r="AC17" s="2137"/>
      <c r="AD17" s="2137"/>
      <c r="AE17" s="2137"/>
      <c r="AF17" s="2137"/>
      <c r="AG17" s="2137"/>
      <c r="AH17" s="2137"/>
      <c r="AI17" s="383"/>
      <c r="AJ17" s="383"/>
      <c r="AK17" s="383"/>
      <c r="AL17" s="383"/>
      <c r="AM17" s="383"/>
      <c r="AN17" s="383"/>
      <c r="AO17" s="383"/>
      <c r="AP17" s="383"/>
      <c r="AQ17" s="383"/>
      <c r="AR17" s="383"/>
      <c r="AS17" s="383"/>
      <c r="AT17" s="383"/>
      <c r="AU17" s="383"/>
      <c r="AV17" s="383"/>
      <c r="AW17" s="383"/>
      <c r="AX17" s="383"/>
      <c r="AY17" s="383"/>
      <c r="AZ17" s="383"/>
      <c r="BA17" s="383"/>
      <c r="BB17" s="383"/>
      <c r="BC17" s="383"/>
      <c r="BD17" s="383"/>
      <c r="BE17" s="383"/>
      <c r="BF17" s="383"/>
      <c r="BG17" s="383"/>
      <c r="BH17" s="383"/>
      <c r="BI17" s="383"/>
      <c r="BJ17" s="383"/>
      <c r="BK17" s="383"/>
      <c r="BL17" s="383"/>
      <c r="BM17" s="383"/>
      <c r="BN17" s="383"/>
      <c r="BO17" s="383"/>
      <c r="BP17" s="383"/>
      <c r="BQ17" s="383"/>
      <c r="BR17" s="383"/>
      <c r="BS17" s="383"/>
      <c r="BT17" s="383"/>
      <c r="BU17" s="383"/>
      <c r="BV17" s="383"/>
      <c r="BW17" s="383"/>
      <c r="BX17" s="383"/>
      <c r="BY17" s="383"/>
      <c r="BZ17" s="383"/>
      <c r="CA17" s="383"/>
      <c r="CB17" s="383"/>
      <c r="CC17" s="383"/>
    </row>
    <row r="18" spans="1:81" ht="12">
      <c r="A18" s="178"/>
      <c r="B18" s="168"/>
      <c r="C18" s="124"/>
      <c r="D18" s="124"/>
      <c r="E18" s="147"/>
      <c r="F18" s="124"/>
      <c r="G18" s="139"/>
      <c r="H18" s="139"/>
      <c r="I18" s="387"/>
      <c r="J18" s="139"/>
      <c r="K18" s="139"/>
      <c r="L18" s="139"/>
      <c r="M18" s="139"/>
      <c r="N18" s="139"/>
      <c r="O18" s="143"/>
      <c r="P18" s="124"/>
      <c r="Q18" s="147"/>
      <c r="R18" s="124"/>
      <c r="S18" s="139"/>
      <c r="T18" s="139"/>
      <c r="U18" s="124"/>
      <c r="V18" s="147"/>
      <c r="W18" s="124"/>
      <c r="X18" s="139"/>
      <c r="Y18" s="139"/>
      <c r="Z18" s="124"/>
      <c r="AA18" s="124"/>
      <c r="AB18" s="139"/>
      <c r="AC18" s="2137"/>
      <c r="AD18" s="2137"/>
      <c r="AE18" s="2137"/>
      <c r="AF18" s="2137"/>
      <c r="AG18" s="2137"/>
      <c r="AH18" s="2137"/>
      <c r="AI18" s="383"/>
      <c r="AJ18" s="383"/>
      <c r="AK18" s="383"/>
      <c r="AL18" s="383"/>
      <c r="AM18" s="383"/>
      <c r="AN18" s="383"/>
      <c r="AO18" s="383"/>
      <c r="AP18" s="383"/>
      <c r="AQ18" s="383"/>
      <c r="AR18" s="383"/>
      <c r="AS18" s="383"/>
      <c r="AT18" s="383"/>
      <c r="AU18" s="383"/>
      <c r="AV18" s="383"/>
      <c r="AW18" s="383"/>
      <c r="AX18" s="383"/>
      <c r="AY18" s="383"/>
      <c r="AZ18" s="383"/>
      <c r="BA18" s="383"/>
      <c r="BB18" s="383"/>
      <c r="BC18" s="383"/>
      <c r="BD18" s="383"/>
      <c r="BE18" s="383"/>
      <c r="BF18" s="383"/>
      <c r="BG18" s="383"/>
      <c r="BH18" s="383"/>
      <c r="BI18" s="383"/>
      <c r="BJ18" s="383"/>
      <c r="BK18" s="383"/>
      <c r="BL18" s="383"/>
      <c r="BM18" s="383"/>
      <c r="BN18" s="383"/>
      <c r="BO18" s="383"/>
      <c r="BP18" s="383"/>
      <c r="BQ18" s="383"/>
      <c r="BR18" s="383"/>
      <c r="BS18" s="383"/>
      <c r="BT18" s="383"/>
      <c r="BU18" s="383"/>
      <c r="BV18" s="383"/>
      <c r="BW18" s="383"/>
      <c r="BX18" s="383"/>
      <c r="BY18" s="383"/>
      <c r="BZ18" s="383"/>
      <c r="CA18" s="383"/>
      <c r="CB18" s="383"/>
      <c r="CC18" s="383"/>
    </row>
    <row r="19" spans="1:81" ht="33.75">
      <c r="A19" s="178">
        <v>1</v>
      </c>
      <c r="B19" s="168" t="s">
        <v>192</v>
      </c>
      <c r="C19" s="143">
        <v>279000</v>
      </c>
      <c r="D19" s="143">
        <v>279000</v>
      </c>
      <c r="E19" s="141">
        <v>1</v>
      </c>
      <c r="F19" s="124">
        <v>279000</v>
      </c>
      <c r="G19" s="143">
        <v>16782.57</v>
      </c>
      <c r="H19" s="143" t="s">
        <v>95</v>
      </c>
      <c r="I19" s="143">
        <f>W19</f>
        <v>279000</v>
      </c>
      <c r="J19" s="143"/>
      <c r="K19" s="143"/>
      <c r="L19" s="500">
        <f>I19-J19+K19</f>
        <v>279000</v>
      </c>
      <c r="M19" s="143">
        <v>0</v>
      </c>
      <c r="N19" s="143">
        <v>16782.57</v>
      </c>
      <c r="O19" s="143"/>
      <c r="P19" s="143">
        <v>279000</v>
      </c>
      <c r="Q19" s="141">
        <v>1</v>
      </c>
      <c r="R19" s="124">
        <f>+Q19*D19</f>
        <v>279000</v>
      </c>
      <c r="S19" s="143">
        <f>+P19-R19</f>
        <v>0</v>
      </c>
      <c r="T19" s="143">
        <f>F19-L19</f>
        <v>0</v>
      </c>
      <c r="U19" s="143">
        <v>279000</v>
      </c>
      <c r="V19" s="141">
        <v>1</v>
      </c>
      <c r="W19" s="124">
        <f>U19*V19</f>
        <v>279000</v>
      </c>
      <c r="X19" s="500">
        <v>279000</v>
      </c>
      <c r="Y19" s="143">
        <v>16782.57</v>
      </c>
      <c r="Z19" s="143">
        <v>279000</v>
      </c>
      <c r="AA19" s="124"/>
      <c r="AB19" s="143">
        <v>279000</v>
      </c>
      <c r="AC19" s="2137"/>
      <c r="AD19" s="2137"/>
      <c r="AE19" s="2137"/>
      <c r="AF19" s="2137"/>
      <c r="AG19" s="2137"/>
      <c r="AH19" s="2137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3"/>
      <c r="AV19" s="383"/>
      <c r="AW19" s="383"/>
      <c r="AX19" s="383"/>
      <c r="AY19" s="383"/>
      <c r="AZ19" s="383"/>
      <c r="BA19" s="383"/>
      <c r="BB19" s="383"/>
      <c r="BC19" s="383"/>
      <c r="BD19" s="383"/>
      <c r="BE19" s="383"/>
      <c r="BF19" s="383"/>
      <c r="BG19" s="383"/>
      <c r="BH19" s="383"/>
      <c r="BI19" s="383"/>
      <c r="BJ19" s="383"/>
      <c r="BK19" s="383"/>
      <c r="BL19" s="383"/>
      <c r="BM19" s="383"/>
      <c r="BN19" s="383"/>
      <c r="BO19" s="383"/>
      <c r="BP19" s="383"/>
      <c r="BQ19" s="383"/>
      <c r="BR19" s="383"/>
      <c r="BS19" s="383"/>
      <c r="BT19" s="383"/>
      <c r="BU19" s="383"/>
      <c r="BV19" s="383"/>
      <c r="BW19" s="383"/>
      <c r="BX19" s="383"/>
      <c r="BY19" s="383"/>
      <c r="BZ19" s="383"/>
      <c r="CA19" s="383"/>
      <c r="CB19" s="383"/>
      <c r="CC19" s="383"/>
    </row>
    <row r="20" spans="1:81" ht="45">
      <c r="A20" s="178">
        <v>2</v>
      </c>
      <c r="B20" s="142" t="s">
        <v>193</v>
      </c>
      <c r="C20" s="143">
        <v>111600</v>
      </c>
      <c r="D20" s="124">
        <v>111600</v>
      </c>
      <c r="E20" s="141">
        <v>1</v>
      </c>
      <c r="F20" s="143">
        <v>111600</v>
      </c>
      <c r="G20" s="143"/>
      <c r="H20" s="143"/>
      <c r="I20" s="143">
        <f>W20</f>
        <v>111600</v>
      </c>
      <c r="J20" s="143"/>
      <c r="K20" s="143"/>
      <c r="L20" s="2138">
        <f>+I20-J20+K20</f>
        <v>111600</v>
      </c>
      <c r="M20" s="143"/>
      <c r="N20" s="143"/>
      <c r="O20" s="143"/>
      <c r="P20" s="143">
        <v>111600</v>
      </c>
      <c r="Q20" s="141">
        <v>0.75</v>
      </c>
      <c r="R20" s="124">
        <f>+Q20*D20</f>
        <v>83700</v>
      </c>
      <c r="S20" s="143">
        <f>+P20-R20</f>
        <v>27900</v>
      </c>
      <c r="T20" s="143">
        <f>F20-L20</f>
        <v>0</v>
      </c>
      <c r="U20" s="124">
        <v>111600</v>
      </c>
      <c r="V20" s="141">
        <v>1</v>
      </c>
      <c r="W20" s="124">
        <f>U20*V20</f>
        <v>111600</v>
      </c>
      <c r="X20" s="2138">
        <v>111600</v>
      </c>
      <c r="Y20" s="143"/>
      <c r="Z20" s="143">
        <v>111600</v>
      </c>
      <c r="AA20" s="143"/>
      <c r="AB20" s="143">
        <v>111600</v>
      </c>
      <c r="AC20" s="2137"/>
      <c r="AD20" s="2137"/>
      <c r="AE20" s="2137"/>
      <c r="AF20" s="2137"/>
      <c r="AG20" s="2137"/>
      <c r="AH20" s="2137"/>
      <c r="AI20" s="383"/>
      <c r="AJ20" s="383"/>
      <c r="AK20" s="383"/>
      <c r="AL20" s="383"/>
      <c r="AM20" s="383"/>
      <c r="AN20" s="383"/>
      <c r="AO20" s="383"/>
      <c r="AP20" s="383"/>
      <c r="AQ20" s="383"/>
      <c r="AR20" s="383"/>
      <c r="AS20" s="383"/>
      <c r="AT20" s="383"/>
      <c r="AU20" s="383"/>
      <c r="AV20" s="383"/>
      <c r="AW20" s="383"/>
      <c r="AX20" s="383"/>
      <c r="AY20" s="383"/>
      <c r="AZ20" s="383"/>
      <c r="BA20" s="383"/>
      <c r="BB20" s="383"/>
      <c r="BC20" s="383"/>
      <c r="BD20" s="383"/>
      <c r="BE20" s="383"/>
      <c r="BF20" s="383"/>
      <c r="BG20" s="383"/>
      <c r="BH20" s="383"/>
      <c r="BI20" s="383"/>
      <c r="BJ20" s="383"/>
      <c r="BK20" s="383"/>
      <c r="BL20" s="383"/>
      <c r="BM20" s="383"/>
      <c r="BN20" s="383"/>
      <c r="BO20" s="383"/>
      <c r="BP20" s="383"/>
      <c r="BQ20" s="383"/>
      <c r="BR20" s="383"/>
      <c r="BS20" s="383"/>
      <c r="BT20" s="383"/>
      <c r="BU20" s="383"/>
      <c r="BV20" s="383"/>
      <c r="BW20" s="383"/>
      <c r="BX20" s="383"/>
      <c r="BY20" s="383"/>
      <c r="BZ20" s="383"/>
      <c r="CA20" s="383"/>
      <c r="CB20" s="383"/>
      <c r="CC20" s="383"/>
    </row>
    <row r="21" spans="1:81" ht="33.75">
      <c r="A21" s="178">
        <v>3</v>
      </c>
      <c r="B21" s="142" t="s">
        <v>194</v>
      </c>
      <c r="C21" s="143">
        <v>161262</v>
      </c>
      <c r="D21" s="124">
        <f>C21</f>
        <v>161262</v>
      </c>
      <c r="E21" s="141">
        <v>1</v>
      </c>
      <c r="F21" s="143">
        <v>161262</v>
      </c>
      <c r="G21" s="143">
        <v>18960</v>
      </c>
      <c r="H21" s="143" t="s">
        <v>104</v>
      </c>
      <c r="I21" s="143">
        <f>W21</f>
        <v>161262</v>
      </c>
      <c r="J21" s="1498"/>
      <c r="K21" s="1499"/>
      <c r="L21" s="2139">
        <f>+I21-J21+K21</f>
        <v>161262</v>
      </c>
      <c r="M21" s="143"/>
      <c r="N21" s="2374">
        <v>18960</v>
      </c>
      <c r="O21" s="139"/>
      <c r="P21" s="143">
        <v>161262</v>
      </c>
      <c r="Q21" s="141"/>
      <c r="R21" s="143"/>
      <c r="S21" s="143"/>
      <c r="T21" s="143">
        <f>F21-L21</f>
        <v>0</v>
      </c>
      <c r="U21" s="143">
        <v>161262</v>
      </c>
      <c r="V21" s="141">
        <v>1</v>
      </c>
      <c r="W21" s="124">
        <f>U21*V21</f>
        <v>161262</v>
      </c>
      <c r="X21" s="143">
        <v>161262</v>
      </c>
      <c r="Y21" s="143">
        <v>18960</v>
      </c>
      <c r="Z21" s="143">
        <v>161262</v>
      </c>
      <c r="AA21" s="143"/>
      <c r="AB21" s="143"/>
      <c r="AC21" s="2137"/>
      <c r="AD21" s="2137"/>
      <c r="AE21" s="2137"/>
      <c r="AF21" s="2137"/>
      <c r="AG21" s="2137"/>
      <c r="AH21" s="2137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3"/>
      <c r="BC21" s="383"/>
      <c r="BD21" s="383"/>
      <c r="BE21" s="383"/>
      <c r="BF21" s="383"/>
      <c r="BG21" s="383"/>
      <c r="BH21" s="383"/>
      <c r="BI21" s="383"/>
      <c r="BJ21" s="383"/>
      <c r="BK21" s="383"/>
      <c r="BL21" s="383"/>
      <c r="BM21" s="383"/>
      <c r="BN21" s="383"/>
      <c r="BO21" s="383"/>
      <c r="BP21" s="383"/>
      <c r="BQ21" s="383"/>
      <c r="BR21" s="383"/>
      <c r="BS21" s="383"/>
      <c r="BT21" s="383"/>
      <c r="BU21" s="383"/>
      <c r="BV21" s="383"/>
      <c r="BW21" s="383"/>
      <c r="BX21" s="383"/>
      <c r="BY21" s="383"/>
      <c r="BZ21" s="383"/>
      <c r="CA21" s="383"/>
      <c r="CB21" s="383"/>
      <c r="CC21" s="383"/>
    </row>
    <row r="22" spans="1:81" ht="15.75" customHeight="1">
      <c r="A22" s="178"/>
      <c r="B22" s="179"/>
      <c r="C22" s="143"/>
      <c r="D22" s="143"/>
      <c r="E22" s="141"/>
      <c r="F22" s="143"/>
      <c r="G22" s="143"/>
      <c r="H22" s="143"/>
      <c r="I22" s="143"/>
      <c r="J22" s="143"/>
      <c r="K22" s="143"/>
      <c r="L22" s="143"/>
      <c r="M22" s="143"/>
      <c r="N22" s="143"/>
      <c r="O22" s="139"/>
      <c r="P22" s="143"/>
      <c r="Q22" s="141"/>
      <c r="R22" s="143"/>
      <c r="S22" s="143"/>
      <c r="T22" s="143"/>
      <c r="U22" s="143"/>
      <c r="V22" s="141"/>
      <c r="W22" s="143"/>
      <c r="X22" s="143"/>
      <c r="Y22" s="143"/>
      <c r="Z22" s="143"/>
      <c r="AA22" s="143"/>
      <c r="AB22" s="143"/>
      <c r="AC22" s="2137"/>
      <c r="AD22" s="2137"/>
      <c r="AE22" s="2137"/>
      <c r="AF22" s="2137"/>
      <c r="AG22" s="2137"/>
      <c r="AH22" s="2137"/>
      <c r="AI22" s="383"/>
      <c r="AJ22" s="383"/>
      <c r="AK22" s="383"/>
      <c r="AL22" s="383"/>
      <c r="AM22" s="383"/>
      <c r="AN22" s="383"/>
      <c r="AO22" s="383"/>
      <c r="AP22" s="383"/>
      <c r="AQ22" s="383"/>
      <c r="AR22" s="383"/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83"/>
      <c r="BV22" s="383"/>
      <c r="BW22" s="383"/>
      <c r="BX22" s="383"/>
      <c r="BY22" s="383"/>
      <c r="BZ22" s="383"/>
      <c r="CA22" s="383"/>
      <c r="CB22" s="383"/>
      <c r="CC22" s="383"/>
    </row>
    <row r="23" spans="1:81" ht="15.75" customHeight="1">
      <c r="A23" s="178"/>
      <c r="B23" s="179"/>
      <c r="C23" s="143"/>
      <c r="D23" s="143"/>
      <c r="E23" s="147"/>
      <c r="F23" s="124"/>
      <c r="G23" s="143"/>
      <c r="H23" s="143"/>
      <c r="I23" s="143"/>
      <c r="J23" s="143"/>
      <c r="K23" s="143"/>
      <c r="L23" s="143"/>
      <c r="M23" s="143"/>
      <c r="N23" s="143"/>
      <c r="O23" s="139"/>
      <c r="P23" s="143"/>
      <c r="Q23" s="147"/>
      <c r="R23" s="124"/>
      <c r="S23" s="143"/>
      <c r="T23" s="143"/>
      <c r="U23" s="143"/>
      <c r="V23" s="147"/>
      <c r="W23" s="124"/>
      <c r="X23" s="143"/>
      <c r="Y23" s="143"/>
      <c r="Z23" s="143"/>
      <c r="AA23" s="124"/>
      <c r="AB23" s="143"/>
      <c r="AC23" s="2137"/>
      <c r="AD23" s="2137"/>
      <c r="AE23" s="2137"/>
      <c r="AF23" s="2137"/>
      <c r="AG23" s="2137"/>
      <c r="AH23" s="2137"/>
      <c r="AI23" s="383"/>
      <c r="AJ23" s="383"/>
      <c r="AK23" s="383"/>
      <c r="AL23" s="383"/>
      <c r="AM23" s="383"/>
      <c r="AN23" s="383"/>
      <c r="AO23" s="383"/>
      <c r="AP23" s="383"/>
      <c r="AQ23" s="383"/>
      <c r="AR23" s="383"/>
      <c r="AS23" s="383"/>
      <c r="AT23" s="383"/>
      <c r="AU23" s="383"/>
      <c r="AV23" s="383"/>
      <c r="AW23" s="383"/>
      <c r="AX23" s="383"/>
      <c r="AY23" s="383"/>
      <c r="AZ23" s="383"/>
      <c r="BA23" s="383"/>
      <c r="BB23" s="383"/>
      <c r="BC23" s="383"/>
      <c r="BD23" s="383"/>
      <c r="BE23" s="383"/>
      <c r="BF23" s="383"/>
      <c r="BG23" s="383"/>
      <c r="BH23" s="383"/>
      <c r="BI23" s="383"/>
      <c r="BJ23" s="383"/>
      <c r="BK23" s="383"/>
      <c r="BL23" s="383"/>
      <c r="BM23" s="383"/>
      <c r="BN23" s="383"/>
      <c r="BO23" s="383"/>
      <c r="BP23" s="383"/>
      <c r="BQ23" s="383"/>
      <c r="BR23" s="383"/>
      <c r="BS23" s="383"/>
      <c r="BT23" s="383"/>
      <c r="BU23" s="383"/>
      <c r="BV23" s="383"/>
      <c r="BW23" s="383"/>
      <c r="BX23" s="383"/>
      <c r="BY23" s="383"/>
      <c r="BZ23" s="383"/>
      <c r="CA23" s="383"/>
      <c r="CB23" s="383"/>
      <c r="CC23" s="383"/>
    </row>
    <row r="24" spans="1:81" ht="15.75" customHeight="1">
      <c r="A24" s="282"/>
      <c r="B24" s="388"/>
      <c r="C24" s="124"/>
      <c r="D24" s="124"/>
      <c r="E24" s="141"/>
      <c r="F24" s="124"/>
      <c r="G24" s="143"/>
      <c r="H24" s="143"/>
      <c r="I24" s="143"/>
      <c r="J24" s="143"/>
      <c r="K24" s="143"/>
      <c r="L24" s="143"/>
      <c r="M24" s="143"/>
      <c r="N24" s="143"/>
      <c r="O24" s="139"/>
      <c r="P24" s="134"/>
      <c r="Q24" s="149"/>
      <c r="R24" s="134"/>
      <c r="S24" s="143"/>
      <c r="T24" s="143"/>
      <c r="U24" s="124"/>
      <c r="V24" s="141"/>
      <c r="W24" s="124"/>
      <c r="X24" s="143"/>
      <c r="Y24" s="143"/>
      <c r="Z24" s="134"/>
      <c r="AA24" s="134"/>
      <c r="AB24" s="143"/>
      <c r="AC24" s="2137"/>
      <c r="AD24" s="2137"/>
      <c r="AE24" s="2137"/>
      <c r="AF24" s="2137"/>
      <c r="AG24" s="2137"/>
      <c r="AH24" s="2137"/>
      <c r="AI24" s="383"/>
      <c r="AJ24" s="383"/>
      <c r="AK24" s="383"/>
      <c r="AL24" s="383"/>
      <c r="AM24" s="383"/>
      <c r="AN24" s="383"/>
      <c r="AO24" s="383"/>
      <c r="AP24" s="383"/>
      <c r="AQ24" s="383"/>
      <c r="AR24" s="383"/>
      <c r="AS24" s="383"/>
      <c r="AT24" s="383"/>
      <c r="AU24" s="383"/>
      <c r="AV24" s="383"/>
      <c r="AW24" s="383"/>
      <c r="AX24" s="383"/>
      <c r="AY24" s="383"/>
      <c r="AZ24" s="383"/>
      <c r="BA24" s="383"/>
      <c r="BB24" s="383"/>
      <c r="BC24" s="383"/>
      <c r="BD24" s="383"/>
      <c r="BE24" s="383"/>
      <c r="BF24" s="383"/>
      <c r="BG24" s="383"/>
      <c r="BH24" s="383"/>
      <c r="BI24" s="383"/>
      <c r="BJ24" s="383"/>
      <c r="BK24" s="383"/>
      <c r="BL24" s="383"/>
      <c r="BM24" s="383"/>
      <c r="BN24" s="383"/>
      <c r="BO24" s="383"/>
      <c r="BP24" s="383"/>
      <c r="BQ24" s="383"/>
      <c r="BR24" s="383"/>
      <c r="BS24" s="383"/>
      <c r="BT24" s="383"/>
      <c r="BU24" s="383"/>
      <c r="BV24" s="383"/>
      <c r="BW24" s="383"/>
      <c r="BX24" s="383"/>
      <c r="BY24" s="383"/>
      <c r="BZ24" s="383"/>
      <c r="CA24" s="383"/>
      <c r="CB24" s="383"/>
      <c r="CC24" s="383"/>
    </row>
    <row r="25" spans="1:81" ht="15.75" customHeight="1">
      <c r="A25" s="67"/>
      <c r="B25" s="180"/>
      <c r="C25" s="143"/>
      <c r="D25" s="143"/>
      <c r="E25" s="141"/>
      <c r="F25" s="124"/>
      <c r="G25" s="143"/>
      <c r="H25" s="143"/>
      <c r="I25" s="143"/>
      <c r="J25" s="143"/>
      <c r="K25" s="143"/>
      <c r="L25" s="143"/>
      <c r="M25" s="143"/>
      <c r="N25" s="143"/>
      <c r="O25" s="139"/>
      <c r="P25" s="139"/>
      <c r="Q25" s="149"/>
      <c r="R25" s="134"/>
      <c r="S25" s="143"/>
      <c r="T25" s="143"/>
      <c r="U25" s="143"/>
      <c r="V25" s="141"/>
      <c r="W25" s="124"/>
      <c r="X25" s="143"/>
      <c r="Y25" s="143"/>
      <c r="Z25" s="139"/>
      <c r="AA25" s="134"/>
      <c r="AB25" s="143"/>
      <c r="AC25" s="2137"/>
      <c r="AD25" s="2137"/>
      <c r="AE25" s="2137"/>
      <c r="AF25" s="2137"/>
      <c r="AG25" s="2137"/>
      <c r="AH25" s="2137"/>
      <c r="AI25" s="383"/>
      <c r="AJ25" s="383"/>
      <c r="AK25" s="383"/>
      <c r="AL25" s="383"/>
      <c r="AM25" s="383"/>
      <c r="AN25" s="383"/>
      <c r="AO25" s="383"/>
      <c r="AP25" s="383"/>
      <c r="AQ25" s="383"/>
      <c r="AR25" s="383"/>
      <c r="AS25" s="383"/>
      <c r="AT25" s="383"/>
      <c r="AU25" s="383"/>
      <c r="AV25" s="383"/>
      <c r="AW25" s="383"/>
      <c r="AX25" s="383"/>
      <c r="AY25" s="383"/>
      <c r="AZ25" s="383"/>
      <c r="BA25" s="383"/>
      <c r="BB25" s="383"/>
      <c r="BC25" s="383"/>
      <c r="BD25" s="383"/>
      <c r="BE25" s="383"/>
      <c r="BF25" s="383"/>
      <c r="BG25" s="383"/>
      <c r="BH25" s="383"/>
      <c r="BI25" s="383"/>
      <c r="BJ25" s="383"/>
      <c r="BK25" s="383"/>
      <c r="BL25" s="383"/>
      <c r="BM25" s="383"/>
      <c r="BN25" s="383"/>
      <c r="BO25" s="383"/>
      <c r="BP25" s="383"/>
      <c r="BQ25" s="383"/>
      <c r="BR25" s="383"/>
      <c r="BS25" s="383"/>
      <c r="BT25" s="383"/>
      <c r="BU25" s="383"/>
      <c r="BV25" s="383"/>
      <c r="BW25" s="383"/>
      <c r="BX25" s="383"/>
      <c r="BY25" s="383"/>
      <c r="BZ25" s="383"/>
      <c r="CA25" s="383"/>
      <c r="CB25" s="383"/>
      <c r="CC25" s="383"/>
    </row>
    <row r="26" spans="1:81" ht="15.75" customHeight="1">
      <c r="A26" s="181"/>
      <c r="B26" s="182"/>
      <c r="C26" s="143"/>
      <c r="D26" s="143"/>
      <c r="E26" s="141"/>
      <c r="F26" s="124"/>
      <c r="G26" s="143"/>
      <c r="H26" s="143"/>
      <c r="I26" s="143"/>
      <c r="J26" s="143"/>
      <c r="K26" s="143"/>
      <c r="L26" s="143"/>
      <c r="M26" s="143"/>
      <c r="N26" s="143"/>
      <c r="O26" s="139"/>
      <c r="P26" s="139"/>
      <c r="Q26" s="149"/>
      <c r="R26" s="134"/>
      <c r="S26" s="143"/>
      <c r="T26" s="143"/>
      <c r="U26" s="143"/>
      <c r="V26" s="141"/>
      <c r="W26" s="124"/>
      <c r="X26" s="143"/>
      <c r="Y26" s="143"/>
      <c r="Z26" s="139"/>
      <c r="AA26" s="134"/>
      <c r="AB26" s="143"/>
      <c r="AC26" s="2137"/>
      <c r="AD26" s="2137"/>
      <c r="AE26" s="2137"/>
      <c r="AF26" s="2137"/>
      <c r="AG26" s="2137"/>
      <c r="AH26" s="2137"/>
      <c r="AI26" s="383"/>
      <c r="AJ26" s="383"/>
      <c r="AK26" s="383"/>
      <c r="AL26" s="383"/>
      <c r="AM26" s="383"/>
      <c r="AN26" s="383"/>
      <c r="AO26" s="383"/>
      <c r="AP26" s="383"/>
      <c r="AQ26" s="383"/>
      <c r="AR26" s="383"/>
      <c r="AS26" s="383"/>
      <c r="AT26" s="383"/>
      <c r="AU26" s="383"/>
      <c r="AV26" s="383"/>
      <c r="AW26" s="383"/>
      <c r="AX26" s="383"/>
      <c r="AY26" s="383"/>
      <c r="AZ26" s="383"/>
      <c r="BA26" s="383"/>
      <c r="BB26" s="383"/>
      <c r="BC26" s="383"/>
      <c r="BD26" s="383"/>
      <c r="BE26" s="383"/>
      <c r="BF26" s="383"/>
      <c r="BG26" s="383"/>
      <c r="BH26" s="383"/>
      <c r="BI26" s="383"/>
      <c r="BJ26" s="383"/>
      <c r="BK26" s="383"/>
      <c r="BL26" s="383"/>
      <c r="BM26" s="383"/>
      <c r="BN26" s="383"/>
      <c r="BO26" s="383"/>
      <c r="BP26" s="383"/>
      <c r="BQ26" s="383"/>
      <c r="BR26" s="383"/>
      <c r="BS26" s="383"/>
      <c r="BT26" s="383"/>
      <c r="BU26" s="383"/>
      <c r="BV26" s="383"/>
      <c r="BW26" s="383"/>
      <c r="BX26" s="383"/>
      <c r="BY26" s="383"/>
      <c r="BZ26" s="383"/>
      <c r="CA26" s="383"/>
      <c r="CB26" s="383"/>
      <c r="CC26" s="383"/>
    </row>
    <row r="27" spans="1:81" ht="15.75" customHeight="1">
      <c r="A27" s="181"/>
      <c r="B27" s="152"/>
      <c r="C27" s="143"/>
      <c r="D27" s="143"/>
      <c r="E27" s="141"/>
      <c r="F27" s="143"/>
      <c r="G27" s="143"/>
      <c r="H27" s="143"/>
      <c r="I27" s="143"/>
      <c r="J27" s="143"/>
      <c r="K27" s="143"/>
      <c r="L27" s="143"/>
      <c r="M27" s="143"/>
      <c r="N27" s="143"/>
      <c r="O27" s="139"/>
      <c r="P27" s="139"/>
      <c r="Q27" s="149"/>
      <c r="R27" s="139"/>
      <c r="S27" s="143"/>
      <c r="T27" s="143"/>
      <c r="U27" s="143"/>
      <c r="V27" s="141"/>
      <c r="W27" s="143"/>
      <c r="X27" s="143"/>
      <c r="Y27" s="143"/>
      <c r="Z27" s="139"/>
      <c r="AA27" s="139"/>
      <c r="AB27" s="143"/>
      <c r="AC27" s="2137"/>
      <c r="AD27" s="2137"/>
      <c r="AE27" s="2137"/>
      <c r="AF27" s="2137"/>
      <c r="AG27" s="2137"/>
      <c r="AH27" s="2137"/>
      <c r="AI27" s="383"/>
      <c r="AJ27" s="383"/>
      <c r="AK27" s="383"/>
      <c r="AL27" s="383"/>
      <c r="AM27" s="383"/>
      <c r="AN27" s="383"/>
      <c r="AO27" s="383"/>
      <c r="AP27" s="383"/>
      <c r="AQ27" s="383"/>
      <c r="AR27" s="383"/>
      <c r="AS27" s="383"/>
      <c r="AT27" s="383"/>
      <c r="AU27" s="383"/>
      <c r="AV27" s="383"/>
      <c r="AW27" s="383"/>
      <c r="AX27" s="383"/>
      <c r="AY27" s="383"/>
      <c r="AZ27" s="383"/>
      <c r="BA27" s="383"/>
      <c r="BB27" s="383"/>
      <c r="BC27" s="383"/>
      <c r="BD27" s="383"/>
      <c r="BE27" s="383"/>
      <c r="BF27" s="383"/>
      <c r="BG27" s="383"/>
      <c r="BH27" s="383"/>
      <c r="BI27" s="383"/>
      <c r="BJ27" s="383"/>
      <c r="BK27" s="383"/>
      <c r="BL27" s="383"/>
      <c r="BM27" s="383"/>
      <c r="BN27" s="383"/>
      <c r="BO27" s="383"/>
      <c r="BP27" s="383"/>
      <c r="BQ27" s="383"/>
      <c r="BR27" s="383"/>
      <c r="BS27" s="383"/>
      <c r="BT27" s="383"/>
      <c r="BU27" s="383"/>
      <c r="BV27" s="383"/>
      <c r="BW27" s="383"/>
      <c r="BX27" s="383"/>
      <c r="BY27" s="383"/>
      <c r="BZ27" s="383"/>
      <c r="CA27" s="383"/>
      <c r="CB27" s="383"/>
      <c r="CC27" s="383"/>
    </row>
    <row r="28" spans="1:81" ht="15.75" customHeight="1">
      <c r="A28" s="178"/>
      <c r="B28" s="152"/>
      <c r="C28" s="143"/>
      <c r="D28" s="143"/>
      <c r="E28" s="141"/>
      <c r="F28" s="143"/>
      <c r="G28" s="143"/>
      <c r="H28" s="143"/>
      <c r="I28" s="143"/>
      <c r="J28" s="143"/>
      <c r="K28" s="143"/>
      <c r="L28" s="143"/>
      <c r="M28" s="143"/>
      <c r="N28" s="143"/>
      <c r="O28" s="139"/>
      <c r="P28" s="153"/>
      <c r="Q28" s="149"/>
      <c r="R28" s="153"/>
      <c r="S28" s="143"/>
      <c r="T28" s="143"/>
      <c r="U28" s="143"/>
      <c r="V28" s="141"/>
      <c r="W28" s="143"/>
      <c r="X28" s="143"/>
      <c r="Y28" s="143"/>
      <c r="Z28" s="153"/>
      <c r="AA28" s="153"/>
      <c r="AB28" s="143"/>
      <c r="AC28" s="2137"/>
      <c r="AD28" s="2137"/>
      <c r="AE28" s="2137"/>
      <c r="AF28" s="2137"/>
      <c r="AG28" s="2137"/>
      <c r="AH28" s="2137"/>
      <c r="AI28" s="383"/>
      <c r="AJ28" s="383"/>
      <c r="AK28" s="383"/>
      <c r="AL28" s="383"/>
      <c r="AM28" s="383"/>
      <c r="AN28" s="383"/>
      <c r="AO28" s="383"/>
      <c r="AP28" s="383"/>
      <c r="AQ28" s="383"/>
      <c r="AR28" s="383"/>
      <c r="AS28" s="383"/>
      <c r="AT28" s="383"/>
      <c r="AU28" s="383"/>
      <c r="AV28" s="383"/>
      <c r="AW28" s="383"/>
      <c r="AX28" s="383"/>
      <c r="AY28" s="383"/>
      <c r="AZ28" s="383"/>
      <c r="BA28" s="383"/>
      <c r="BB28" s="383"/>
      <c r="BC28" s="383"/>
      <c r="BD28" s="383"/>
      <c r="BE28" s="383"/>
      <c r="BF28" s="383"/>
      <c r="BG28" s="383"/>
      <c r="BH28" s="383"/>
      <c r="BI28" s="383"/>
      <c r="BJ28" s="383"/>
      <c r="BK28" s="383"/>
      <c r="BL28" s="383"/>
      <c r="BM28" s="383"/>
      <c r="BN28" s="383"/>
      <c r="BO28" s="383"/>
      <c r="BP28" s="383"/>
      <c r="BQ28" s="383"/>
      <c r="BR28" s="383"/>
      <c r="BS28" s="383"/>
      <c r="BT28" s="383"/>
      <c r="BU28" s="383"/>
      <c r="BV28" s="383"/>
      <c r="BW28" s="383"/>
      <c r="BX28" s="383"/>
      <c r="BY28" s="383"/>
      <c r="BZ28" s="383"/>
      <c r="CA28" s="383"/>
      <c r="CB28" s="383"/>
      <c r="CC28" s="383"/>
    </row>
    <row r="29" spans="1:81" ht="15.75" customHeight="1">
      <c r="A29" s="181"/>
      <c r="B29" s="152"/>
      <c r="C29" s="124"/>
      <c r="D29" s="143"/>
      <c r="E29" s="141"/>
      <c r="F29" s="143"/>
      <c r="G29" s="143"/>
      <c r="H29" s="143"/>
      <c r="I29" s="143"/>
      <c r="J29" s="143"/>
      <c r="K29" s="143"/>
      <c r="L29" s="143"/>
      <c r="M29" s="143"/>
      <c r="N29" s="143"/>
      <c r="O29" s="139"/>
      <c r="P29" s="139"/>
      <c r="Q29" s="149"/>
      <c r="R29" s="139"/>
      <c r="S29" s="143"/>
      <c r="T29" s="143"/>
      <c r="U29" s="143"/>
      <c r="V29" s="141"/>
      <c r="W29" s="143"/>
      <c r="X29" s="143"/>
      <c r="Y29" s="143"/>
      <c r="Z29" s="139"/>
      <c r="AA29" s="139"/>
      <c r="AB29" s="143"/>
      <c r="AC29" s="2137"/>
      <c r="AD29" s="2137"/>
      <c r="AE29" s="2137"/>
      <c r="AF29" s="2137"/>
      <c r="AG29" s="2137"/>
      <c r="AH29" s="2137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W29" s="383"/>
      <c r="AX29" s="383"/>
      <c r="AY29" s="383"/>
      <c r="AZ29" s="383"/>
      <c r="BA29" s="383"/>
      <c r="BB29" s="383"/>
      <c r="BC29" s="383"/>
      <c r="BD29" s="383"/>
      <c r="BE29" s="383"/>
      <c r="BF29" s="383"/>
      <c r="BG29" s="383"/>
      <c r="BH29" s="383"/>
      <c r="BI29" s="383"/>
      <c r="BJ29" s="383"/>
      <c r="BK29" s="383"/>
      <c r="BL29" s="383"/>
      <c r="BM29" s="383"/>
      <c r="BN29" s="383"/>
      <c r="BO29" s="383"/>
      <c r="BP29" s="383"/>
      <c r="BQ29" s="383"/>
      <c r="BR29" s="383"/>
      <c r="BS29" s="383"/>
      <c r="BT29" s="383"/>
      <c r="BU29" s="383"/>
      <c r="BV29" s="383"/>
      <c r="BW29" s="383"/>
      <c r="BX29" s="383"/>
      <c r="BY29" s="383"/>
      <c r="BZ29" s="383"/>
      <c r="CA29" s="383"/>
      <c r="CB29" s="383"/>
      <c r="CC29" s="383"/>
    </row>
    <row r="30" spans="1:81" ht="15.75" customHeight="1">
      <c r="A30" s="181"/>
      <c r="B30" s="152"/>
      <c r="C30" s="124"/>
      <c r="D30" s="143"/>
      <c r="E30" s="141"/>
      <c r="F30" s="143"/>
      <c r="G30" s="143"/>
      <c r="H30" s="143"/>
      <c r="I30" s="143"/>
      <c r="J30" s="143"/>
      <c r="K30" s="143"/>
      <c r="L30" s="143"/>
      <c r="M30" s="143"/>
      <c r="N30" s="143"/>
      <c r="O30" s="139"/>
      <c r="P30" s="153"/>
      <c r="Q30" s="149"/>
      <c r="R30" s="153"/>
      <c r="S30" s="143"/>
      <c r="T30" s="143"/>
      <c r="U30" s="143"/>
      <c r="V30" s="141"/>
      <c r="W30" s="143"/>
      <c r="X30" s="143"/>
      <c r="Y30" s="143"/>
      <c r="Z30" s="153"/>
      <c r="AA30" s="153"/>
      <c r="AB30" s="143"/>
      <c r="AC30" s="2137"/>
      <c r="AD30" s="2137"/>
      <c r="AE30" s="2137"/>
      <c r="AF30" s="2137"/>
      <c r="AG30" s="2137"/>
      <c r="AH30" s="2137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383"/>
      <c r="BA30" s="383"/>
      <c r="BB30" s="383"/>
      <c r="BC30" s="383"/>
      <c r="BD30" s="383"/>
      <c r="BE30" s="383"/>
      <c r="BF30" s="383"/>
      <c r="BG30" s="383"/>
      <c r="BH30" s="383"/>
      <c r="BI30" s="383"/>
      <c r="BJ30" s="383"/>
      <c r="BK30" s="383"/>
      <c r="BL30" s="383"/>
      <c r="BM30" s="383"/>
      <c r="BN30" s="383"/>
      <c r="BO30" s="383"/>
      <c r="BP30" s="383"/>
      <c r="BQ30" s="383"/>
      <c r="BR30" s="383"/>
      <c r="BS30" s="383"/>
      <c r="BT30" s="383"/>
      <c r="BU30" s="383"/>
      <c r="BV30" s="383"/>
      <c r="BW30" s="383"/>
      <c r="BX30" s="383"/>
      <c r="BY30" s="383"/>
      <c r="BZ30" s="383"/>
      <c r="CA30" s="383"/>
      <c r="CB30" s="383"/>
      <c r="CC30" s="383"/>
    </row>
    <row r="31" spans="1:81" ht="15.75" customHeight="1">
      <c r="A31" s="171"/>
      <c r="B31" s="183"/>
      <c r="C31" s="124"/>
      <c r="D31" s="143"/>
      <c r="E31" s="184"/>
      <c r="F31" s="143"/>
      <c r="G31" s="143"/>
      <c r="H31" s="143"/>
      <c r="I31" s="143"/>
      <c r="J31" s="143"/>
      <c r="K31" s="143"/>
      <c r="L31" s="143"/>
      <c r="M31" s="143"/>
      <c r="N31" s="143"/>
      <c r="O31" s="139"/>
      <c r="P31" s="139"/>
      <c r="Q31" s="155"/>
      <c r="R31" s="139"/>
      <c r="S31" s="143"/>
      <c r="T31" s="143"/>
      <c r="U31" s="143"/>
      <c r="V31" s="184"/>
      <c r="W31" s="143"/>
      <c r="X31" s="143"/>
      <c r="Y31" s="143"/>
      <c r="Z31" s="139"/>
      <c r="AA31" s="139"/>
      <c r="AB31" s="143"/>
      <c r="AC31" s="2137"/>
      <c r="AD31" s="2137"/>
      <c r="AE31" s="2137"/>
      <c r="AF31" s="2137"/>
      <c r="AG31" s="2137"/>
      <c r="AH31" s="2137"/>
      <c r="AI31" s="383"/>
      <c r="AJ31" s="383"/>
      <c r="AK31" s="383"/>
      <c r="AL31" s="383"/>
      <c r="AM31" s="383"/>
      <c r="AN31" s="383"/>
      <c r="AO31" s="383"/>
      <c r="AP31" s="383"/>
      <c r="AQ31" s="383"/>
      <c r="AR31" s="383"/>
      <c r="AS31" s="383"/>
      <c r="AT31" s="383"/>
      <c r="AU31" s="383"/>
      <c r="AV31" s="383"/>
      <c r="AW31" s="383"/>
      <c r="AX31" s="383"/>
      <c r="AY31" s="383"/>
      <c r="AZ31" s="383"/>
      <c r="BA31" s="383"/>
      <c r="BB31" s="383"/>
      <c r="BC31" s="383"/>
      <c r="BD31" s="383"/>
      <c r="BE31" s="383"/>
      <c r="BF31" s="383"/>
      <c r="BG31" s="383"/>
      <c r="BH31" s="383"/>
      <c r="BI31" s="383"/>
      <c r="BJ31" s="383"/>
      <c r="BK31" s="383"/>
      <c r="BL31" s="383"/>
      <c r="BM31" s="383"/>
      <c r="BN31" s="383"/>
      <c r="BO31" s="383"/>
      <c r="BP31" s="383"/>
      <c r="BQ31" s="383"/>
      <c r="BR31" s="383"/>
      <c r="BS31" s="383"/>
      <c r="BT31" s="383"/>
      <c r="BU31" s="383"/>
      <c r="BV31" s="383"/>
      <c r="BW31" s="383"/>
      <c r="BX31" s="383"/>
      <c r="BY31" s="383"/>
      <c r="BZ31" s="383"/>
      <c r="CA31" s="383"/>
      <c r="CB31" s="383"/>
      <c r="CC31" s="383"/>
    </row>
    <row r="32" spans="1:81" ht="15.75" customHeight="1">
      <c r="A32" s="181"/>
      <c r="B32" s="152"/>
      <c r="C32" s="124"/>
      <c r="D32" s="143"/>
      <c r="E32" s="184"/>
      <c r="F32" s="143"/>
      <c r="G32" s="143"/>
      <c r="H32" s="143"/>
      <c r="I32" s="143"/>
      <c r="J32" s="143"/>
      <c r="K32" s="143"/>
      <c r="L32" s="143"/>
      <c r="M32" s="143"/>
      <c r="N32" s="143"/>
      <c r="O32" s="139"/>
      <c r="P32" s="153"/>
      <c r="Q32" s="156"/>
      <c r="R32" s="153"/>
      <c r="S32" s="143"/>
      <c r="T32" s="143"/>
      <c r="U32" s="143"/>
      <c r="V32" s="184"/>
      <c r="W32" s="143"/>
      <c r="X32" s="143"/>
      <c r="Y32" s="143"/>
      <c r="Z32" s="153"/>
      <c r="AA32" s="153"/>
      <c r="AB32" s="143"/>
      <c r="AC32" s="2137"/>
      <c r="AD32" s="2137"/>
      <c r="AE32" s="2137"/>
      <c r="AF32" s="2137"/>
      <c r="AG32" s="2137"/>
      <c r="AH32" s="2137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83"/>
      <c r="AV32" s="383"/>
      <c r="AW32" s="383"/>
      <c r="AX32" s="383"/>
      <c r="AY32" s="383"/>
      <c r="AZ32" s="383"/>
      <c r="BA32" s="383"/>
      <c r="BB32" s="383"/>
      <c r="BC32" s="383"/>
      <c r="BD32" s="383"/>
      <c r="BE32" s="383"/>
      <c r="BF32" s="383"/>
      <c r="BG32" s="383"/>
      <c r="BH32" s="383"/>
      <c r="BI32" s="383"/>
      <c r="BJ32" s="383"/>
      <c r="BK32" s="383"/>
      <c r="BL32" s="383"/>
      <c r="BM32" s="383"/>
      <c r="BN32" s="383"/>
      <c r="BO32" s="383"/>
      <c r="BP32" s="383"/>
      <c r="BQ32" s="383"/>
      <c r="BR32" s="383"/>
      <c r="BS32" s="383"/>
      <c r="BT32" s="383"/>
      <c r="BU32" s="383"/>
      <c r="BV32" s="383"/>
      <c r="BW32" s="383"/>
      <c r="BX32" s="383"/>
      <c r="BY32" s="383"/>
      <c r="BZ32" s="383"/>
      <c r="CA32" s="383"/>
      <c r="CB32" s="383"/>
      <c r="CC32" s="383"/>
    </row>
    <row r="33" spans="1:81" ht="15.75" customHeight="1">
      <c r="A33" s="181"/>
      <c r="B33" s="152"/>
      <c r="C33" s="124"/>
      <c r="D33" s="143"/>
      <c r="E33" s="184"/>
      <c r="F33" s="143"/>
      <c r="G33" s="143"/>
      <c r="H33" s="143"/>
      <c r="I33" s="143"/>
      <c r="J33" s="143"/>
      <c r="K33" s="143"/>
      <c r="L33" s="143"/>
      <c r="M33" s="143"/>
      <c r="N33" s="143"/>
      <c r="O33" s="139"/>
      <c r="P33" s="139"/>
      <c r="Q33" s="156"/>
      <c r="R33" s="139"/>
      <c r="S33" s="143"/>
      <c r="T33" s="143"/>
      <c r="U33" s="143"/>
      <c r="V33" s="184"/>
      <c r="W33" s="143"/>
      <c r="X33" s="143"/>
      <c r="Y33" s="143"/>
      <c r="Z33" s="139"/>
      <c r="AA33" s="139"/>
      <c r="AB33" s="143"/>
      <c r="AC33" s="2137"/>
      <c r="AD33" s="2137"/>
      <c r="AE33" s="2137"/>
      <c r="AF33" s="2137"/>
      <c r="AG33" s="2137"/>
      <c r="AH33" s="2137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3"/>
      <c r="AV33" s="383"/>
      <c r="AW33" s="383"/>
      <c r="AX33" s="383"/>
      <c r="AY33" s="383"/>
      <c r="AZ33" s="383"/>
      <c r="BA33" s="383"/>
      <c r="BB33" s="383"/>
      <c r="BC33" s="383"/>
      <c r="BD33" s="383"/>
      <c r="BE33" s="383"/>
      <c r="BF33" s="383"/>
      <c r="BG33" s="383"/>
      <c r="BH33" s="383"/>
      <c r="BI33" s="383"/>
      <c r="BJ33" s="383"/>
      <c r="BK33" s="383"/>
      <c r="BL33" s="383"/>
      <c r="BM33" s="383"/>
      <c r="BN33" s="383"/>
      <c r="BO33" s="383"/>
      <c r="BP33" s="383"/>
      <c r="BQ33" s="383"/>
      <c r="BR33" s="383"/>
      <c r="BS33" s="383"/>
      <c r="BT33" s="383"/>
      <c r="BU33" s="383"/>
      <c r="BV33" s="383"/>
      <c r="BW33" s="383"/>
      <c r="BX33" s="383"/>
      <c r="BY33" s="383"/>
      <c r="BZ33" s="383"/>
      <c r="CA33" s="383"/>
      <c r="CB33" s="383"/>
      <c r="CC33" s="383"/>
    </row>
    <row r="34" spans="1:81" ht="15.75" customHeight="1">
      <c r="A34" s="178"/>
      <c r="B34" s="152"/>
      <c r="C34" s="143"/>
      <c r="D34" s="143"/>
      <c r="E34" s="184"/>
      <c r="F34" s="143"/>
      <c r="G34" s="124"/>
      <c r="H34" s="124"/>
      <c r="I34" s="191"/>
      <c r="J34" s="124"/>
      <c r="K34" s="124"/>
      <c r="L34" s="143"/>
      <c r="M34" s="124"/>
      <c r="N34" s="124"/>
      <c r="O34" s="134"/>
      <c r="P34" s="153"/>
      <c r="Q34" s="156"/>
      <c r="R34" s="153"/>
      <c r="S34" s="143"/>
      <c r="T34" s="338"/>
      <c r="U34" s="143"/>
      <c r="V34" s="184"/>
      <c r="W34" s="143"/>
      <c r="X34" s="143"/>
      <c r="Y34" s="124"/>
      <c r="Z34" s="153"/>
      <c r="AA34" s="153"/>
      <c r="AB34" s="338"/>
      <c r="AC34" s="2137"/>
      <c r="AD34" s="2137"/>
      <c r="AE34" s="2137"/>
      <c r="AF34" s="2137"/>
      <c r="AG34" s="2137"/>
      <c r="AH34" s="2137"/>
      <c r="AI34" s="383"/>
      <c r="AJ34" s="383"/>
      <c r="AK34" s="383"/>
      <c r="AL34" s="383"/>
      <c r="AM34" s="383"/>
      <c r="AN34" s="383"/>
      <c r="AO34" s="383"/>
      <c r="AP34" s="383"/>
      <c r="AQ34" s="383"/>
      <c r="AR34" s="383"/>
      <c r="AS34" s="383"/>
      <c r="AT34" s="383"/>
      <c r="AU34" s="383"/>
      <c r="AV34" s="383"/>
      <c r="AW34" s="383"/>
      <c r="AX34" s="383"/>
      <c r="AY34" s="383"/>
      <c r="AZ34" s="383"/>
      <c r="BA34" s="383"/>
      <c r="BB34" s="383"/>
      <c r="BC34" s="383"/>
      <c r="BD34" s="383"/>
      <c r="BE34" s="383"/>
      <c r="BF34" s="383"/>
      <c r="BG34" s="383"/>
      <c r="BH34" s="383"/>
      <c r="BI34" s="383"/>
      <c r="BJ34" s="383"/>
      <c r="BK34" s="383"/>
      <c r="BL34" s="383"/>
      <c r="BM34" s="383"/>
      <c r="BN34" s="383"/>
      <c r="BO34" s="383"/>
      <c r="BP34" s="383"/>
      <c r="BQ34" s="383"/>
      <c r="BR34" s="383"/>
      <c r="BS34" s="383"/>
      <c r="BT34" s="383"/>
      <c r="BU34" s="383"/>
      <c r="BV34" s="383"/>
      <c r="BW34" s="383"/>
      <c r="BX34" s="383"/>
      <c r="BY34" s="383"/>
      <c r="BZ34" s="383"/>
      <c r="CA34" s="383"/>
      <c r="CB34" s="383"/>
      <c r="CC34" s="383"/>
    </row>
    <row r="35" spans="1:81" ht="15.75" customHeight="1">
      <c r="A35" s="181"/>
      <c r="B35" s="152"/>
      <c r="C35" s="124"/>
      <c r="D35" s="124"/>
      <c r="E35" s="184"/>
      <c r="F35" s="143"/>
      <c r="G35" s="124"/>
      <c r="H35" s="124"/>
      <c r="I35" s="191"/>
      <c r="J35" s="124"/>
      <c r="K35" s="124"/>
      <c r="L35" s="143"/>
      <c r="M35" s="124"/>
      <c r="N35" s="124"/>
      <c r="O35" s="134"/>
      <c r="P35" s="134"/>
      <c r="Q35" s="156"/>
      <c r="R35" s="139"/>
      <c r="S35" s="143"/>
      <c r="T35" s="338"/>
      <c r="U35" s="124"/>
      <c r="V35" s="184"/>
      <c r="W35" s="143"/>
      <c r="X35" s="143"/>
      <c r="Y35" s="124"/>
      <c r="Z35" s="134"/>
      <c r="AA35" s="139"/>
      <c r="AB35" s="338"/>
      <c r="AC35" s="2137"/>
      <c r="AD35" s="2137"/>
      <c r="AE35" s="2137"/>
      <c r="AF35" s="2137"/>
      <c r="AG35" s="2137"/>
      <c r="AH35" s="2137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3"/>
      <c r="AV35" s="383"/>
      <c r="AW35" s="383"/>
      <c r="AX35" s="383"/>
      <c r="AY35" s="383"/>
      <c r="AZ35" s="383"/>
      <c r="BA35" s="383"/>
      <c r="BB35" s="383"/>
      <c r="BC35" s="383"/>
      <c r="BD35" s="383"/>
      <c r="BE35" s="383"/>
      <c r="BF35" s="383"/>
      <c r="BG35" s="383"/>
      <c r="BH35" s="383"/>
      <c r="BI35" s="383"/>
      <c r="BJ35" s="383"/>
      <c r="BK35" s="383"/>
      <c r="BL35" s="383"/>
      <c r="BM35" s="383"/>
      <c r="BN35" s="383"/>
      <c r="BO35" s="383"/>
      <c r="BP35" s="383"/>
      <c r="BQ35" s="383"/>
      <c r="BR35" s="383"/>
      <c r="BS35" s="383"/>
      <c r="BT35" s="383"/>
      <c r="BU35" s="383"/>
      <c r="BV35" s="383"/>
      <c r="BW35" s="383"/>
      <c r="BX35" s="383"/>
      <c r="BY35" s="383"/>
      <c r="BZ35" s="383"/>
      <c r="CA35" s="383"/>
      <c r="CB35" s="383"/>
      <c r="CC35" s="383"/>
    </row>
    <row r="36" spans="1:81" ht="15.75" customHeight="1">
      <c r="A36" s="181"/>
      <c r="B36" s="152"/>
      <c r="C36" s="124"/>
      <c r="D36" s="124"/>
      <c r="E36" s="184"/>
      <c r="F36" s="143"/>
      <c r="G36" s="124"/>
      <c r="H36" s="124"/>
      <c r="I36" s="191"/>
      <c r="J36" s="124"/>
      <c r="K36" s="124"/>
      <c r="L36" s="143"/>
      <c r="M36" s="124"/>
      <c r="N36" s="124"/>
      <c r="O36" s="134"/>
      <c r="P36" s="134"/>
      <c r="Q36" s="156"/>
      <c r="R36" s="139"/>
      <c r="S36" s="143"/>
      <c r="T36" s="338"/>
      <c r="U36" s="124"/>
      <c r="V36" s="184"/>
      <c r="W36" s="143"/>
      <c r="X36" s="143"/>
      <c r="Y36" s="124"/>
      <c r="Z36" s="134"/>
      <c r="AA36" s="139"/>
      <c r="AB36" s="338"/>
      <c r="AC36" s="2137"/>
      <c r="AD36" s="2137"/>
      <c r="AE36" s="2137"/>
      <c r="AF36" s="2137"/>
      <c r="AG36" s="2137"/>
      <c r="AH36" s="2137"/>
      <c r="AI36" s="383"/>
      <c r="AJ36" s="383"/>
      <c r="AK36" s="383"/>
      <c r="AL36" s="383"/>
      <c r="AM36" s="383"/>
      <c r="AN36" s="383"/>
      <c r="AO36" s="383"/>
      <c r="AP36" s="383"/>
      <c r="AQ36" s="383"/>
      <c r="AR36" s="383"/>
      <c r="AS36" s="383"/>
      <c r="AT36" s="383"/>
      <c r="AU36" s="383"/>
      <c r="AV36" s="383"/>
      <c r="AW36" s="383"/>
      <c r="AX36" s="383"/>
      <c r="AY36" s="383"/>
      <c r="AZ36" s="383"/>
      <c r="BA36" s="383"/>
      <c r="BB36" s="383"/>
      <c r="BC36" s="383"/>
      <c r="BD36" s="383"/>
      <c r="BE36" s="383"/>
      <c r="BF36" s="383"/>
      <c r="BG36" s="383"/>
      <c r="BH36" s="383"/>
      <c r="BI36" s="383"/>
      <c r="BJ36" s="383"/>
      <c r="BK36" s="383"/>
      <c r="BL36" s="383"/>
      <c r="BM36" s="383"/>
      <c r="BN36" s="383"/>
      <c r="BO36" s="383"/>
      <c r="BP36" s="383"/>
      <c r="BQ36" s="383"/>
      <c r="BR36" s="383"/>
      <c r="BS36" s="383"/>
      <c r="BT36" s="383"/>
      <c r="BU36" s="383"/>
      <c r="BV36" s="383"/>
      <c r="BW36" s="383"/>
      <c r="BX36" s="383"/>
      <c r="BY36" s="383"/>
      <c r="BZ36" s="383"/>
      <c r="CA36" s="383"/>
      <c r="CB36" s="383"/>
      <c r="CC36" s="383"/>
    </row>
    <row r="37" spans="1:81" ht="15.75" customHeight="1">
      <c r="A37" s="181"/>
      <c r="B37" s="152"/>
      <c r="C37" s="124"/>
      <c r="D37" s="124"/>
      <c r="E37" s="184"/>
      <c r="F37" s="143"/>
      <c r="G37" s="124"/>
      <c r="H37" s="124"/>
      <c r="I37" s="191"/>
      <c r="J37" s="124"/>
      <c r="K37" s="124"/>
      <c r="L37" s="143"/>
      <c r="M37" s="124"/>
      <c r="N37" s="124"/>
      <c r="O37" s="134"/>
      <c r="P37" s="134"/>
      <c r="Q37" s="156"/>
      <c r="R37" s="139"/>
      <c r="S37" s="143"/>
      <c r="T37" s="338"/>
      <c r="U37" s="124"/>
      <c r="V37" s="184"/>
      <c r="W37" s="143"/>
      <c r="X37" s="143"/>
      <c r="Y37" s="124"/>
      <c r="Z37" s="134"/>
      <c r="AA37" s="139"/>
      <c r="AB37" s="338"/>
      <c r="AC37" s="2137"/>
      <c r="AD37" s="2137"/>
      <c r="AE37" s="2137"/>
      <c r="AF37" s="2137"/>
      <c r="AG37" s="2137"/>
      <c r="AH37" s="2137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3"/>
      <c r="AV37" s="383"/>
      <c r="AW37" s="383"/>
      <c r="AX37" s="383"/>
      <c r="AY37" s="383"/>
      <c r="AZ37" s="383"/>
      <c r="BA37" s="383"/>
      <c r="BB37" s="383"/>
      <c r="BC37" s="383"/>
      <c r="BD37" s="383"/>
      <c r="BE37" s="383"/>
      <c r="BF37" s="383"/>
      <c r="BG37" s="383"/>
      <c r="BH37" s="383"/>
      <c r="BI37" s="383"/>
      <c r="BJ37" s="383"/>
      <c r="BK37" s="383"/>
      <c r="BL37" s="383"/>
      <c r="BM37" s="383"/>
      <c r="BN37" s="383"/>
      <c r="BO37" s="383"/>
      <c r="BP37" s="383"/>
      <c r="BQ37" s="383"/>
      <c r="BR37" s="383"/>
      <c r="BS37" s="383"/>
      <c r="BT37" s="383"/>
      <c r="BU37" s="383"/>
      <c r="BV37" s="383"/>
      <c r="BW37" s="383"/>
      <c r="BX37" s="383"/>
      <c r="BY37" s="383"/>
      <c r="BZ37" s="383"/>
      <c r="CA37" s="383"/>
      <c r="CB37" s="383"/>
      <c r="CC37" s="383"/>
    </row>
    <row r="38" spans="1:81" ht="15.75" customHeight="1">
      <c r="A38" s="181"/>
      <c r="B38" s="152"/>
      <c r="C38" s="124"/>
      <c r="D38" s="124"/>
      <c r="E38" s="184"/>
      <c r="F38" s="143"/>
      <c r="G38" s="124"/>
      <c r="H38" s="124"/>
      <c r="I38" s="191"/>
      <c r="J38" s="124"/>
      <c r="K38" s="124"/>
      <c r="L38" s="143"/>
      <c r="M38" s="124"/>
      <c r="N38" s="124"/>
      <c r="O38" s="134"/>
      <c r="P38" s="134"/>
      <c r="Q38" s="156"/>
      <c r="R38" s="139"/>
      <c r="S38" s="143"/>
      <c r="T38" s="338"/>
      <c r="U38" s="124"/>
      <c r="V38" s="184"/>
      <c r="W38" s="143"/>
      <c r="X38" s="143"/>
      <c r="Y38" s="124"/>
      <c r="Z38" s="134"/>
      <c r="AA38" s="139"/>
      <c r="AB38" s="338"/>
      <c r="AC38" s="2137"/>
      <c r="AD38" s="2137"/>
      <c r="AE38" s="2137"/>
      <c r="AF38" s="2137"/>
      <c r="AG38" s="2137"/>
      <c r="AH38" s="2137"/>
      <c r="AI38" s="383"/>
      <c r="AJ38" s="383"/>
      <c r="AK38" s="383"/>
      <c r="AL38" s="383"/>
      <c r="AM38" s="383"/>
      <c r="AN38" s="383"/>
      <c r="AO38" s="383"/>
      <c r="AP38" s="383"/>
      <c r="AQ38" s="383"/>
      <c r="AR38" s="383"/>
      <c r="AS38" s="383"/>
      <c r="AT38" s="383"/>
      <c r="AU38" s="383"/>
      <c r="AV38" s="383"/>
      <c r="AW38" s="383"/>
      <c r="AX38" s="383"/>
      <c r="AY38" s="383"/>
      <c r="AZ38" s="383"/>
      <c r="BA38" s="383"/>
      <c r="BB38" s="383"/>
      <c r="BC38" s="383"/>
      <c r="BD38" s="383"/>
      <c r="BE38" s="383"/>
      <c r="BF38" s="383"/>
      <c r="BG38" s="383"/>
      <c r="BH38" s="383"/>
      <c r="BI38" s="383"/>
      <c r="BJ38" s="383"/>
      <c r="BK38" s="383"/>
      <c r="BL38" s="383"/>
      <c r="BM38" s="383"/>
      <c r="BN38" s="383"/>
      <c r="BO38" s="383"/>
      <c r="BP38" s="383"/>
      <c r="BQ38" s="383"/>
      <c r="BR38" s="383"/>
      <c r="BS38" s="383"/>
      <c r="BT38" s="383"/>
      <c r="BU38" s="383"/>
      <c r="BV38" s="383"/>
      <c r="BW38" s="383"/>
      <c r="BX38" s="383"/>
      <c r="BY38" s="383"/>
      <c r="BZ38" s="383"/>
      <c r="CA38" s="383"/>
      <c r="CB38" s="383"/>
      <c r="CC38" s="383"/>
    </row>
    <row r="39" spans="1:81" ht="15.75" customHeight="1">
      <c r="A39" s="181"/>
      <c r="B39" s="152"/>
      <c r="C39" s="124"/>
      <c r="D39" s="124"/>
      <c r="E39" s="184"/>
      <c r="F39" s="143"/>
      <c r="G39" s="124"/>
      <c r="H39" s="124"/>
      <c r="I39" s="191"/>
      <c r="J39" s="124"/>
      <c r="K39" s="124"/>
      <c r="L39" s="143"/>
      <c r="M39" s="124"/>
      <c r="N39" s="124"/>
      <c r="O39" s="134"/>
      <c r="P39" s="134"/>
      <c r="Q39" s="156"/>
      <c r="R39" s="139"/>
      <c r="S39" s="143"/>
      <c r="T39" s="338"/>
      <c r="U39" s="124"/>
      <c r="V39" s="184"/>
      <c r="W39" s="143"/>
      <c r="X39" s="143"/>
      <c r="Y39" s="124"/>
      <c r="Z39" s="134"/>
      <c r="AA39" s="139"/>
      <c r="AB39" s="338"/>
      <c r="AC39" s="2137"/>
      <c r="AD39" s="2137"/>
      <c r="AE39" s="2137"/>
      <c r="AF39" s="2137"/>
      <c r="AG39" s="2137"/>
      <c r="AH39" s="2137"/>
      <c r="AI39" s="383"/>
      <c r="AJ39" s="383"/>
      <c r="AK39" s="383"/>
      <c r="AL39" s="383"/>
      <c r="AM39" s="383"/>
      <c r="AN39" s="383"/>
      <c r="AO39" s="383"/>
      <c r="AP39" s="383"/>
      <c r="AQ39" s="383"/>
      <c r="AR39" s="383"/>
      <c r="AS39" s="383"/>
      <c r="AT39" s="383"/>
      <c r="AU39" s="383"/>
      <c r="AV39" s="383"/>
      <c r="AW39" s="383"/>
      <c r="AX39" s="383"/>
      <c r="AY39" s="383"/>
      <c r="AZ39" s="383"/>
      <c r="BA39" s="383"/>
      <c r="BB39" s="383"/>
      <c r="BC39" s="383"/>
      <c r="BD39" s="383"/>
      <c r="BE39" s="383"/>
      <c r="BF39" s="383"/>
      <c r="BG39" s="383"/>
      <c r="BH39" s="383"/>
      <c r="BI39" s="383"/>
      <c r="BJ39" s="383"/>
      <c r="BK39" s="383"/>
      <c r="BL39" s="383"/>
      <c r="BM39" s="383"/>
      <c r="BN39" s="383"/>
      <c r="BO39" s="383"/>
      <c r="BP39" s="383"/>
      <c r="BQ39" s="383"/>
      <c r="BR39" s="383"/>
      <c r="BS39" s="383"/>
      <c r="BT39" s="383"/>
      <c r="BU39" s="383"/>
      <c r="BV39" s="383"/>
      <c r="BW39" s="383"/>
      <c r="BX39" s="383"/>
      <c r="BY39" s="383"/>
      <c r="BZ39" s="383"/>
      <c r="CA39" s="383"/>
      <c r="CB39" s="383"/>
      <c r="CC39" s="383"/>
    </row>
    <row r="40" spans="1:81" ht="15.75" customHeight="1">
      <c r="A40" s="181"/>
      <c r="B40" s="152"/>
      <c r="C40" s="124"/>
      <c r="D40" s="124"/>
      <c r="E40" s="184"/>
      <c r="F40" s="143"/>
      <c r="G40" s="124"/>
      <c r="H40" s="124"/>
      <c r="I40" s="191"/>
      <c r="J40" s="124"/>
      <c r="K40" s="124"/>
      <c r="L40" s="143"/>
      <c r="M40" s="124"/>
      <c r="N40" s="124"/>
      <c r="O40" s="134"/>
      <c r="P40" s="134"/>
      <c r="Q40" s="156"/>
      <c r="R40" s="139"/>
      <c r="S40" s="143"/>
      <c r="T40" s="338"/>
      <c r="U40" s="124"/>
      <c r="V40" s="184"/>
      <c r="W40" s="143"/>
      <c r="X40" s="143"/>
      <c r="Y40" s="124"/>
      <c r="Z40" s="134"/>
      <c r="AA40" s="139"/>
      <c r="AB40" s="338"/>
      <c r="AC40" s="2137"/>
      <c r="AD40" s="2137"/>
      <c r="AE40" s="2137"/>
      <c r="AF40" s="2137"/>
      <c r="AG40" s="2137"/>
      <c r="AH40" s="2137"/>
      <c r="AI40" s="383"/>
      <c r="AJ40" s="383"/>
      <c r="AK40" s="383"/>
      <c r="AL40" s="383"/>
      <c r="AM40" s="383"/>
      <c r="AN40" s="383"/>
      <c r="AO40" s="383"/>
      <c r="AP40" s="383"/>
      <c r="AQ40" s="383"/>
      <c r="AR40" s="383"/>
      <c r="AS40" s="383"/>
      <c r="AT40" s="383"/>
      <c r="AU40" s="383"/>
      <c r="AV40" s="383"/>
      <c r="AW40" s="383"/>
      <c r="AX40" s="383"/>
      <c r="AY40" s="383"/>
      <c r="AZ40" s="383"/>
      <c r="BA40" s="383"/>
      <c r="BB40" s="383"/>
      <c r="BC40" s="383"/>
      <c r="BD40" s="383"/>
      <c r="BE40" s="383"/>
      <c r="BF40" s="383"/>
      <c r="BG40" s="383"/>
      <c r="BH40" s="383"/>
      <c r="BI40" s="383"/>
      <c r="BJ40" s="383"/>
      <c r="BK40" s="383"/>
      <c r="BL40" s="383"/>
      <c r="BM40" s="383"/>
      <c r="BN40" s="383"/>
      <c r="BO40" s="383"/>
      <c r="BP40" s="383"/>
      <c r="BQ40" s="383"/>
      <c r="BR40" s="383"/>
      <c r="BS40" s="383"/>
      <c r="BT40" s="383"/>
      <c r="BU40" s="383"/>
      <c r="BV40" s="383"/>
      <c r="BW40" s="383"/>
      <c r="BX40" s="383"/>
      <c r="BY40" s="383"/>
      <c r="BZ40" s="383"/>
      <c r="CA40" s="383"/>
      <c r="CB40" s="383"/>
      <c r="CC40" s="383"/>
    </row>
    <row r="41" spans="1:81" ht="15.75" customHeight="1">
      <c r="A41" s="181"/>
      <c r="B41" s="152"/>
      <c r="C41" s="124"/>
      <c r="D41" s="124"/>
      <c r="E41" s="184"/>
      <c r="F41" s="143"/>
      <c r="G41" s="124"/>
      <c r="H41" s="124"/>
      <c r="I41" s="191"/>
      <c r="J41" s="124"/>
      <c r="K41" s="124"/>
      <c r="L41" s="143"/>
      <c r="M41" s="124"/>
      <c r="N41" s="124"/>
      <c r="O41" s="134"/>
      <c r="P41" s="139"/>
      <c r="Q41" s="134"/>
      <c r="R41" s="139"/>
      <c r="S41" s="143"/>
      <c r="T41" s="338"/>
      <c r="U41" s="124"/>
      <c r="V41" s="184"/>
      <c r="W41" s="143"/>
      <c r="X41" s="143"/>
      <c r="Y41" s="124"/>
      <c r="Z41" s="139"/>
      <c r="AA41" s="139"/>
      <c r="AB41" s="338"/>
      <c r="AC41" s="2137"/>
      <c r="AD41" s="2137"/>
      <c r="AE41" s="2137"/>
      <c r="AF41" s="2137"/>
      <c r="AG41" s="2137"/>
      <c r="AH41" s="2137"/>
      <c r="AI41" s="383"/>
      <c r="AJ41" s="383"/>
      <c r="AK41" s="383"/>
      <c r="AL41" s="383"/>
      <c r="AM41" s="383"/>
      <c r="AN41" s="383"/>
      <c r="AO41" s="383"/>
      <c r="AP41" s="383"/>
      <c r="AQ41" s="383"/>
      <c r="AR41" s="383"/>
      <c r="AS41" s="383"/>
      <c r="AT41" s="383"/>
      <c r="AU41" s="383"/>
      <c r="AV41" s="383"/>
      <c r="AW41" s="383"/>
      <c r="AX41" s="383"/>
      <c r="AY41" s="383"/>
      <c r="AZ41" s="383"/>
      <c r="BA41" s="383"/>
      <c r="BB41" s="383"/>
      <c r="BC41" s="383"/>
      <c r="BD41" s="383"/>
      <c r="BE41" s="383"/>
      <c r="BF41" s="383"/>
      <c r="BG41" s="383"/>
      <c r="BH41" s="383"/>
      <c r="BI41" s="383"/>
      <c r="BJ41" s="383"/>
      <c r="BK41" s="383"/>
      <c r="BL41" s="383"/>
      <c r="BM41" s="383"/>
      <c r="BN41" s="383"/>
      <c r="BO41" s="383"/>
      <c r="BP41" s="383"/>
      <c r="BQ41" s="383"/>
      <c r="BR41" s="383"/>
      <c r="BS41" s="383"/>
      <c r="BT41" s="383"/>
      <c r="BU41" s="383"/>
      <c r="BV41" s="383"/>
      <c r="BW41" s="383"/>
      <c r="BX41" s="383"/>
      <c r="BY41" s="383"/>
      <c r="BZ41" s="383"/>
      <c r="CA41" s="383"/>
      <c r="CB41" s="383"/>
      <c r="CC41" s="383"/>
    </row>
    <row r="42" spans="1:81" ht="15.75" customHeight="1">
      <c r="A42" s="181"/>
      <c r="B42" s="152"/>
      <c r="C42" s="124"/>
      <c r="D42" s="124"/>
      <c r="E42" s="184"/>
      <c r="F42" s="143"/>
      <c r="G42" s="124"/>
      <c r="H42" s="124"/>
      <c r="I42" s="191"/>
      <c r="J42" s="124"/>
      <c r="K42" s="124"/>
      <c r="L42" s="143"/>
      <c r="M42" s="124"/>
      <c r="N42" s="124"/>
      <c r="O42" s="134"/>
      <c r="P42" s="139"/>
      <c r="Q42" s="134"/>
      <c r="R42" s="139"/>
      <c r="S42" s="143"/>
      <c r="T42" s="338"/>
      <c r="U42" s="124"/>
      <c r="V42" s="184"/>
      <c r="W42" s="143"/>
      <c r="X42" s="143"/>
      <c r="Y42" s="124"/>
      <c r="Z42" s="139"/>
      <c r="AA42" s="139"/>
      <c r="AB42" s="338"/>
      <c r="AC42" s="2137"/>
      <c r="AD42" s="2137"/>
      <c r="AE42" s="2137"/>
      <c r="AF42" s="2137"/>
      <c r="AG42" s="2137"/>
      <c r="AH42" s="2137"/>
      <c r="AI42" s="383"/>
      <c r="AJ42" s="383"/>
      <c r="AK42" s="383"/>
      <c r="AL42" s="383"/>
      <c r="AM42" s="383"/>
      <c r="AN42" s="383"/>
      <c r="AO42" s="383"/>
      <c r="AP42" s="383"/>
      <c r="AQ42" s="383"/>
      <c r="AR42" s="383"/>
      <c r="AS42" s="383"/>
      <c r="AT42" s="383"/>
      <c r="AU42" s="383"/>
      <c r="AV42" s="383"/>
      <c r="AW42" s="383"/>
      <c r="AX42" s="383"/>
      <c r="AY42" s="383"/>
      <c r="AZ42" s="383"/>
      <c r="BA42" s="383"/>
      <c r="BB42" s="383"/>
      <c r="BC42" s="383"/>
      <c r="BD42" s="383"/>
      <c r="BE42" s="383"/>
      <c r="BF42" s="383"/>
      <c r="BG42" s="383"/>
      <c r="BH42" s="383"/>
      <c r="BI42" s="383"/>
      <c r="BJ42" s="383"/>
      <c r="BK42" s="383"/>
      <c r="BL42" s="383"/>
      <c r="BM42" s="383"/>
      <c r="BN42" s="383"/>
      <c r="BO42" s="383"/>
      <c r="BP42" s="383"/>
      <c r="BQ42" s="383"/>
      <c r="BR42" s="383"/>
      <c r="BS42" s="383"/>
      <c r="BT42" s="383"/>
      <c r="BU42" s="383"/>
      <c r="BV42" s="383"/>
      <c r="BW42" s="383"/>
      <c r="BX42" s="383"/>
      <c r="BY42" s="383"/>
      <c r="BZ42" s="383"/>
      <c r="CA42" s="383"/>
      <c r="CB42" s="383"/>
      <c r="CC42" s="383"/>
    </row>
    <row r="43" spans="1:81" ht="15.75" customHeight="1">
      <c r="A43" s="181"/>
      <c r="B43" s="152"/>
      <c r="C43" s="124"/>
      <c r="D43" s="124"/>
      <c r="E43" s="184"/>
      <c r="F43" s="143"/>
      <c r="G43" s="124"/>
      <c r="H43" s="124"/>
      <c r="I43" s="191"/>
      <c r="J43" s="124"/>
      <c r="K43" s="124"/>
      <c r="L43" s="143"/>
      <c r="M43" s="124"/>
      <c r="N43" s="124"/>
      <c r="O43" s="134"/>
      <c r="P43" s="139"/>
      <c r="Q43" s="134"/>
      <c r="R43" s="139"/>
      <c r="S43" s="143"/>
      <c r="T43" s="338"/>
      <c r="U43" s="124"/>
      <c r="V43" s="184"/>
      <c r="W43" s="143"/>
      <c r="X43" s="143"/>
      <c r="Y43" s="124"/>
      <c r="Z43" s="139"/>
      <c r="AA43" s="139"/>
      <c r="AB43" s="338"/>
      <c r="AC43" s="2137"/>
      <c r="AD43" s="2137"/>
      <c r="AE43" s="2137"/>
      <c r="AF43" s="2137"/>
      <c r="AG43" s="2137"/>
      <c r="AH43" s="2137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3"/>
      <c r="AV43" s="383"/>
      <c r="AW43" s="383"/>
      <c r="AX43" s="383"/>
      <c r="AY43" s="383"/>
      <c r="AZ43" s="383"/>
      <c r="BA43" s="383"/>
      <c r="BB43" s="383"/>
      <c r="BC43" s="383"/>
      <c r="BD43" s="383"/>
      <c r="BE43" s="383"/>
      <c r="BF43" s="383"/>
      <c r="BG43" s="383"/>
      <c r="BH43" s="383"/>
      <c r="BI43" s="383"/>
      <c r="BJ43" s="383"/>
      <c r="BK43" s="383"/>
      <c r="BL43" s="383"/>
      <c r="BM43" s="383"/>
      <c r="BN43" s="383"/>
      <c r="BO43" s="383"/>
      <c r="BP43" s="383"/>
      <c r="BQ43" s="383"/>
      <c r="BR43" s="383"/>
      <c r="BS43" s="383"/>
      <c r="BT43" s="383"/>
      <c r="BU43" s="383"/>
      <c r="BV43" s="383"/>
      <c r="BW43" s="383"/>
      <c r="BX43" s="383"/>
      <c r="BY43" s="383"/>
      <c r="BZ43" s="383"/>
      <c r="CA43" s="383"/>
      <c r="CB43" s="383"/>
      <c r="CC43" s="383"/>
    </row>
    <row r="44" spans="1:81" ht="15.75" customHeight="1">
      <c r="A44" s="181"/>
      <c r="B44" s="152"/>
      <c r="C44" s="124"/>
      <c r="D44" s="124"/>
      <c r="E44" s="147"/>
      <c r="F44" s="143"/>
      <c r="G44" s="124"/>
      <c r="H44" s="124"/>
      <c r="I44" s="191"/>
      <c r="J44" s="124"/>
      <c r="K44" s="124"/>
      <c r="L44" s="143"/>
      <c r="M44" s="124"/>
      <c r="N44" s="124"/>
      <c r="O44" s="134"/>
      <c r="P44" s="139"/>
      <c r="Q44" s="134"/>
      <c r="R44" s="139"/>
      <c r="S44" s="143"/>
      <c r="T44" s="338"/>
      <c r="U44" s="124"/>
      <c r="V44" s="147"/>
      <c r="W44" s="143"/>
      <c r="X44" s="143"/>
      <c r="Y44" s="124"/>
      <c r="Z44" s="139"/>
      <c r="AA44" s="139"/>
      <c r="AB44" s="338"/>
      <c r="AC44" s="2137"/>
      <c r="AD44" s="2137"/>
      <c r="AE44" s="2137"/>
      <c r="AF44" s="2137"/>
      <c r="AG44" s="2137"/>
      <c r="AH44" s="2137"/>
      <c r="AI44" s="383"/>
      <c r="AJ44" s="383"/>
      <c r="AK44" s="383"/>
      <c r="AL44" s="383"/>
      <c r="AM44" s="383"/>
      <c r="AN44" s="383"/>
      <c r="AO44" s="383"/>
      <c r="AP44" s="383"/>
      <c r="AQ44" s="383"/>
      <c r="AR44" s="383"/>
      <c r="AS44" s="383"/>
      <c r="AT44" s="383"/>
      <c r="AU44" s="383"/>
      <c r="AV44" s="383"/>
      <c r="AW44" s="383"/>
      <c r="AX44" s="383"/>
      <c r="AY44" s="383"/>
      <c r="AZ44" s="383"/>
      <c r="BA44" s="383"/>
      <c r="BB44" s="383"/>
      <c r="BC44" s="383"/>
      <c r="BD44" s="383"/>
      <c r="BE44" s="383"/>
      <c r="BF44" s="383"/>
      <c r="BG44" s="383"/>
      <c r="BH44" s="383"/>
      <c r="BI44" s="383"/>
      <c r="BJ44" s="383"/>
      <c r="BK44" s="383"/>
      <c r="BL44" s="383"/>
      <c r="BM44" s="383"/>
      <c r="BN44" s="383"/>
      <c r="BO44" s="383"/>
      <c r="BP44" s="383"/>
      <c r="BQ44" s="383"/>
      <c r="BR44" s="383"/>
      <c r="BS44" s="383"/>
      <c r="BT44" s="383"/>
      <c r="BU44" s="383"/>
      <c r="BV44" s="383"/>
      <c r="BW44" s="383"/>
      <c r="BX44" s="383"/>
      <c r="BY44" s="383"/>
      <c r="BZ44" s="383"/>
      <c r="CA44" s="383"/>
      <c r="CB44" s="383"/>
      <c r="CC44" s="383"/>
    </row>
    <row r="45" spans="1:81" ht="15.75" customHeight="1">
      <c r="A45" s="181"/>
      <c r="B45" s="152"/>
      <c r="C45" s="124"/>
      <c r="D45" s="124"/>
      <c r="E45" s="147"/>
      <c r="F45" s="143"/>
      <c r="G45" s="124"/>
      <c r="H45" s="124"/>
      <c r="I45" s="191"/>
      <c r="J45" s="124"/>
      <c r="K45" s="124"/>
      <c r="L45" s="143"/>
      <c r="M45" s="124"/>
      <c r="N45" s="124"/>
      <c r="O45" s="134"/>
      <c r="P45" s="139"/>
      <c r="Q45" s="134"/>
      <c r="R45" s="139"/>
      <c r="S45" s="143"/>
      <c r="T45" s="338"/>
      <c r="U45" s="124"/>
      <c r="V45" s="147"/>
      <c r="W45" s="143"/>
      <c r="X45" s="143"/>
      <c r="Y45" s="124"/>
      <c r="Z45" s="139"/>
      <c r="AA45" s="139"/>
      <c r="AB45" s="338"/>
      <c r="AC45" s="2137"/>
      <c r="AD45" s="2137"/>
      <c r="AE45" s="2137"/>
      <c r="AF45" s="2137"/>
      <c r="AG45" s="2137"/>
      <c r="AH45" s="2137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83"/>
      <c r="BV45" s="383"/>
      <c r="BW45" s="383"/>
      <c r="BX45" s="383"/>
      <c r="BY45" s="383"/>
      <c r="BZ45" s="383"/>
      <c r="CA45" s="383"/>
      <c r="CB45" s="383"/>
      <c r="CC45" s="383"/>
    </row>
    <row r="46" spans="1:81" ht="15.75" customHeight="1">
      <c r="A46" s="181"/>
      <c r="B46" s="152"/>
      <c r="C46" s="124"/>
      <c r="D46" s="124"/>
      <c r="E46" s="147"/>
      <c r="F46" s="143"/>
      <c r="G46" s="124"/>
      <c r="H46" s="124"/>
      <c r="I46" s="191"/>
      <c r="J46" s="124"/>
      <c r="K46" s="124"/>
      <c r="L46" s="143"/>
      <c r="M46" s="124"/>
      <c r="N46" s="124"/>
      <c r="O46" s="134"/>
      <c r="P46" s="139"/>
      <c r="Q46" s="134"/>
      <c r="R46" s="139"/>
      <c r="S46" s="143"/>
      <c r="T46" s="338"/>
      <c r="U46" s="124"/>
      <c r="V46" s="147"/>
      <c r="W46" s="143"/>
      <c r="X46" s="143"/>
      <c r="Y46" s="124"/>
      <c r="Z46" s="139"/>
      <c r="AA46" s="139"/>
      <c r="AB46" s="338"/>
      <c r="AC46" s="2137"/>
      <c r="AD46" s="2137"/>
      <c r="AE46" s="2137"/>
      <c r="AF46" s="2137"/>
      <c r="AG46" s="2137"/>
      <c r="AH46" s="2137"/>
      <c r="AI46" s="383"/>
      <c r="AJ46" s="383"/>
      <c r="AK46" s="383"/>
      <c r="AL46" s="383"/>
      <c r="AM46" s="383"/>
      <c r="AN46" s="383"/>
      <c r="AO46" s="383"/>
      <c r="AP46" s="383"/>
      <c r="AQ46" s="383"/>
      <c r="AR46" s="383"/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83"/>
      <c r="BV46" s="383"/>
      <c r="BW46" s="383"/>
      <c r="BX46" s="383"/>
      <c r="BY46" s="383"/>
      <c r="BZ46" s="383"/>
      <c r="CA46" s="383"/>
      <c r="CB46" s="383"/>
      <c r="CC46" s="383"/>
    </row>
    <row r="47" spans="1:81" ht="15.75" customHeight="1">
      <c r="A47" s="181"/>
      <c r="B47" s="152"/>
      <c r="C47" s="124"/>
      <c r="D47" s="124"/>
      <c r="E47" s="147"/>
      <c r="F47" s="143"/>
      <c r="G47" s="124"/>
      <c r="H47" s="124"/>
      <c r="I47" s="191"/>
      <c r="J47" s="124"/>
      <c r="K47" s="124"/>
      <c r="L47" s="143"/>
      <c r="M47" s="124"/>
      <c r="N47" s="124"/>
      <c r="O47" s="134"/>
      <c r="P47" s="139"/>
      <c r="Q47" s="134"/>
      <c r="R47" s="139"/>
      <c r="S47" s="143"/>
      <c r="T47" s="338"/>
      <c r="U47" s="124"/>
      <c r="V47" s="147"/>
      <c r="W47" s="143"/>
      <c r="X47" s="143"/>
      <c r="Y47" s="124"/>
      <c r="Z47" s="139"/>
      <c r="AA47" s="139"/>
      <c r="AB47" s="338"/>
      <c r="AC47" s="2137"/>
      <c r="AD47" s="2137"/>
      <c r="AE47" s="2137"/>
      <c r="AF47" s="2137"/>
      <c r="AG47" s="2137"/>
      <c r="AH47" s="2137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3"/>
      <c r="AV47" s="383"/>
      <c r="AW47" s="383"/>
      <c r="AX47" s="383"/>
      <c r="AY47" s="383"/>
      <c r="AZ47" s="383"/>
      <c r="BA47" s="383"/>
      <c r="BB47" s="383"/>
      <c r="BC47" s="383"/>
      <c r="BD47" s="383"/>
      <c r="BE47" s="383"/>
      <c r="BF47" s="383"/>
      <c r="BG47" s="383"/>
      <c r="BH47" s="383"/>
      <c r="BI47" s="383"/>
      <c r="BJ47" s="383"/>
      <c r="BK47" s="383"/>
      <c r="BL47" s="383"/>
      <c r="BM47" s="383"/>
      <c r="BN47" s="383"/>
      <c r="BO47" s="383"/>
      <c r="BP47" s="383"/>
      <c r="BQ47" s="383"/>
      <c r="BR47" s="383"/>
      <c r="BS47" s="383"/>
      <c r="BT47" s="383"/>
      <c r="BU47" s="383"/>
      <c r="BV47" s="383"/>
      <c r="BW47" s="383"/>
      <c r="BX47" s="383"/>
      <c r="BY47" s="383"/>
      <c r="BZ47" s="383"/>
      <c r="CA47" s="383"/>
      <c r="CB47" s="383"/>
      <c r="CC47" s="383"/>
    </row>
    <row r="48" spans="1:81" ht="15.75" customHeight="1">
      <c r="A48" s="181"/>
      <c r="B48" s="152"/>
      <c r="C48" s="124"/>
      <c r="D48" s="124"/>
      <c r="E48" s="147"/>
      <c r="F48" s="143"/>
      <c r="G48" s="124"/>
      <c r="H48" s="124"/>
      <c r="I48" s="191"/>
      <c r="J48" s="124"/>
      <c r="K48" s="124"/>
      <c r="L48" s="143"/>
      <c r="M48" s="124"/>
      <c r="N48" s="124"/>
      <c r="O48" s="134"/>
      <c r="P48" s="139"/>
      <c r="Q48" s="134"/>
      <c r="R48" s="139"/>
      <c r="S48" s="143"/>
      <c r="T48" s="338"/>
      <c r="U48" s="124"/>
      <c r="V48" s="147"/>
      <c r="W48" s="143"/>
      <c r="X48" s="143"/>
      <c r="Y48" s="124"/>
      <c r="Z48" s="139"/>
      <c r="AA48" s="139"/>
      <c r="AB48" s="338"/>
      <c r="AC48" s="2137"/>
      <c r="AD48" s="2137"/>
      <c r="AE48" s="2137"/>
      <c r="AF48" s="2137"/>
      <c r="AG48" s="2137"/>
      <c r="AH48" s="2137"/>
      <c r="AI48" s="383"/>
      <c r="AJ48" s="383"/>
      <c r="AK48" s="383"/>
      <c r="AL48" s="383"/>
      <c r="AM48" s="383"/>
      <c r="AN48" s="383"/>
      <c r="AO48" s="383"/>
      <c r="AP48" s="383"/>
      <c r="AQ48" s="383"/>
      <c r="AR48" s="383"/>
      <c r="AS48" s="383"/>
      <c r="AT48" s="383"/>
      <c r="AU48" s="383"/>
      <c r="AV48" s="383"/>
      <c r="AW48" s="383"/>
      <c r="AX48" s="383"/>
      <c r="AY48" s="383"/>
      <c r="AZ48" s="383"/>
      <c r="BA48" s="383"/>
      <c r="BB48" s="383"/>
      <c r="BC48" s="383"/>
      <c r="BD48" s="383"/>
      <c r="BE48" s="383"/>
      <c r="BF48" s="383"/>
      <c r="BG48" s="383"/>
      <c r="BH48" s="383"/>
      <c r="BI48" s="383"/>
      <c r="BJ48" s="383"/>
      <c r="BK48" s="383"/>
      <c r="BL48" s="383"/>
      <c r="BM48" s="383"/>
      <c r="BN48" s="383"/>
      <c r="BO48" s="383"/>
      <c r="BP48" s="383"/>
      <c r="BQ48" s="383"/>
      <c r="BR48" s="383"/>
      <c r="BS48" s="383"/>
      <c r="BT48" s="383"/>
      <c r="BU48" s="383"/>
      <c r="BV48" s="383"/>
      <c r="BW48" s="383"/>
      <c r="BX48" s="383"/>
      <c r="BY48" s="383"/>
      <c r="BZ48" s="383"/>
      <c r="CA48" s="383"/>
      <c r="CB48" s="383"/>
      <c r="CC48" s="383"/>
    </row>
    <row r="49" spans="1:81" ht="15.75" customHeight="1">
      <c r="A49" s="181"/>
      <c r="B49" s="152"/>
      <c r="C49" s="124"/>
      <c r="D49" s="124"/>
      <c r="E49" s="147"/>
      <c r="F49" s="143"/>
      <c r="G49" s="124"/>
      <c r="H49" s="124"/>
      <c r="I49" s="191"/>
      <c r="J49" s="124"/>
      <c r="K49" s="124"/>
      <c r="L49" s="143"/>
      <c r="M49" s="124"/>
      <c r="N49" s="124"/>
      <c r="O49" s="134"/>
      <c r="P49" s="139"/>
      <c r="Q49" s="134"/>
      <c r="R49" s="139"/>
      <c r="S49" s="143"/>
      <c r="T49" s="338"/>
      <c r="U49" s="124"/>
      <c r="V49" s="147"/>
      <c r="W49" s="143"/>
      <c r="X49" s="143"/>
      <c r="Y49" s="124"/>
      <c r="Z49" s="139"/>
      <c r="AA49" s="139"/>
      <c r="AB49" s="338"/>
      <c r="AC49" s="2137"/>
      <c r="AD49" s="2137"/>
      <c r="AE49" s="2137"/>
      <c r="AF49" s="2137"/>
      <c r="AG49" s="2137"/>
      <c r="AH49" s="2137"/>
      <c r="AI49" s="383"/>
      <c r="AJ49" s="383"/>
      <c r="AK49" s="383"/>
      <c r="AL49" s="383"/>
      <c r="AM49" s="383"/>
      <c r="AN49" s="383"/>
      <c r="AO49" s="383"/>
      <c r="AP49" s="383"/>
      <c r="AQ49" s="383"/>
      <c r="AR49" s="383"/>
      <c r="AS49" s="383"/>
      <c r="AT49" s="383"/>
      <c r="AU49" s="383"/>
      <c r="AV49" s="383"/>
      <c r="AW49" s="383"/>
      <c r="AX49" s="383"/>
      <c r="AY49" s="383"/>
      <c r="AZ49" s="383"/>
      <c r="BA49" s="383"/>
      <c r="BB49" s="383"/>
      <c r="BC49" s="383"/>
      <c r="BD49" s="383"/>
      <c r="BE49" s="383"/>
      <c r="BF49" s="383"/>
      <c r="BG49" s="383"/>
      <c r="BH49" s="383"/>
      <c r="BI49" s="383"/>
      <c r="BJ49" s="383"/>
      <c r="BK49" s="383"/>
      <c r="BL49" s="383"/>
      <c r="BM49" s="383"/>
      <c r="BN49" s="383"/>
      <c r="BO49" s="383"/>
      <c r="BP49" s="383"/>
      <c r="BQ49" s="383"/>
      <c r="BR49" s="383"/>
      <c r="BS49" s="383"/>
      <c r="BT49" s="383"/>
      <c r="BU49" s="383"/>
      <c r="BV49" s="383"/>
      <c r="BW49" s="383"/>
      <c r="BX49" s="383"/>
      <c r="BY49" s="383"/>
      <c r="BZ49" s="383"/>
      <c r="CA49" s="383"/>
      <c r="CB49" s="383"/>
      <c r="CC49" s="383"/>
    </row>
    <row r="50" spans="1:81" ht="15.75" customHeight="1">
      <c r="A50" s="181"/>
      <c r="B50" s="152"/>
      <c r="C50" s="124"/>
      <c r="D50" s="124"/>
      <c r="E50" s="147"/>
      <c r="F50" s="143"/>
      <c r="G50" s="124"/>
      <c r="H50" s="124"/>
      <c r="I50" s="191"/>
      <c r="J50" s="124"/>
      <c r="K50" s="124"/>
      <c r="L50" s="143"/>
      <c r="M50" s="124"/>
      <c r="N50" s="124"/>
      <c r="O50" s="134"/>
      <c r="P50" s="139"/>
      <c r="Q50" s="134"/>
      <c r="R50" s="139"/>
      <c r="S50" s="143"/>
      <c r="T50" s="338"/>
      <c r="U50" s="124"/>
      <c r="V50" s="147"/>
      <c r="W50" s="143"/>
      <c r="X50" s="143"/>
      <c r="Y50" s="124"/>
      <c r="Z50" s="139"/>
      <c r="AA50" s="139"/>
      <c r="AB50" s="338"/>
      <c r="AC50" s="2137"/>
      <c r="AD50" s="2137"/>
      <c r="AE50" s="2137"/>
      <c r="AF50" s="2137"/>
      <c r="AG50" s="2137"/>
      <c r="AH50" s="2137"/>
      <c r="AI50" s="383"/>
      <c r="AJ50" s="383"/>
      <c r="AK50" s="383"/>
      <c r="AL50" s="383"/>
      <c r="AM50" s="383"/>
      <c r="AN50" s="383"/>
      <c r="AO50" s="383"/>
      <c r="AP50" s="383"/>
      <c r="AQ50" s="383"/>
      <c r="AR50" s="383"/>
      <c r="AS50" s="383"/>
      <c r="AT50" s="383"/>
      <c r="AU50" s="383"/>
      <c r="AV50" s="383"/>
      <c r="AW50" s="383"/>
      <c r="AX50" s="383"/>
      <c r="AY50" s="383"/>
      <c r="AZ50" s="383"/>
      <c r="BA50" s="383"/>
      <c r="BB50" s="383"/>
      <c r="BC50" s="383"/>
      <c r="BD50" s="383"/>
      <c r="BE50" s="383"/>
      <c r="BF50" s="383"/>
      <c r="BG50" s="383"/>
      <c r="BH50" s="383"/>
      <c r="BI50" s="383"/>
      <c r="BJ50" s="383"/>
      <c r="BK50" s="383"/>
      <c r="BL50" s="383"/>
      <c r="BM50" s="383"/>
      <c r="BN50" s="383"/>
      <c r="BO50" s="383"/>
      <c r="BP50" s="383"/>
      <c r="BQ50" s="383"/>
      <c r="BR50" s="383"/>
      <c r="BS50" s="383"/>
      <c r="BT50" s="383"/>
      <c r="BU50" s="383"/>
      <c r="BV50" s="383"/>
      <c r="BW50" s="383"/>
      <c r="BX50" s="383"/>
      <c r="BY50" s="383"/>
      <c r="BZ50" s="383"/>
      <c r="CA50" s="383"/>
      <c r="CB50" s="383"/>
      <c r="CC50" s="383"/>
    </row>
    <row r="51" spans="1:81" ht="15.75" customHeight="1">
      <c r="A51" s="181"/>
      <c r="B51" s="152"/>
      <c r="C51" s="124"/>
      <c r="D51" s="124"/>
      <c r="E51" s="147"/>
      <c r="F51" s="143"/>
      <c r="G51" s="124"/>
      <c r="H51" s="124"/>
      <c r="I51" s="191"/>
      <c r="J51" s="124"/>
      <c r="K51" s="124"/>
      <c r="L51" s="143"/>
      <c r="M51" s="124"/>
      <c r="N51" s="124"/>
      <c r="O51" s="134"/>
      <c r="P51" s="139"/>
      <c r="Q51" s="134"/>
      <c r="R51" s="139"/>
      <c r="S51" s="143"/>
      <c r="T51" s="338"/>
      <c r="U51" s="124"/>
      <c r="V51" s="147"/>
      <c r="W51" s="143"/>
      <c r="X51" s="143"/>
      <c r="Y51" s="124"/>
      <c r="Z51" s="139"/>
      <c r="AA51" s="139"/>
      <c r="AB51" s="338"/>
      <c r="AC51" s="2137"/>
      <c r="AD51" s="2137"/>
      <c r="AE51" s="2137"/>
      <c r="AF51" s="2137"/>
      <c r="AG51" s="2137"/>
      <c r="AH51" s="2137"/>
      <c r="AI51" s="383"/>
      <c r="AJ51" s="383"/>
      <c r="AK51" s="383"/>
      <c r="AL51" s="383"/>
      <c r="AM51" s="383"/>
      <c r="AN51" s="383"/>
      <c r="AO51" s="383"/>
      <c r="AP51" s="383"/>
      <c r="AQ51" s="383"/>
      <c r="AR51" s="383"/>
      <c r="AS51" s="383"/>
      <c r="AT51" s="383"/>
      <c r="AU51" s="383"/>
      <c r="AV51" s="383"/>
      <c r="AW51" s="383"/>
      <c r="AX51" s="383"/>
      <c r="AY51" s="383"/>
      <c r="AZ51" s="383"/>
      <c r="BA51" s="383"/>
      <c r="BB51" s="383"/>
      <c r="BC51" s="383"/>
      <c r="BD51" s="383"/>
      <c r="BE51" s="383"/>
      <c r="BF51" s="383"/>
      <c r="BG51" s="383"/>
      <c r="BH51" s="383"/>
      <c r="BI51" s="383"/>
      <c r="BJ51" s="383"/>
      <c r="BK51" s="383"/>
      <c r="BL51" s="383"/>
      <c r="BM51" s="383"/>
      <c r="BN51" s="383"/>
      <c r="BO51" s="383"/>
      <c r="BP51" s="383"/>
      <c r="BQ51" s="383"/>
      <c r="BR51" s="383"/>
      <c r="BS51" s="383"/>
      <c r="BT51" s="383"/>
      <c r="BU51" s="383"/>
      <c r="BV51" s="383"/>
      <c r="BW51" s="383"/>
      <c r="BX51" s="383"/>
      <c r="BY51" s="383"/>
      <c r="BZ51" s="383"/>
      <c r="CA51" s="383"/>
      <c r="CB51" s="383"/>
      <c r="CC51" s="383"/>
    </row>
    <row r="52" spans="1:81" ht="15.75" customHeight="1">
      <c r="A52" s="181"/>
      <c r="B52" s="152"/>
      <c r="C52" s="124"/>
      <c r="D52" s="124"/>
      <c r="E52" s="147"/>
      <c r="F52" s="143"/>
      <c r="G52" s="124"/>
      <c r="H52" s="124"/>
      <c r="I52" s="191"/>
      <c r="J52" s="124"/>
      <c r="K52" s="124"/>
      <c r="L52" s="143"/>
      <c r="M52" s="124"/>
      <c r="N52" s="124"/>
      <c r="O52" s="134"/>
      <c r="P52" s="139"/>
      <c r="Q52" s="134"/>
      <c r="R52" s="139"/>
      <c r="S52" s="143"/>
      <c r="T52" s="338"/>
      <c r="U52" s="124"/>
      <c r="V52" s="147"/>
      <c r="W52" s="143"/>
      <c r="X52" s="143"/>
      <c r="Y52" s="124"/>
      <c r="Z52" s="139"/>
      <c r="AA52" s="139"/>
      <c r="AB52" s="338"/>
      <c r="AC52" s="2137"/>
      <c r="AD52" s="2137"/>
      <c r="AE52" s="2137"/>
      <c r="AF52" s="2137"/>
      <c r="AG52" s="2137"/>
      <c r="AH52" s="2137"/>
      <c r="AI52" s="383"/>
      <c r="AJ52" s="383"/>
      <c r="AK52" s="383"/>
      <c r="AL52" s="383"/>
      <c r="AM52" s="383"/>
      <c r="AN52" s="383"/>
      <c r="AO52" s="383"/>
      <c r="AP52" s="383"/>
      <c r="AQ52" s="383"/>
      <c r="AR52" s="383"/>
      <c r="AS52" s="383"/>
      <c r="AT52" s="383"/>
      <c r="AU52" s="383"/>
      <c r="AV52" s="383"/>
      <c r="AW52" s="383"/>
      <c r="AX52" s="383"/>
      <c r="AY52" s="383"/>
      <c r="AZ52" s="383"/>
      <c r="BA52" s="383"/>
      <c r="BB52" s="383"/>
      <c r="BC52" s="383"/>
      <c r="BD52" s="383"/>
      <c r="BE52" s="383"/>
      <c r="BF52" s="383"/>
      <c r="BG52" s="383"/>
      <c r="BH52" s="383"/>
      <c r="BI52" s="383"/>
      <c r="BJ52" s="383"/>
      <c r="BK52" s="383"/>
      <c r="BL52" s="383"/>
      <c r="BM52" s="383"/>
      <c r="BN52" s="383"/>
      <c r="BO52" s="383"/>
      <c r="BP52" s="383"/>
      <c r="BQ52" s="383"/>
      <c r="BR52" s="383"/>
      <c r="BS52" s="383"/>
      <c r="BT52" s="383"/>
      <c r="BU52" s="383"/>
      <c r="BV52" s="383"/>
      <c r="BW52" s="383"/>
      <c r="BX52" s="383"/>
      <c r="BY52" s="383"/>
      <c r="BZ52" s="383"/>
      <c r="CA52" s="383"/>
      <c r="CB52" s="383"/>
      <c r="CC52" s="383"/>
    </row>
    <row r="53" spans="1:81" ht="15.75" customHeight="1">
      <c r="A53" s="181"/>
      <c r="B53" s="185"/>
      <c r="C53" s="143"/>
      <c r="D53" s="124"/>
      <c r="E53" s="124"/>
      <c r="F53" s="143"/>
      <c r="G53" s="124"/>
      <c r="H53" s="124"/>
      <c r="I53" s="124"/>
      <c r="J53" s="124"/>
      <c r="K53" s="124"/>
      <c r="L53" s="143"/>
      <c r="M53" s="124"/>
      <c r="N53" s="124"/>
      <c r="O53" s="134"/>
      <c r="P53" s="139"/>
      <c r="Q53" s="134"/>
      <c r="R53" s="139"/>
      <c r="S53" s="143"/>
      <c r="T53" s="338"/>
      <c r="U53" s="124"/>
      <c r="V53" s="124"/>
      <c r="W53" s="143"/>
      <c r="X53" s="143"/>
      <c r="Y53" s="124"/>
      <c r="Z53" s="139"/>
      <c r="AA53" s="139"/>
      <c r="AB53" s="338"/>
      <c r="AC53" s="2137"/>
      <c r="AD53" s="2137"/>
      <c r="AE53" s="2137"/>
      <c r="AF53" s="2137"/>
      <c r="AG53" s="2137"/>
      <c r="AH53" s="2137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3"/>
      <c r="AV53" s="383"/>
      <c r="AW53" s="383"/>
      <c r="AX53" s="383"/>
      <c r="AY53" s="383"/>
      <c r="AZ53" s="383"/>
      <c r="BA53" s="383"/>
      <c r="BB53" s="383"/>
      <c r="BC53" s="383"/>
      <c r="BD53" s="383"/>
      <c r="BE53" s="383"/>
      <c r="BF53" s="383"/>
      <c r="BG53" s="383"/>
      <c r="BH53" s="383"/>
      <c r="BI53" s="383"/>
      <c r="BJ53" s="383"/>
      <c r="BK53" s="383"/>
      <c r="BL53" s="383"/>
      <c r="BM53" s="383"/>
      <c r="BN53" s="383"/>
      <c r="BO53" s="383"/>
      <c r="BP53" s="383"/>
      <c r="BQ53" s="383"/>
      <c r="BR53" s="383"/>
      <c r="BS53" s="383"/>
      <c r="BT53" s="383"/>
      <c r="BU53" s="383"/>
      <c r="BV53" s="383"/>
      <c r="BW53" s="383"/>
      <c r="BX53" s="383"/>
      <c r="BY53" s="383"/>
      <c r="BZ53" s="383"/>
      <c r="CA53" s="383"/>
      <c r="CB53" s="383"/>
      <c r="CC53" s="383"/>
    </row>
    <row r="54" spans="1:81" ht="15.75" customHeight="1">
      <c r="A54" s="181"/>
      <c r="B54" s="186"/>
      <c r="C54" s="389"/>
      <c r="D54" s="124"/>
      <c r="E54" s="124"/>
      <c r="F54" s="188"/>
      <c r="G54" s="188"/>
      <c r="H54" s="188"/>
      <c r="I54" s="188"/>
      <c r="J54" s="188"/>
      <c r="K54" s="188"/>
      <c r="L54" s="143"/>
      <c r="M54" s="188"/>
      <c r="N54" s="188"/>
      <c r="O54" s="175"/>
      <c r="P54" s="139">
        <v>0</v>
      </c>
      <c r="Q54" s="175"/>
      <c r="R54" s="139">
        <v>0</v>
      </c>
      <c r="S54" s="143"/>
      <c r="T54" s="338"/>
      <c r="U54" s="124"/>
      <c r="V54" s="124"/>
      <c r="W54" s="188"/>
      <c r="X54" s="143"/>
      <c r="Y54" s="188"/>
      <c r="Z54" s="139">
        <v>0</v>
      </c>
      <c r="AA54" s="139">
        <v>0</v>
      </c>
      <c r="AB54" s="338"/>
      <c r="AC54" s="2137"/>
      <c r="AD54" s="2137"/>
      <c r="AE54" s="2137"/>
      <c r="AF54" s="2137"/>
      <c r="AG54" s="2137"/>
      <c r="AH54" s="2137"/>
      <c r="AI54" s="383"/>
      <c r="AJ54" s="383"/>
      <c r="AK54" s="383"/>
      <c r="AL54" s="383"/>
      <c r="AM54" s="383"/>
      <c r="AN54" s="383"/>
      <c r="AO54" s="383"/>
      <c r="AP54" s="383"/>
      <c r="AQ54" s="383"/>
      <c r="AR54" s="383"/>
      <c r="AS54" s="383"/>
      <c r="AT54" s="383"/>
      <c r="AU54" s="383"/>
      <c r="AV54" s="383"/>
      <c r="AW54" s="383"/>
      <c r="AX54" s="383"/>
      <c r="AY54" s="383"/>
      <c r="AZ54" s="383"/>
      <c r="BA54" s="383"/>
      <c r="BB54" s="383"/>
      <c r="BC54" s="383"/>
      <c r="BD54" s="383"/>
      <c r="BE54" s="383"/>
      <c r="BF54" s="383"/>
      <c r="BG54" s="383"/>
      <c r="BH54" s="383"/>
      <c r="BI54" s="383"/>
      <c r="BJ54" s="383"/>
      <c r="BK54" s="383"/>
      <c r="BL54" s="383"/>
      <c r="BM54" s="383"/>
      <c r="BN54" s="383"/>
      <c r="BO54" s="383"/>
      <c r="BP54" s="383"/>
      <c r="BQ54" s="383"/>
      <c r="BR54" s="383"/>
      <c r="BS54" s="383"/>
      <c r="BT54" s="383"/>
      <c r="BU54" s="383"/>
      <c r="BV54" s="383"/>
      <c r="BW54" s="383"/>
      <c r="BX54" s="383"/>
      <c r="BY54" s="383"/>
      <c r="BZ54" s="383"/>
      <c r="CA54" s="383"/>
      <c r="CB54" s="383"/>
      <c r="CC54" s="383"/>
    </row>
    <row r="55" spans="1:81" ht="15.75" customHeight="1">
      <c r="A55" s="181"/>
      <c r="B55" s="186"/>
      <c r="C55" s="389"/>
      <c r="D55" s="124"/>
      <c r="E55" s="124"/>
      <c r="F55" s="188"/>
      <c r="G55" s="188"/>
      <c r="H55" s="188"/>
      <c r="I55" s="188"/>
      <c r="J55" s="188"/>
      <c r="K55" s="188"/>
      <c r="L55" s="143"/>
      <c r="M55" s="188"/>
      <c r="N55" s="188"/>
      <c r="O55" s="175"/>
      <c r="P55" s="139"/>
      <c r="Q55" s="175"/>
      <c r="R55" s="139"/>
      <c r="S55" s="143"/>
      <c r="T55" s="338"/>
      <c r="U55" s="124"/>
      <c r="V55" s="124"/>
      <c r="W55" s="188"/>
      <c r="X55" s="143"/>
      <c r="Y55" s="188"/>
      <c r="Z55" s="139"/>
      <c r="AA55" s="139"/>
      <c r="AB55" s="338"/>
      <c r="AC55" s="2137"/>
      <c r="AD55" s="2137"/>
      <c r="AE55" s="2137"/>
      <c r="AF55" s="2137"/>
      <c r="AG55" s="2137"/>
      <c r="AH55" s="2137"/>
      <c r="AI55" s="383"/>
      <c r="AJ55" s="383"/>
      <c r="AK55" s="383"/>
      <c r="AL55" s="383"/>
      <c r="AM55" s="383"/>
      <c r="AN55" s="383"/>
      <c r="AO55" s="383"/>
      <c r="AP55" s="383"/>
      <c r="AQ55" s="383"/>
      <c r="AR55" s="383"/>
      <c r="AS55" s="383"/>
      <c r="AT55" s="383"/>
      <c r="AU55" s="383"/>
      <c r="AV55" s="383"/>
      <c r="AW55" s="383"/>
      <c r="AX55" s="383"/>
      <c r="AY55" s="383"/>
      <c r="AZ55" s="383"/>
      <c r="BA55" s="383"/>
      <c r="BB55" s="383"/>
      <c r="BC55" s="383"/>
      <c r="BD55" s="383"/>
      <c r="BE55" s="383"/>
      <c r="BF55" s="383"/>
      <c r="BG55" s="383"/>
      <c r="BH55" s="383"/>
      <c r="BI55" s="383"/>
      <c r="BJ55" s="383"/>
      <c r="BK55" s="383"/>
      <c r="BL55" s="383"/>
      <c r="BM55" s="383"/>
      <c r="BN55" s="383"/>
      <c r="BO55" s="383"/>
      <c r="BP55" s="383"/>
      <c r="BQ55" s="383"/>
      <c r="BR55" s="383"/>
      <c r="BS55" s="383"/>
      <c r="BT55" s="383"/>
      <c r="BU55" s="383"/>
      <c r="BV55" s="383"/>
      <c r="BW55" s="383"/>
      <c r="BX55" s="383"/>
      <c r="BY55" s="383"/>
      <c r="BZ55" s="383"/>
      <c r="CA55" s="383"/>
      <c r="CB55" s="383"/>
      <c r="CC55" s="383"/>
    </row>
    <row r="56" spans="1:81" ht="15.75" customHeight="1">
      <c r="A56" s="181"/>
      <c r="B56" s="185"/>
      <c r="C56" s="389"/>
      <c r="D56" s="124"/>
      <c r="E56" s="124"/>
      <c r="F56" s="188"/>
      <c r="G56" s="188"/>
      <c r="H56" s="188"/>
      <c r="I56" s="188"/>
      <c r="J56" s="188"/>
      <c r="K56" s="188"/>
      <c r="L56" s="143"/>
      <c r="M56" s="188"/>
      <c r="N56" s="188"/>
      <c r="O56" s="175"/>
      <c r="P56" s="139">
        <v>0</v>
      </c>
      <c r="Q56" s="175"/>
      <c r="R56" s="139">
        <v>0</v>
      </c>
      <c r="S56" s="143"/>
      <c r="T56" s="338"/>
      <c r="U56" s="124"/>
      <c r="V56" s="124"/>
      <c r="W56" s="188"/>
      <c r="X56" s="143"/>
      <c r="Y56" s="188"/>
      <c r="Z56" s="139">
        <v>0</v>
      </c>
      <c r="AA56" s="139">
        <v>0</v>
      </c>
      <c r="AB56" s="338"/>
      <c r="AC56" s="2137"/>
      <c r="AD56" s="2137"/>
      <c r="AE56" s="2137"/>
      <c r="AF56" s="2137"/>
      <c r="AG56" s="2137"/>
      <c r="AH56" s="2137"/>
      <c r="AI56" s="383"/>
      <c r="AJ56" s="383"/>
      <c r="AK56" s="383"/>
      <c r="AL56" s="383"/>
      <c r="AM56" s="383"/>
      <c r="AN56" s="383"/>
      <c r="AO56" s="383"/>
      <c r="AP56" s="383"/>
      <c r="AQ56" s="383"/>
      <c r="AR56" s="383"/>
      <c r="AS56" s="383"/>
      <c r="AT56" s="383"/>
      <c r="AU56" s="383"/>
      <c r="AV56" s="383"/>
      <c r="AW56" s="383"/>
      <c r="AX56" s="383"/>
      <c r="AY56" s="383"/>
      <c r="AZ56" s="383"/>
      <c r="BA56" s="383"/>
      <c r="BB56" s="383"/>
      <c r="BC56" s="383"/>
      <c r="BD56" s="383"/>
      <c r="BE56" s="383"/>
      <c r="BF56" s="383"/>
      <c r="BG56" s="383"/>
      <c r="BH56" s="383"/>
      <c r="BI56" s="383"/>
      <c r="BJ56" s="383"/>
      <c r="BK56" s="383"/>
      <c r="BL56" s="383"/>
      <c r="BM56" s="383"/>
      <c r="BN56" s="383"/>
      <c r="BO56" s="383"/>
      <c r="BP56" s="383"/>
      <c r="BQ56" s="383"/>
      <c r="BR56" s="383"/>
      <c r="BS56" s="383"/>
      <c r="BT56" s="383"/>
      <c r="BU56" s="383"/>
      <c r="BV56" s="383"/>
      <c r="BW56" s="383"/>
      <c r="BX56" s="383"/>
      <c r="BY56" s="383"/>
      <c r="BZ56" s="383"/>
      <c r="CA56" s="383"/>
      <c r="CB56" s="383"/>
      <c r="CC56" s="383"/>
    </row>
    <row r="57" spans="1:81" ht="15.75" customHeight="1">
      <c r="A57" s="159"/>
      <c r="B57" s="160" t="s">
        <v>17</v>
      </c>
      <c r="C57" s="276">
        <f t="shared" ref="C57:AB57" si="0">SUM(C15:C56)</f>
        <v>551862</v>
      </c>
      <c r="D57" s="276">
        <f t="shared" si="0"/>
        <v>551862</v>
      </c>
      <c r="E57" s="276">
        <f t="shared" si="0"/>
        <v>3</v>
      </c>
      <c r="F57" s="276">
        <f t="shared" si="0"/>
        <v>551862</v>
      </c>
      <c r="G57" s="276">
        <f t="shared" si="0"/>
        <v>35742.57</v>
      </c>
      <c r="H57" s="276">
        <f t="shared" si="0"/>
        <v>0</v>
      </c>
      <c r="I57" s="276">
        <f t="shared" si="0"/>
        <v>551862</v>
      </c>
      <c r="J57" s="276">
        <f t="shared" si="0"/>
        <v>0</v>
      </c>
      <c r="K57" s="276">
        <f t="shared" si="0"/>
        <v>0</v>
      </c>
      <c r="L57" s="276">
        <f t="shared" si="0"/>
        <v>551862</v>
      </c>
      <c r="M57" s="276">
        <f t="shared" si="0"/>
        <v>0</v>
      </c>
      <c r="N57" s="276">
        <f t="shared" si="0"/>
        <v>35742.57</v>
      </c>
      <c r="O57" s="276">
        <f t="shared" si="0"/>
        <v>0</v>
      </c>
      <c r="P57" s="276">
        <f t="shared" si="0"/>
        <v>551862</v>
      </c>
      <c r="Q57" s="276">
        <f t="shared" si="0"/>
        <v>1.75</v>
      </c>
      <c r="R57" s="276">
        <f t="shared" si="0"/>
        <v>362700</v>
      </c>
      <c r="S57" s="276">
        <f t="shared" si="0"/>
        <v>27900</v>
      </c>
      <c r="T57" s="374">
        <f>W57-L57</f>
        <v>0</v>
      </c>
      <c r="U57" s="276">
        <f t="shared" si="0"/>
        <v>551862</v>
      </c>
      <c r="V57" s="276">
        <f t="shared" si="0"/>
        <v>3</v>
      </c>
      <c r="W57" s="276">
        <f t="shared" si="0"/>
        <v>551862</v>
      </c>
      <c r="X57" s="276">
        <f t="shared" si="0"/>
        <v>551862</v>
      </c>
      <c r="Y57" s="276">
        <f t="shared" si="0"/>
        <v>35742.57</v>
      </c>
      <c r="Z57" s="276">
        <f t="shared" si="0"/>
        <v>551862</v>
      </c>
      <c r="AA57" s="276">
        <f t="shared" si="0"/>
        <v>0</v>
      </c>
      <c r="AB57" s="276">
        <f t="shared" si="0"/>
        <v>390600</v>
      </c>
      <c r="AC57" s="2137"/>
      <c r="AD57" s="2137"/>
      <c r="AE57" s="2137"/>
      <c r="AF57" s="2137"/>
      <c r="AG57" s="2137"/>
      <c r="AH57" s="2137"/>
      <c r="AI57" s="383"/>
      <c r="AJ57" s="383"/>
      <c r="AK57" s="383"/>
      <c r="AL57" s="383"/>
      <c r="AM57" s="383"/>
      <c r="AN57" s="383"/>
      <c r="AO57" s="383"/>
      <c r="AP57" s="383"/>
      <c r="AQ57" s="383"/>
      <c r="AR57" s="383"/>
      <c r="AS57" s="383"/>
      <c r="AT57" s="383"/>
      <c r="AU57" s="383"/>
      <c r="AV57" s="383"/>
      <c r="AW57" s="383"/>
      <c r="AX57" s="383"/>
      <c r="AY57" s="383"/>
      <c r="AZ57" s="383"/>
      <c r="BA57" s="383"/>
      <c r="BB57" s="383"/>
      <c r="BC57" s="383"/>
      <c r="BD57" s="383"/>
      <c r="BE57" s="383"/>
      <c r="BF57" s="383"/>
      <c r="BG57" s="383"/>
      <c r="BH57" s="383"/>
      <c r="BI57" s="383"/>
      <c r="BJ57" s="383"/>
      <c r="BK57" s="383"/>
      <c r="BL57" s="383"/>
      <c r="BM57" s="383"/>
      <c r="BN57" s="383"/>
      <c r="BO57" s="383"/>
      <c r="BP57" s="383"/>
      <c r="BQ57" s="383"/>
      <c r="BR57" s="383"/>
      <c r="BS57" s="383"/>
      <c r="BT57" s="383"/>
      <c r="BU57" s="383"/>
      <c r="BV57" s="383"/>
      <c r="BW57" s="383"/>
      <c r="BX57" s="383"/>
      <c r="BY57" s="383"/>
      <c r="BZ57" s="383"/>
      <c r="CA57" s="383"/>
      <c r="CB57" s="383"/>
      <c r="CC57" s="383"/>
    </row>
    <row r="58" spans="1:81" ht="15.75" customHeight="1">
      <c r="A58" s="161"/>
      <c r="B58" s="162"/>
      <c r="C58" s="67"/>
      <c r="D58" s="67"/>
      <c r="E58" s="67"/>
      <c r="F58" s="163"/>
      <c r="G58" s="163"/>
      <c r="H58" s="163"/>
      <c r="I58" s="163"/>
      <c r="J58" s="163"/>
      <c r="K58" s="163"/>
      <c r="L58" s="163"/>
      <c r="M58" s="163"/>
      <c r="N58" s="163"/>
      <c r="O58" s="67"/>
      <c r="P58" s="163"/>
      <c r="Q58" s="67"/>
      <c r="R58" s="67"/>
      <c r="S58" s="68"/>
      <c r="T58" s="68"/>
      <c r="U58" s="67"/>
      <c r="V58" s="67"/>
      <c r="W58" s="163"/>
      <c r="X58" s="68"/>
      <c r="Y58" s="68"/>
      <c r="Z58" s="68"/>
      <c r="AA58" s="68"/>
      <c r="AB58" s="68"/>
      <c r="AC58" s="2137"/>
      <c r="AD58" s="2137"/>
      <c r="AE58" s="2137"/>
      <c r="AF58" s="2137"/>
      <c r="AG58" s="2137"/>
      <c r="AH58" s="2137"/>
      <c r="AI58" s="383"/>
      <c r="AJ58" s="383"/>
      <c r="AK58" s="383"/>
      <c r="AL58" s="383"/>
      <c r="AM58" s="383"/>
      <c r="AN58" s="383"/>
      <c r="AO58" s="383"/>
      <c r="AP58" s="383"/>
      <c r="AQ58" s="383"/>
      <c r="AR58" s="383"/>
      <c r="AS58" s="383"/>
      <c r="AT58" s="383"/>
      <c r="AU58" s="383"/>
      <c r="AV58" s="383"/>
      <c r="AW58" s="383"/>
      <c r="AX58" s="383"/>
      <c r="AY58" s="383"/>
      <c r="AZ58" s="383"/>
      <c r="BA58" s="383"/>
      <c r="BB58" s="383"/>
      <c r="BC58" s="383"/>
      <c r="BD58" s="383"/>
      <c r="BE58" s="383"/>
      <c r="BF58" s="383"/>
      <c r="BG58" s="383"/>
      <c r="BH58" s="383"/>
      <c r="BI58" s="383"/>
      <c r="BJ58" s="383"/>
      <c r="BK58" s="383"/>
      <c r="BL58" s="383"/>
      <c r="BM58" s="383"/>
      <c r="BN58" s="383"/>
      <c r="BO58" s="383"/>
      <c r="BP58" s="383"/>
      <c r="BQ58" s="383"/>
      <c r="BR58" s="383"/>
      <c r="BS58" s="383"/>
      <c r="BT58" s="383"/>
      <c r="BU58" s="383"/>
      <c r="BV58" s="383"/>
      <c r="BW58" s="383"/>
      <c r="BX58" s="383"/>
      <c r="BY58" s="383"/>
      <c r="BZ58" s="383"/>
      <c r="CA58" s="383"/>
      <c r="CB58" s="383"/>
      <c r="CC58" s="383"/>
    </row>
    <row r="59" spans="1:81" ht="15.75" customHeight="1">
      <c r="A59" s="164"/>
      <c r="B59" s="162"/>
      <c r="C59" s="67"/>
      <c r="D59" s="67"/>
      <c r="E59" s="67"/>
      <c r="F59" s="163"/>
      <c r="G59" s="163"/>
      <c r="H59" s="163"/>
      <c r="I59" s="163"/>
      <c r="J59" s="163"/>
      <c r="K59" s="163"/>
      <c r="L59" s="163"/>
      <c r="M59" s="163"/>
      <c r="N59" s="163"/>
      <c r="O59" s="67"/>
      <c r="P59" s="163"/>
      <c r="Q59" s="67"/>
      <c r="R59" s="67"/>
      <c r="S59" s="68"/>
      <c r="T59" s="68"/>
      <c r="U59" s="67"/>
      <c r="V59" s="67"/>
      <c r="W59" s="163"/>
      <c r="X59" s="68"/>
      <c r="Y59" s="68"/>
      <c r="Z59" s="68"/>
      <c r="AA59" s="68"/>
      <c r="AB59" s="68"/>
      <c r="AC59" s="2137"/>
      <c r="AD59" s="2137"/>
      <c r="AE59" s="2137"/>
      <c r="AF59" s="2137"/>
      <c r="AG59" s="2137"/>
      <c r="AH59" s="2137"/>
      <c r="AI59" s="383"/>
      <c r="AJ59" s="383"/>
      <c r="AK59" s="383"/>
      <c r="AL59" s="383"/>
      <c r="AM59" s="383"/>
      <c r="AN59" s="383"/>
      <c r="AO59" s="383"/>
      <c r="AP59" s="383"/>
      <c r="AQ59" s="383"/>
      <c r="AR59" s="383"/>
      <c r="AS59" s="383"/>
      <c r="AT59" s="383"/>
      <c r="AU59" s="383"/>
      <c r="AV59" s="383"/>
      <c r="AW59" s="383"/>
      <c r="AX59" s="383"/>
      <c r="AY59" s="383"/>
      <c r="AZ59" s="383"/>
      <c r="BA59" s="383"/>
      <c r="BB59" s="383"/>
      <c r="BC59" s="383"/>
      <c r="BD59" s="383"/>
      <c r="BE59" s="383"/>
      <c r="BF59" s="383"/>
      <c r="BG59" s="383"/>
      <c r="BH59" s="383"/>
      <c r="BI59" s="383"/>
      <c r="BJ59" s="383"/>
      <c r="BK59" s="383"/>
      <c r="BL59" s="383"/>
      <c r="BM59" s="383"/>
      <c r="BN59" s="383"/>
      <c r="BO59" s="383"/>
      <c r="BP59" s="383"/>
      <c r="BQ59" s="383"/>
      <c r="BR59" s="383"/>
      <c r="BS59" s="383"/>
      <c r="BT59" s="383"/>
      <c r="BU59" s="383"/>
      <c r="BV59" s="383"/>
      <c r="BW59" s="383"/>
      <c r="BX59" s="383"/>
      <c r="BY59" s="383"/>
      <c r="BZ59" s="383"/>
      <c r="CA59" s="383"/>
      <c r="CB59" s="383"/>
      <c r="CC59" s="383"/>
    </row>
    <row r="60" spans="1:81" ht="15.75" customHeight="1">
      <c r="A60" s="67"/>
      <c r="B60" s="67"/>
      <c r="C60" s="67"/>
      <c r="D60" s="67"/>
      <c r="E60" s="67"/>
      <c r="F60" s="163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8"/>
      <c r="R60" s="67"/>
      <c r="S60" s="68"/>
      <c r="T60" s="68"/>
      <c r="U60" s="67"/>
      <c r="V60" s="67"/>
      <c r="W60" s="163"/>
      <c r="X60" s="68"/>
      <c r="Y60" s="68"/>
      <c r="Z60" s="68"/>
      <c r="AA60" s="68"/>
      <c r="AB60" s="68"/>
      <c r="AC60" s="2137"/>
      <c r="AD60" s="2137"/>
      <c r="AE60" s="2137"/>
      <c r="AF60" s="2137"/>
      <c r="AG60" s="2137"/>
      <c r="AH60" s="2137"/>
      <c r="AI60" s="383"/>
      <c r="AJ60" s="383"/>
      <c r="AK60" s="383"/>
      <c r="AL60" s="383"/>
      <c r="AM60" s="383"/>
      <c r="AN60" s="383"/>
      <c r="AO60" s="383"/>
      <c r="AP60" s="383"/>
      <c r="AQ60" s="383"/>
      <c r="AR60" s="383"/>
      <c r="AS60" s="383"/>
      <c r="AT60" s="383"/>
      <c r="AU60" s="383"/>
      <c r="AV60" s="383"/>
      <c r="AW60" s="383"/>
      <c r="AX60" s="383"/>
      <c r="AY60" s="383"/>
      <c r="AZ60" s="383"/>
      <c r="BA60" s="383"/>
      <c r="BB60" s="383"/>
      <c r="BC60" s="383"/>
      <c r="BD60" s="383"/>
      <c r="BE60" s="383"/>
      <c r="BF60" s="383"/>
      <c r="BG60" s="383"/>
      <c r="BH60" s="383"/>
      <c r="BI60" s="383"/>
      <c r="BJ60" s="383"/>
      <c r="BK60" s="383"/>
      <c r="BL60" s="383"/>
      <c r="BM60" s="383"/>
      <c r="BN60" s="383"/>
      <c r="BO60" s="383"/>
      <c r="BP60" s="383"/>
      <c r="BQ60" s="383"/>
      <c r="BR60" s="383"/>
      <c r="BS60" s="383"/>
      <c r="BT60" s="383"/>
      <c r="BU60" s="383"/>
      <c r="BV60" s="383"/>
      <c r="BW60" s="383"/>
      <c r="BX60" s="383"/>
      <c r="BY60" s="383"/>
      <c r="BZ60" s="383"/>
      <c r="CA60" s="383"/>
      <c r="CB60" s="383"/>
      <c r="CC60" s="383"/>
    </row>
    <row r="61" spans="1:81" ht="15.75" customHeight="1">
      <c r="A61" s="67"/>
      <c r="B61" s="67"/>
      <c r="C61" s="67"/>
      <c r="D61" s="67"/>
      <c r="E61" s="67"/>
      <c r="F61" s="163"/>
      <c r="G61" s="67"/>
      <c r="H61" s="67"/>
      <c r="I61" s="67"/>
      <c r="J61" s="67"/>
      <c r="K61" s="67"/>
      <c r="L61" s="67"/>
      <c r="M61" s="67"/>
      <c r="N61" s="67"/>
      <c r="O61" s="67"/>
      <c r="P61" s="67">
        <v>483646.5</v>
      </c>
      <c r="Q61" s="68">
        <v>362700</v>
      </c>
      <c r="R61" s="67"/>
      <c r="S61" s="68"/>
      <c r="T61" s="68"/>
      <c r="U61" s="67"/>
      <c r="V61" s="67"/>
      <c r="W61" s="163"/>
      <c r="X61" s="68"/>
      <c r="Y61" s="68"/>
      <c r="Z61" s="68"/>
      <c r="AA61" s="68"/>
      <c r="AB61" s="68"/>
      <c r="AC61" s="2137"/>
      <c r="AD61" s="2137"/>
      <c r="AE61" s="2137"/>
      <c r="AF61" s="2137"/>
      <c r="AG61" s="2137"/>
      <c r="AH61" s="2137"/>
      <c r="AI61" s="383"/>
      <c r="AJ61" s="383"/>
      <c r="AK61" s="383"/>
      <c r="AL61" s="383"/>
      <c r="AM61" s="383"/>
      <c r="AN61" s="383"/>
      <c r="AO61" s="383"/>
      <c r="AP61" s="383"/>
      <c r="AQ61" s="383"/>
      <c r="AR61" s="383"/>
      <c r="AS61" s="383"/>
      <c r="AT61" s="383"/>
      <c r="AU61" s="383"/>
      <c r="AV61" s="383"/>
      <c r="AW61" s="383"/>
      <c r="AX61" s="383"/>
      <c r="AY61" s="383"/>
      <c r="AZ61" s="383"/>
      <c r="BA61" s="383"/>
      <c r="BB61" s="383"/>
      <c r="BC61" s="383"/>
      <c r="BD61" s="383"/>
      <c r="BE61" s="383"/>
      <c r="BF61" s="383"/>
      <c r="BG61" s="383"/>
      <c r="BH61" s="383"/>
      <c r="BI61" s="383"/>
      <c r="BJ61" s="383"/>
      <c r="BK61" s="383"/>
      <c r="BL61" s="383"/>
      <c r="BM61" s="383"/>
      <c r="BN61" s="383"/>
      <c r="BO61" s="383"/>
      <c r="BP61" s="383"/>
      <c r="BQ61" s="383"/>
      <c r="BR61" s="383"/>
      <c r="BS61" s="383"/>
      <c r="BT61" s="383"/>
      <c r="BU61" s="383"/>
      <c r="BV61" s="383"/>
      <c r="BW61" s="383"/>
      <c r="BX61" s="383"/>
      <c r="BY61" s="383"/>
      <c r="BZ61" s="383"/>
      <c r="CA61" s="383"/>
      <c r="CB61" s="383"/>
      <c r="CC61" s="383"/>
    </row>
    <row r="62" spans="1:81" ht="15.75" customHeight="1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8"/>
      <c r="R62" s="67"/>
      <c r="S62" s="68"/>
      <c r="T62" s="68"/>
      <c r="U62" s="67"/>
      <c r="V62" s="67"/>
      <c r="W62" s="67"/>
      <c r="X62" s="68"/>
      <c r="Y62" s="68"/>
      <c r="Z62" s="68"/>
      <c r="AA62" s="68"/>
      <c r="AB62" s="68"/>
      <c r="AC62" s="2137"/>
      <c r="AD62" s="2137"/>
      <c r="AE62" s="2137"/>
      <c r="AF62" s="2137"/>
      <c r="AG62" s="2137"/>
      <c r="AH62" s="2137"/>
      <c r="AI62" s="383"/>
      <c r="AJ62" s="383"/>
      <c r="AK62" s="383"/>
      <c r="AL62" s="383"/>
      <c r="AM62" s="383"/>
      <c r="AN62" s="383"/>
      <c r="AO62" s="383"/>
      <c r="AP62" s="383"/>
      <c r="AQ62" s="383"/>
      <c r="AR62" s="383"/>
      <c r="AS62" s="383"/>
      <c r="AT62" s="383"/>
      <c r="AU62" s="383"/>
      <c r="AV62" s="383"/>
      <c r="AW62" s="383"/>
      <c r="AX62" s="383"/>
      <c r="AY62" s="383"/>
      <c r="AZ62" s="383"/>
      <c r="BA62" s="383"/>
      <c r="BB62" s="383"/>
      <c r="BC62" s="383"/>
      <c r="BD62" s="383"/>
      <c r="BE62" s="383"/>
      <c r="BF62" s="383"/>
      <c r="BG62" s="383"/>
      <c r="BH62" s="383"/>
      <c r="BI62" s="383"/>
      <c r="BJ62" s="383"/>
      <c r="BK62" s="383"/>
      <c r="BL62" s="383"/>
      <c r="BM62" s="383"/>
      <c r="BN62" s="383"/>
      <c r="BO62" s="383"/>
      <c r="BP62" s="383"/>
      <c r="BQ62" s="383"/>
      <c r="BR62" s="383"/>
      <c r="BS62" s="383"/>
      <c r="BT62" s="383"/>
      <c r="BU62" s="383"/>
      <c r="BV62" s="383"/>
      <c r="BW62" s="383"/>
      <c r="BX62" s="383"/>
      <c r="BY62" s="383"/>
      <c r="BZ62" s="383"/>
      <c r="CA62" s="383"/>
      <c r="CB62" s="383"/>
      <c r="CC62" s="383"/>
    </row>
    <row r="63" spans="1:81" ht="15.75" customHeight="1">
      <c r="A63" s="67" t="s">
        <v>59</v>
      </c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8"/>
      <c r="R63" s="68"/>
      <c r="S63" s="68"/>
      <c r="T63" s="68"/>
      <c r="U63" s="67"/>
      <c r="V63" s="67"/>
      <c r="W63" s="163"/>
      <c r="X63" s="68"/>
      <c r="Y63" s="68"/>
      <c r="Z63" s="68"/>
      <c r="AA63" s="68"/>
      <c r="AB63" s="68"/>
      <c r="AC63" s="2137"/>
      <c r="AD63" s="2137"/>
      <c r="AE63" s="2137"/>
      <c r="AF63" s="2137"/>
      <c r="AG63" s="2137"/>
      <c r="AH63" s="2137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3"/>
      <c r="AV63" s="383"/>
      <c r="AW63" s="383"/>
      <c r="AX63" s="383"/>
      <c r="AY63" s="383"/>
      <c r="AZ63" s="383"/>
      <c r="BA63" s="383"/>
      <c r="BB63" s="383"/>
      <c r="BC63" s="383"/>
      <c r="BD63" s="383"/>
      <c r="BE63" s="383"/>
      <c r="BF63" s="383"/>
      <c r="BG63" s="383"/>
      <c r="BH63" s="383"/>
      <c r="BI63" s="383"/>
      <c r="BJ63" s="383"/>
      <c r="BK63" s="383"/>
      <c r="BL63" s="383"/>
      <c r="BM63" s="383"/>
      <c r="BN63" s="383"/>
      <c r="BO63" s="383"/>
      <c r="BP63" s="383"/>
      <c r="BQ63" s="383"/>
      <c r="BR63" s="383"/>
      <c r="BS63" s="383"/>
      <c r="BT63" s="383"/>
      <c r="BU63" s="383"/>
      <c r="BV63" s="383"/>
      <c r="BW63" s="383"/>
      <c r="BX63" s="383"/>
      <c r="BY63" s="383"/>
      <c r="BZ63" s="383"/>
      <c r="CA63" s="383"/>
      <c r="CB63" s="383"/>
      <c r="CC63" s="383"/>
    </row>
    <row r="64" spans="1:81" ht="15.75" customHeight="1">
      <c r="P64" s="1914">
        <f>+P61-P57</f>
        <v>-68215.5</v>
      </c>
    </row>
  </sheetData>
  <mergeCells count="7">
    <mergeCell ref="AB8:AB12"/>
    <mergeCell ref="Y8:Y12"/>
    <mergeCell ref="E1:F1"/>
    <mergeCell ref="D6:E6"/>
    <mergeCell ref="X8:X12"/>
    <mergeCell ref="Z8:Z12"/>
    <mergeCell ref="AA8:AA12"/>
  </mergeCells>
  <phoneticPr fontId="0" type="noConversion"/>
  <conditionalFormatting sqref="X8:AA12">
    <cfRule type="cellIs" dxfId="24" priority="2" stopIfTrue="1" operator="equal">
      <formula>0</formula>
    </cfRule>
  </conditionalFormatting>
  <conditionalFormatting sqref="K21">
    <cfRule type="cellIs" dxfId="23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AN71"/>
  <sheetViews>
    <sheetView showGridLines="0" showZeros="0" topLeftCell="L1" workbookViewId="0">
      <selection activeCell="Z17" sqref="Z17"/>
    </sheetView>
  </sheetViews>
  <sheetFormatPr baseColWidth="10" defaultColWidth="16.25" defaultRowHeight="12"/>
  <cols>
    <col min="1" max="1" width="10.25" style="412" customWidth="1"/>
    <col min="2" max="2" width="35.375" style="413" customWidth="1"/>
    <col min="3" max="9" width="11" style="2081" customWidth="1"/>
    <col min="10" max="10" width="12.5" style="2081" customWidth="1"/>
    <col min="11" max="11" width="10.25" style="2081" customWidth="1"/>
    <col min="12" max="12" width="9.875" style="2081" bestFit="1" customWidth="1"/>
    <col min="13" max="13" width="9.75" style="2081" customWidth="1"/>
    <col min="14" max="14" width="8.75" style="2081" customWidth="1"/>
    <col min="15" max="15" width="6.375" style="2081" customWidth="1"/>
    <col min="16" max="16" width="16.25" style="2081"/>
    <col min="17" max="17" width="5.875" style="2084" customWidth="1"/>
    <col min="18" max="18" width="16.25" style="2084"/>
    <col min="19" max="19" width="10" style="2084" customWidth="1"/>
    <col min="20" max="20" width="10.875" style="2084" customWidth="1"/>
    <col min="21" max="21" width="9.875" style="2081" bestFit="1" customWidth="1"/>
    <col min="22" max="22" width="4.875" style="2081" customWidth="1"/>
    <col min="23" max="23" width="10.25" style="2081" customWidth="1"/>
    <col min="24" max="27" width="11" style="212" customWidth="1"/>
    <col min="28" max="28" width="11" style="792" customWidth="1"/>
    <col min="29" max="29" width="16.25" style="2084"/>
    <col min="30" max="31" width="11" style="792" customWidth="1"/>
    <col min="32" max="33" width="16.25" style="2084"/>
    <col min="34" max="34" width="11.75" style="792" customWidth="1"/>
    <col min="35" max="35" width="13.75" customWidth="1"/>
    <col min="36" max="36" width="16.25" style="390"/>
    <col min="37" max="38" width="16.25" style="391"/>
    <col min="39" max="39" width="11.75" style="212" customWidth="1"/>
    <col min="40" max="40" width="13.75" style="212" customWidth="1"/>
    <col min="41" max="16384" width="16.25" style="391"/>
  </cols>
  <sheetData>
    <row r="1" spans="1:40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40" ht="12.75" customHeight="1">
      <c r="A2" s="1174" t="s">
        <v>65</v>
      </c>
      <c r="B2" s="2434" t="s">
        <v>195</v>
      </c>
      <c r="C2" s="2434"/>
      <c r="D2" s="2434"/>
      <c r="E2" s="2434"/>
      <c r="F2" s="2434"/>
      <c r="G2" s="2434"/>
      <c r="I2" s="2082"/>
      <c r="J2" s="2082"/>
      <c r="K2" s="2082"/>
      <c r="L2" s="2082"/>
      <c r="M2" s="2082"/>
      <c r="N2" s="2082"/>
      <c r="O2" s="2082"/>
      <c r="P2" s="2082"/>
      <c r="Q2" s="2082"/>
      <c r="R2" s="2082"/>
      <c r="S2" s="2083"/>
      <c r="T2" s="2083"/>
      <c r="U2" s="2082"/>
      <c r="V2" s="2082"/>
      <c r="W2" s="2082"/>
      <c r="AB2" s="2084"/>
    </row>
    <row r="3" spans="1:40" customFormat="1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2085" t="s">
        <v>196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792"/>
      <c r="AE3" s="792"/>
      <c r="AF3" s="212"/>
      <c r="AG3" s="212"/>
      <c r="AH3" s="792"/>
      <c r="AJ3" s="1"/>
      <c r="AM3" s="212"/>
      <c r="AN3" s="212"/>
    </row>
    <row r="4" spans="1:40" ht="12.75" customHeight="1">
      <c r="A4" s="392" t="s">
        <v>61</v>
      </c>
      <c r="B4" s="393" t="s">
        <v>197</v>
      </c>
      <c r="C4" s="2086" t="s">
        <v>81</v>
      </c>
      <c r="D4" s="2087"/>
      <c r="E4" s="2087"/>
      <c r="F4" s="2085"/>
      <c r="G4" s="2085"/>
      <c r="H4" s="2085"/>
      <c r="I4" s="2085"/>
      <c r="J4" s="2085"/>
      <c r="K4" s="2085"/>
      <c r="L4" s="2085"/>
      <c r="M4" s="2085"/>
      <c r="N4" s="2085"/>
      <c r="O4" s="2087"/>
      <c r="P4" s="2085"/>
      <c r="Q4" s="2087"/>
      <c r="R4" s="2087"/>
      <c r="S4" s="2088"/>
      <c r="T4" s="2088"/>
      <c r="U4" s="2087"/>
      <c r="V4" s="2087"/>
      <c r="W4" s="2085"/>
      <c r="AB4" s="2084"/>
    </row>
    <row r="5" spans="1:40" ht="12.75" customHeight="1">
      <c r="A5" s="394" t="s">
        <v>74</v>
      </c>
      <c r="B5" s="395">
        <v>201100187</v>
      </c>
      <c r="C5" s="2087"/>
      <c r="D5" s="2087"/>
      <c r="E5" s="2087"/>
      <c r="F5" s="2085"/>
      <c r="G5" s="2085"/>
      <c r="H5" s="2088"/>
      <c r="I5" s="2435"/>
      <c r="J5" s="2435"/>
      <c r="K5" s="2435"/>
      <c r="L5" s="2435"/>
      <c r="M5" s="2435"/>
      <c r="N5" s="2435"/>
      <c r="O5" s="2435"/>
      <c r="P5" s="2435"/>
      <c r="Q5" s="2435"/>
      <c r="R5" s="2435"/>
      <c r="S5" s="2435"/>
      <c r="T5" s="2435"/>
      <c r="U5" s="2087"/>
      <c r="V5" s="2087"/>
      <c r="W5" s="2085"/>
      <c r="AB5" s="2084"/>
    </row>
    <row r="6" spans="1:40" ht="15.75" customHeight="1">
      <c r="A6" s="394" t="s">
        <v>75</v>
      </c>
      <c r="B6" s="396" t="s">
        <v>198</v>
      </c>
      <c r="C6" s="2087"/>
      <c r="D6" s="2087"/>
      <c r="E6" s="2087"/>
      <c r="F6" s="2085"/>
      <c r="G6" s="2085"/>
      <c r="H6" s="2089"/>
      <c r="I6" s="2090"/>
      <c r="J6" s="2091"/>
      <c r="K6" s="2092"/>
      <c r="L6" s="2092"/>
      <c r="M6" s="2088"/>
      <c r="N6" s="2084"/>
      <c r="O6" s="2084"/>
      <c r="P6" s="2084"/>
      <c r="Q6" s="2088"/>
      <c r="R6" s="2087"/>
      <c r="S6" s="2088"/>
      <c r="T6" s="2088"/>
      <c r="U6" s="2087"/>
      <c r="V6" s="2087"/>
      <c r="W6" s="2085"/>
      <c r="AB6" s="2084"/>
    </row>
    <row r="7" spans="1:40" ht="12.75">
      <c r="A7" s="3"/>
      <c r="B7" s="3"/>
      <c r="C7" s="2087"/>
      <c r="D7" s="2087"/>
      <c r="E7" s="2087"/>
      <c r="F7" s="2085"/>
      <c r="G7" s="2085"/>
      <c r="H7" s="2089"/>
      <c r="I7" s="2090" t="s">
        <v>76</v>
      </c>
      <c r="J7" s="2093"/>
      <c r="K7" s="2092"/>
      <c r="L7" s="2094"/>
      <c r="M7" s="2088"/>
      <c r="N7" s="2084">
        <f>79876.01+97819.84</f>
        <v>177695.84999999998</v>
      </c>
      <c r="O7" s="2084"/>
      <c r="P7" s="2084"/>
      <c r="Q7" s="2088"/>
      <c r="R7" s="2087"/>
      <c r="S7" s="2088"/>
      <c r="T7" s="2088"/>
      <c r="U7" s="2087"/>
      <c r="V7" s="2087"/>
      <c r="W7" s="2085"/>
      <c r="AB7" s="2084"/>
    </row>
    <row r="8" spans="1:40" ht="16.5" customHeight="1">
      <c r="A8" s="1175" t="s">
        <v>0</v>
      </c>
      <c r="B8" s="1175" t="s">
        <v>1</v>
      </c>
      <c r="C8" s="2095" t="s">
        <v>2</v>
      </c>
      <c r="D8" s="2096" t="s">
        <v>3</v>
      </c>
      <c r="E8" s="2097"/>
      <c r="F8" s="2098"/>
      <c r="G8" s="2099" t="s">
        <v>4</v>
      </c>
      <c r="H8" s="2100"/>
      <c r="I8" s="2099" t="s">
        <v>5</v>
      </c>
      <c r="J8" s="2100"/>
      <c r="K8" s="2101" t="s">
        <v>6</v>
      </c>
      <c r="L8" s="2101"/>
      <c r="M8" s="2101"/>
      <c r="N8" s="2101"/>
      <c r="O8" s="2097" t="s">
        <v>7</v>
      </c>
      <c r="P8" s="2098"/>
      <c r="Q8" s="2097" t="s">
        <v>8</v>
      </c>
      <c r="R8" s="2098"/>
      <c r="S8" s="2102"/>
      <c r="T8" s="2103"/>
      <c r="U8" s="1934"/>
      <c r="V8" s="2051" t="s">
        <v>82</v>
      </c>
      <c r="W8" s="1935"/>
      <c r="X8" s="2438" t="str">
        <f>"Production cumulée au 31/12/"&amp;(YEAR($E$1)-1)</f>
        <v>Production cumulée au 31/12/2014</v>
      </c>
      <c r="Y8" s="2438" t="str">
        <f>"Sous traitance cumulée au 31/12/"&amp;(YEAR($E$1)-1)</f>
        <v>Sous traitance cumulée au 31/12/2014</v>
      </c>
      <c r="Z8" s="2440" t="str">
        <f>"Facturation cumulée au 31/12/"&amp;(YEAR($E$1)-1)</f>
        <v>Facturation cumulée au 31/12/2014</v>
      </c>
      <c r="AA8" s="2440" t="str">
        <f>"Encaissement cumulé au 31/12/"&amp;(YEAR($E$1)-1)</f>
        <v>Encaissement cumulé au 31/12/2014</v>
      </c>
      <c r="AB8" s="2396" t="s">
        <v>64</v>
      </c>
      <c r="AM8" s="2436" t="str">
        <f>"Production cumulée au 31/12/"&amp;(YEAR($E$1)-1)</f>
        <v>Production cumulée au 31/12/2014</v>
      </c>
      <c r="AN8" s="2436" t="str">
        <f>"Sous traitance cumulée au 31/12/"&amp;(YEAR($E$1)-1)</f>
        <v>Sous traitance cumulée au 31/12/2014</v>
      </c>
    </row>
    <row r="9" spans="1:40" ht="8.25" customHeight="1">
      <c r="A9" s="1176" t="s">
        <v>9</v>
      </c>
      <c r="B9" s="1177"/>
      <c r="C9" s="2104"/>
      <c r="D9" s="2105"/>
      <c r="E9" s="2106"/>
      <c r="F9" s="2107"/>
      <c r="G9" s="2108"/>
      <c r="H9" s="2109"/>
      <c r="I9" s="2108" t="s">
        <v>10</v>
      </c>
      <c r="J9" s="2108"/>
      <c r="K9" s="2110" t="s">
        <v>11</v>
      </c>
      <c r="L9" s="2110"/>
      <c r="M9" s="2110"/>
      <c r="N9" s="2110" t="s">
        <v>12</v>
      </c>
      <c r="O9" s="2106"/>
      <c r="P9" s="2107"/>
      <c r="Q9" s="2106"/>
      <c r="R9" s="2111"/>
      <c r="S9" s="2112" t="s">
        <v>13</v>
      </c>
      <c r="T9" s="2113" t="s">
        <v>14</v>
      </c>
      <c r="U9" s="1936"/>
      <c r="V9" s="1937"/>
      <c r="W9" s="1938"/>
      <c r="X9" s="2439"/>
      <c r="Y9" s="2439"/>
      <c r="Z9" s="2441"/>
      <c r="AA9" s="2441"/>
      <c r="AB9" s="2397"/>
      <c r="AM9" s="2437"/>
      <c r="AN9" s="2437"/>
    </row>
    <row r="10" spans="1:40" ht="8.25" customHeight="1">
      <c r="A10" s="1178"/>
      <c r="B10" s="1177"/>
      <c r="C10" s="2104"/>
      <c r="D10" s="2114" t="s">
        <v>15</v>
      </c>
      <c r="E10" s="2114" t="s">
        <v>16</v>
      </c>
      <c r="F10" s="2101" t="s">
        <v>17</v>
      </c>
      <c r="G10" s="2108"/>
      <c r="H10" s="2109"/>
      <c r="I10" s="2108"/>
      <c r="J10" s="2108"/>
      <c r="K10" s="2115" t="s">
        <v>18</v>
      </c>
      <c r="L10" s="2115" t="s">
        <v>17</v>
      </c>
      <c r="M10" s="2115" t="s">
        <v>19</v>
      </c>
      <c r="N10" s="2115" t="s">
        <v>20</v>
      </c>
      <c r="O10" s="2114" t="s">
        <v>16</v>
      </c>
      <c r="P10" s="2101" t="s">
        <v>17</v>
      </c>
      <c r="Q10" s="2114" t="s">
        <v>16</v>
      </c>
      <c r="R10" s="2101" t="s">
        <v>17</v>
      </c>
      <c r="S10" s="2112" t="s">
        <v>21</v>
      </c>
      <c r="T10" s="2113" t="s">
        <v>22</v>
      </c>
      <c r="U10" s="1686" t="s">
        <v>15</v>
      </c>
      <c r="V10" s="1686" t="s">
        <v>16</v>
      </c>
      <c r="W10" s="1687" t="s">
        <v>17</v>
      </c>
      <c r="X10" s="2439"/>
      <c r="Y10" s="2439"/>
      <c r="Z10" s="2441"/>
      <c r="AA10" s="2441"/>
      <c r="AB10" s="2397"/>
      <c r="AM10" s="2437"/>
      <c r="AN10" s="2437"/>
    </row>
    <row r="11" spans="1:40" ht="8.25" customHeight="1">
      <c r="A11" s="1178"/>
      <c r="B11" s="1177"/>
      <c r="C11" s="2104"/>
      <c r="D11" s="2112" t="s">
        <v>23</v>
      </c>
      <c r="E11" s="2112"/>
      <c r="F11" s="2110" t="s">
        <v>23</v>
      </c>
      <c r="G11" s="2101" t="s">
        <v>24</v>
      </c>
      <c r="H11" s="2101" t="s">
        <v>25</v>
      </c>
      <c r="I11" s="2101" t="s">
        <v>26</v>
      </c>
      <c r="J11" s="2101" t="s">
        <v>27</v>
      </c>
      <c r="K11" s="2110" t="s">
        <v>28</v>
      </c>
      <c r="L11" s="2110" t="s">
        <v>29</v>
      </c>
      <c r="M11" s="2110" t="s">
        <v>30</v>
      </c>
      <c r="N11" s="2110" t="s">
        <v>31</v>
      </c>
      <c r="O11" s="2112"/>
      <c r="P11" s="2110" t="s">
        <v>23</v>
      </c>
      <c r="Q11" s="2112"/>
      <c r="R11" s="2110" t="s">
        <v>23</v>
      </c>
      <c r="S11" s="2104"/>
      <c r="T11" s="2113" t="s">
        <v>32</v>
      </c>
      <c r="U11" s="1688" t="s">
        <v>56</v>
      </c>
      <c r="V11" s="1688"/>
      <c r="W11" s="1689" t="s">
        <v>56</v>
      </c>
      <c r="X11" s="2439"/>
      <c r="Y11" s="2439"/>
      <c r="Z11" s="2441"/>
      <c r="AA11" s="2441"/>
      <c r="AB11" s="2397"/>
      <c r="AM11" s="2437"/>
      <c r="AN11" s="2437"/>
    </row>
    <row r="12" spans="1:40" ht="8.25" customHeight="1">
      <c r="A12" s="1178"/>
      <c r="B12" s="1177"/>
      <c r="C12" s="2104"/>
      <c r="D12" s="2104"/>
      <c r="E12" s="2104"/>
      <c r="F12" s="2116"/>
      <c r="G12" s="2116"/>
      <c r="H12" s="2116"/>
      <c r="I12" s="2116"/>
      <c r="J12" s="2110" t="s">
        <v>33</v>
      </c>
      <c r="K12" s="2110" t="s">
        <v>34</v>
      </c>
      <c r="L12" s="2110"/>
      <c r="M12" s="2110"/>
      <c r="N12" s="2110"/>
      <c r="O12" s="2104"/>
      <c r="P12" s="2116"/>
      <c r="Q12" s="2104"/>
      <c r="R12" s="2116"/>
      <c r="S12" s="2117"/>
      <c r="T12" s="2118"/>
      <c r="U12" s="1693"/>
      <c r="V12" s="1693"/>
      <c r="W12" s="1694"/>
      <c r="X12" s="2439"/>
      <c r="Y12" s="2439"/>
      <c r="Z12" s="2442"/>
      <c r="AA12" s="2442"/>
      <c r="AB12" s="2397"/>
      <c r="AM12" s="2437"/>
      <c r="AN12" s="2437"/>
    </row>
    <row r="13" spans="1:40" ht="8.25" customHeight="1">
      <c r="A13" s="1179"/>
      <c r="B13" s="1180" t="s">
        <v>35</v>
      </c>
      <c r="C13" s="2119" t="s">
        <v>36</v>
      </c>
      <c r="D13" s="2119"/>
      <c r="E13" s="2119"/>
      <c r="F13" s="2120" t="s">
        <v>37</v>
      </c>
      <c r="G13" s="2120" t="s">
        <v>38</v>
      </c>
      <c r="H13" s="2120" t="s">
        <v>39</v>
      </c>
      <c r="I13" s="2120" t="s">
        <v>40</v>
      </c>
      <c r="J13" s="2120" t="s">
        <v>41</v>
      </c>
      <c r="K13" s="2120" t="s">
        <v>42</v>
      </c>
      <c r="L13" s="2120" t="s">
        <v>43</v>
      </c>
      <c r="M13" s="2120" t="s">
        <v>44</v>
      </c>
      <c r="N13" s="2120" t="s">
        <v>45</v>
      </c>
      <c r="O13" s="2119"/>
      <c r="P13" s="2120" t="s">
        <v>37</v>
      </c>
      <c r="Q13" s="2119" t="s">
        <v>46</v>
      </c>
      <c r="R13" s="2119"/>
      <c r="S13" s="2121" t="s">
        <v>47</v>
      </c>
      <c r="T13" s="2122" t="s">
        <v>48</v>
      </c>
      <c r="U13" s="2119"/>
      <c r="V13" s="2119"/>
      <c r="W13" s="2120" t="s">
        <v>37</v>
      </c>
      <c r="X13" s="289"/>
      <c r="Y13" s="289"/>
      <c r="Z13" s="289"/>
      <c r="AA13" s="289"/>
      <c r="AB13" s="289"/>
      <c r="AM13" s="289"/>
      <c r="AN13" s="289"/>
    </row>
    <row r="14" spans="1:40" ht="12.75">
      <c r="A14" s="1185"/>
      <c r="B14" s="1186"/>
      <c r="C14" s="2123"/>
      <c r="D14" s="2123"/>
      <c r="E14" s="2123"/>
      <c r="F14" s="2123"/>
      <c r="G14" s="2124"/>
      <c r="H14" s="2124"/>
      <c r="I14" s="2123"/>
      <c r="J14" s="2123"/>
      <c r="K14" s="2123"/>
      <c r="L14" s="2123"/>
      <c r="M14" s="2123"/>
      <c r="N14" s="2124"/>
      <c r="O14" s="2123"/>
      <c r="P14" s="2123"/>
      <c r="Q14" s="2123"/>
      <c r="R14" s="2123"/>
      <c r="S14" s="2123"/>
      <c r="T14" s="2123">
        <f>W14-L14</f>
        <v>0</v>
      </c>
      <c r="U14" s="2123"/>
      <c r="V14" s="2123"/>
      <c r="W14" s="2123"/>
      <c r="X14" s="2123"/>
      <c r="Y14" s="2124"/>
      <c r="Z14" s="2123"/>
      <c r="AA14" s="2123"/>
      <c r="AB14" s="888"/>
      <c r="AM14" s="397"/>
      <c r="AN14" s="397"/>
    </row>
    <row r="15" spans="1:40" ht="12.75">
      <c r="A15" s="1185"/>
      <c r="B15" s="1186"/>
      <c r="C15" s="2125"/>
      <c r="D15" s="2125"/>
      <c r="E15" s="2125"/>
      <c r="F15" s="2125"/>
      <c r="G15" s="2126"/>
      <c r="H15" s="2126"/>
      <c r="I15" s="2125"/>
      <c r="J15" s="2125"/>
      <c r="K15" s="2125"/>
      <c r="L15" s="2125"/>
      <c r="M15" s="2125"/>
      <c r="N15" s="2126"/>
      <c r="O15" s="2125"/>
      <c r="P15" s="2125"/>
      <c r="Q15" s="2125"/>
      <c r="R15" s="2125"/>
      <c r="S15" s="2125"/>
      <c r="T15" s="2125">
        <f>W15-L15</f>
        <v>0</v>
      </c>
      <c r="U15" s="2125"/>
      <c r="V15" s="2125"/>
      <c r="W15" s="2125"/>
      <c r="X15" s="2125"/>
      <c r="Y15" s="2126"/>
      <c r="Z15" s="2125"/>
      <c r="AA15" s="2125"/>
      <c r="AB15" s="891"/>
      <c r="AM15" s="397"/>
      <c r="AN15" s="397"/>
    </row>
    <row r="16" spans="1:40" ht="12" customHeight="1">
      <c r="A16" s="1187"/>
      <c r="B16" s="1188"/>
      <c r="C16" s="2125"/>
      <c r="D16" s="2125"/>
      <c r="E16" s="2127"/>
      <c r="F16" s="2126">
        <f>D16*E16</f>
        <v>0</v>
      </c>
      <c r="G16" s="2126"/>
      <c r="H16" s="2126"/>
      <c r="I16" s="2126"/>
      <c r="J16" s="2126"/>
      <c r="K16" s="2126"/>
      <c r="L16" s="2126">
        <f>I16-J16+K16</f>
        <v>0</v>
      </c>
      <c r="M16" s="2126"/>
      <c r="N16" s="2126"/>
      <c r="O16" s="2127"/>
      <c r="P16" s="2126">
        <f>O16*D16</f>
        <v>0</v>
      </c>
      <c r="Q16" s="2125"/>
      <c r="R16" s="2125">
        <f>Q16*D16</f>
        <v>0</v>
      </c>
      <c r="S16" s="2125">
        <f>P16-R16</f>
        <v>0</v>
      </c>
      <c r="T16" s="2125">
        <f>W16-L16</f>
        <v>0</v>
      </c>
      <c r="U16" s="2125"/>
      <c r="V16" s="2127"/>
      <c r="W16" s="2126">
        <f>U16*V16</f>
        <v>0</v>
      </c>
      <c r="X16" s="2126">
        <v>0</v>
      </c>
      <c r="Y16" s="2126"/>
      <c r="Z16" s="2126">
        <v>0</v>
      </c>
      <c r="AA16" s="2125">
        <v>0</v>
      </c>
      <c r="AB16" s="891"/>
      <c r="AM16" s="399">
        <v>0</v>
      </c>
      <c r="AN16" s="399"/>
    </row>
    <row r="17" spans="1:40" ht="33.75">
      <c r="A17" s="1189">
        <v>1</v>
      </c>
      <c r="B17" s="62" t="s">
        <v>199</v>
      </c>
      <c r="C17" s="2125">
        <v>1034483</v>
      </c>
      <c r="D17" s="2125">
        <f>+C17</f>
        <v>1034483</v>
      </c>
      <c r="E17" s="2127">
        <v>1</v>
      </c>
      <c r="F17" s="2126">
        <f>D17*E17</f>
        <v>1034483</v>
      </c>
      <c r="G17" s="2128">
        <f>136295.82+41400</f>
        <v>177695.82</v>
      </c>
      <c r="H17" s="2126" t="s">
        <v>200</v>
      </c>
      <c r="I17" s="2126">
        <f>W17</f>
        <v>1034483</v>
      </c>
      <c r="J17" s="2126"/>
      <c r="K17" s="2126"/>
      <c r="L17" s="2126">
        <f>+I17-J17+K17</f>
        <v>1034483</v>
      </c>
      <c r="M17" s="2126"/>
      <c r="N17" s="2128">
        <f>G17</f>
        <v>177695.82</v>
      </c>
      <c r="O17" s="2349">
        <f>+P17/F17</f>
        <v>0.99999977766671855</v>
      </c>
      <c r="P17" s="2350">
        <v>1034482.77</v>
      </c>
      <c r="Q17" s="2350">
        <v>1</v>
      </c>
      <c r="R17" s="2351">
        <v>1034482.77</v>
      </c>
      <c r="S17" s="2125">
        <f t="shared" ref="S17:S22" si="0">+P17-R17</f>
        <v>0</v>
      </c>
      <c r="T17" s="2125">
        <f>W17-L17</f>
        <v>0</v>
      </c>
      <c r="U17" s="2125">
        <v>1034483</v>
      </c>
      <c r="V17" s="2127">
        <v>1</v>
      </c>
      <c r="W17" s="2126">
        <f>U17*V17</f>
        <v>1034483</v>
      </c>
      <c r="X17" s="2126">
        <v>1034483</v>
      </c>
      <c r="Y17" s="2126">
        <v>177695.82</v>
      </c>
      <c r="Z17" s="2126">
        <v>1034482.77</v>
      </c>
      <c r="AA17" s="2125">
        <v>0</v>
      </c>
      <c r="AB17" s="2125">
        <v>1034483</v>
      </c>
      <c r="AM17" s="399">
        <v>298000</v>
      </c>
      <c r="AN17" s="400"/>
    </row>
    <row r="18" spans="1:40" ht="18.75" customHeight="1">
      <c r="A18" s="1189"/>
      <c r="B18" s="62"/>
      <c r="C18" s="2125"/>
      <c r="D18" s="2125"/>
      <c r="E18" s="2127"/>
      <c r="F18" s="2126"/>
      <c r="G18" s="2128"/>
      <c r="H18" s="2126"/>
      <c r="I18" s="2126">
        <f>W18</f>
        <v>0</v>
      </c>
      <c r="J18" s="2126"/>
      <c r="K18" s="2126"/>
      <c r="L18" s="2126"/>
      <c r="M18" s="2126"/>
      <c r="N18" s="2128"/>
      <c r="O18" s="2127"/>
      <c r="P18" s="2126"/>
      <c r="Q18" s="2126"/>
      <c r="R18" s="2125"/>
      <c r="S18" s="2125">
        <f t="shared" si="0"/>
        <v>0</v>
      </c>
      <c r="T18" s="2125"/>
      <c r="U18" s="2125"/>
      <c r="V18" s="2127"/>
      <c r="W18" s="2126"/>
      <c r="X18" s="2126"/>
      <c r="Y18" s="2126"/>
      <c r="Z18" s="2126"/>
      <c r="AA18" s="2125"/>
      <c r="AB18" s="2125"/>
      <c r="AM18" s="399"/>
      <c r="AN18" s="400"/>
    </row>
    <row r="19" spans="1:40" ht="42.75" customHeight="1">
      <c r="A19" s="1191">
        <v>2</v>
      </c>
      <c r="B19" s="401" t="s">
        <v>201</v>
      </c>
      <c r="C19" s="2125">
        <v>1448276</v>
      </c>
      <c r="D19" s="2125">
        <f>+C19</f>
        <v>1448276</v>
      </c>
      <c r="E19" s="2127">
        <v>1</v>
      </c>
      <c r="F19" s="2126">
        <f>D19*E19</f>
        <v>1448276</v>
      </c>
      <c r="G19" s="2128">
        <f>120000*1.2</f>
        <v>144000</v>
      </c>
      <c r="H19" s="2126" t="s">
        <v>104</v>
      </c>
      <c r="I19" s="2126">
        <f>W19</f>
        <v>1448276</v>
      </c>
      <c r="J19" s="2126">
        <f>I19*0.2</f>
        <v>289655.2</v>
      </c>
      <c r="K19" s="2126"/>
      <c r="L19" s="2126">
        <f>+I19-J19+K19</f>
        <v>1158620.8</v>
      </c>
      <c r="M19" s="2126"/>
      <c r="N19" s="2371">
        <v>144000</v>
      </c>
      <c r="O19" s="2127"/>
      <c r="P19" s="2126">
        <f>O19*D19</f>
        <v>0</v>
      </c>
      <c r="Q19" s="2126">
        <v>0</v>
      </c>
      <c r="R19" s="2125">
        <f>Q19*D19</f>
        <v>0</v>
      </c>
      <c r="S19" s="2125">
        <f t="shared" si="0"/>
        <v>0</v>
      </c>
      <c r="T19" s="2125">
        <f>W19-L19</f>
        <v>289655.19999999995</v>
      </c>
      <c r="U19" s="2125">
        <v>1448276</v>
      </c>
      <c r="V19" s="2127">
        <v>1</v>
      </c>
      <c r="W19" s="2126">
        <f>U19*V19</f>
        <v>1448276</v>
      </c>
      <c r="X19" s="2126">
        <v>1158620.8</v>
      </c>
      <c r="Y19" s="2126">
        <v>144000</v>
      </c>
      <c r="Z19" s="2126">
        <v>0</v>
      </c>
      <c r="AA19" s="2125">
        <v>0</v>
      </c>
      <c r="AB19" s="2125">
        <v>1448276</v>
      </c>
      <c r="AM19" s="399">
        <v>0</v>
      </c>
      <c r="AN19" s="400"/>
    </row>
    <row r="20" spans="1:40" ht="22.5" customHeight="1">
      <c r="A20" s="1191"/>
      <c r="B20" s="401"/>
      <c r="C20" s="2129"/>
      <c r="D20" s="2125"/>
      <c r="E20" s="2127"/>
      <c r="F20" s="2126"/>
      <c r="G20" s="2126"/>
      <c r="H20" s="2126" t="s">
        <v>87</v>
      </c>
      <c r="I20" s="2126"/>
      <c r="J20" s="2126"/>
      <c r="K20" s="2126"/>
      <c r="L20" s="2126"/>
      <c r="M20" s="2126"/>
      <c r="N20" s="2126"/>
      <c r="O20" s="2127"/>
      <c r="P20" s="2126"/>
      <c r="Q20" s="2126"/>
      <c r="R20" s="2125"/>
      <c r="S20" s="2125">
        <f t="shared" si="0"/>
        <v>0</v>
      </c>
      <c r="T20" s="2125"/>
      <c r="U20" s="2125"/>
      <c r="V20" s="2127"/>
      <c r="W20" s="2126"/>
      <c r="X20" s="2126"/>
      <c r="Y20" s="2126"/>
      <c r="Z20" s="2126"/>
      <c r="AA20" s="2125"/>
      <c r="AB20" s="2125"/>
      <c r="AM20" s="399"/>
      <c r="AN20" s="400"/>
    </row>
    <row r="21" spans="1:40" ht="21" customHeight="1">
      <c r="A21" s="1191">
        <v>3</v>
      </c>
      <c r="B21" s="401" t="s">
        <v>202</v>
      </c>
      <c r="C21" s="2129">
        <v>517241</v>
      </c>
      <c r="D21" s="2125">
        <f>+C21</f>
        <v>517241</v>
      </c>
      <c r="E21" s="2127">
        <v>1</v>
      </c>
      <c r="F21" s="2126">
        <f>D21*E21</f>
        <v>517241</v>
      </c>
      <c r="G21" s="2126"/>
      <c r="H21" s="2126"/>
      <c r="I21" s="2126"/>
      <c r="J21" s="2126"/>
      <c r="K21" s="2126"/>
      <c r="L21" s="2126">
        <f>+I21-J21+K21</f>
        <v>0</v>
      </c>
      <c r="M21" s="2126"/>
      <c r="N21" s="2126"/>
      <c r="O21" s="2127"/>
      <c r="P21" s="2126"/>
      <c r="Q21" s="2126"/>
      <c r="R21" s="2125"/>
      <c r="S21" s="2125">
        <f t="shared" si="0"/>
        <v>0</v>
      </c>
      <c r="T21" s="2125">
        <f>W21-L21</f>
        <v>517241</v>
      </c>
      <c r="U21" s="2125">
        <v>517241</v>
      </c>
      <c r="V21" s="2127">
        <v>1</v>
      </c>
      <c r="W21" s="2126">
        <f>U21*V21</f>
        <v>517241</v>
      </c>
      <c r="X21" s="2126">
        <v>0</v>
      </c>
      <c r="Y21" s="2126"/>
      <c r="Z21" s="2126"/>
      <c r="AA21" s="2125"/>
      <c r="AB21" s="2125">
        <v>517241</v>
      </c>
      <c r="AM21" s="399"/>
      <c r="AN21" s="400"/>
    </row>
    <row r="22" spans="1:40" ht="22.5" customHeight="1">
      <c r="A22" s="1191"/>
      <c r="B22" s="402"/>
      <c r="C22" s="2126"/>
      <c r="D22" s="2126"/>
      <c r="E22" s="2127"/>
      <c r="F22" s="2126"/>
      <c r="G22" s="2126"/>
      <c r="H22" s="2126"/>
      <c r="I22" s="2126"/>
      <c r="J22" s="2126"/>
      <c r="K22" s="2126"/>
      <c r="L22" s="2126"/>
      <c r="M22" s="2126"/>
      <c r="N22" s="2126"/>
      <c r="O22" s="2127"/>
      <c r="P22" s="2126">
        <f>O22*D22</f>
        <v>0</v>
      </c>
      <c r="Q22" s="2126"/>
      <c r="R22" s="2125"/>
      <c r="S22" s="2125">
        <f t="shared" si="0"/>
        <v>0</v>
      </c>
      <c r="T22" s="2125">
        <f>W22-L22</f>
        <v>0</v>
      </c>
      <c r="U22" s="2126">
        <f>D22</f>
        <v>0</v>
      </c>
      <c r="V22" s="2127"/>
      <c r="W22" s="2126">
        <f>U22*V22</f>
        <v>0</v>
      </c>
      <c r="X22" s="2126"/>
      <c r="Y22" s="2126"/>
      <c r="Z22" s="2126">
        <v>0</v>
      </c>
      <c r="AA22" s="2125"/>
      <c r="AB22" s="890">
        <v>0</v>
      </c>
      <c r="AM22" s="399"/>
      <c r="AN22" s="400"/>
    </row>
    <row r="23" spans="1:40" ht="22.5" customHeight="1">
      <c r="A23" s="1191"/>
      <c r="B23" s="402"/>
      <c r="C23" s="2126"/>
      <c r="D23" s="2126"/>
      <c r="E23" s="2127"/>
      <c r="F23" s="2126"/>
      <c r="G23" s="2126"/>
      <c r="H23" s="2126"/>
      <c r="I23" s="2126"/>
      <c r="J23" s="2126"/>
      <c r="K23" s="2126"/>
      <c r="L23" s="2126"/>
      <c r="M23" s="2126"/>
      <c r="N23" s="2126"/>
      <c r="O23" s="2127"/>
      <c r="P23" s="2126"/>
      <c r="Q23" s="2126"/>
      <c r="R23" s="2125"/>
      <c r="S23" s="2125"/>
      <c r="T23" s="2125"/>
      <c r="U23" s="2126"/>
      <c r="V23" s="2127"/>
      <c r="W23" s="2126"/>
      <c r="X23" s="2126"/>
      <c r="Y23" s="2126"/>
      <c r="Z23" s="2126"/>
      <c r="AA23" s="2125"/>
      <c r="AB23" s="890"/>
      <c r="AM23" s="399"/>
      <c r="AN23" s="400"/>
    </row>
    <row r="24" spans="1:40" ht="22.5" customHeight="1">
      <c r="A24" s="1191"/>
      <c r="B24" s="402"/>
      <c r="C24" s="2126"/>
      <c r="D24" s="2126"/>
      <c r="E24" s="2127"/>
      <c r="F24" s="2126"/>
      <c r="G24" s="2126"/>
      <c r="H24" s="2126"/>
      <c r="I24" s="2126"/>
      <c r="J24" s="2126"/>
      <c r="K24" s="2126"/>
      <c r="L24" s="2126"/>
      <c r="M24" s="2126"/>
      <c r="N24" s="2126"/>
      <c r="O24" s="2127"/>
      <c r="P24" s="2126"/>
      <c r="Q24" s="2126"/>
      <c r="R24" s="2125"/>
      <c r="S24" s="2125"/>
      <c r="T24" s="2125"/>
      <c r="U24" s="2126"/>
      <c r="V24" s="2127"/>
      <c r="W24" s="2126"/>
      <c r="X24" s="2126"/>
      <c r="Y24" s="2126"/>
      <c r="Z24" s="2126"/>
      <c r="AA24" s="2125"/>
      <c r="AB24" s="890"/>
      <c r="AM24" s="399"/>
      <c r="AN24" s="400"/>
    </row>
    <row r="25" spans="1:40" ht="22.5" customHeight="1">
      <c r="A25" s="1191"/>
      <c r="B25" s="402"/>
      <c r="C25" s="2126"/>
      <c r="D25" s="2126"/>
      <c r="E25" s="2127"/>
      <c r="F25" s="2126"/>
      <c r="G25" s="2126"/>
      <c r="H25" s="2126"/>
      <c r="I25" s="2126"/>
      <c r="J25" s="2126"/>
      <c r="K25" s="2126"/>
      <c r="L25" s="2126"/>
      <c r="M25" s="2126"/>
      <c r="N25" s="2126"/>
      <c r="O25" s="2127"/>
      <c r="P25" s="2126"/>
      <c r="Q25" s="2126"/>
      <c r="R25" s="2125"/>
      <c r="S25" s="2125"/>
      <c r="T25" s="2125"/>
      <c r="U25" s="2126"/>
      <c r="V25" s="2127"/>
      <c r="W25" s="2126"/>
      <c r="X25" s="2126"/>
      <c r="Y25" s="2126"/>
      <c r="Z25" s="2126"/>
      <c r="AA25" s="2125"/>
      <c r="AB25" s="890"/>
      <c r="AM25" s="399"/>
      <c r="AN25" s="400"/>
    </row>
    <row r="26" spans="1:40" ht="22.5" customHeight="1">
      <c r="A26" s="1191"/>
      <c r="B26" s="402"/>
      <c r="C26" s="2126"/>
      <c r="D26" s="2126"/>
      <c r="E26" s="2127"/>
      <c r="F26" s="2126"/>
      <c r="G26" s="2126"/>
      <c r="H26" s="2126"/>
      <c r="I26" s="2126"/>
      <c r="J26" s="2126"/>
      <c r="K26" s="2126"/>
      <c r="L26" s="2126"/>
      <c r="M26" s="2126"/>
      <c r="N26" s="2126"/>
      <c r="O26" s="2127"/>
      <c r="P26" s="2126"/>
      <c r="Q26" s="2126"/>
      <c r="R26" s="2125"/>
      <c r="S26" s="2125"/>
      <c r="T26" s="2125"/>
      <c r="U26" s="2126"/>
      <c r="V26" s="2127"/>
      <c r="W26" s="2126"/>
      <c r="X26" s="2126"/>
      <c r="Y26" s="2126"/>
      <c r="Z26" s="2126"/>
      <c r="AA26" s="2125"/>
      <c r="AB26" s="890"/>
      <c r="AM26" s="399"/>
      <c r="AN26" s="400"/>
    </row>
    <row r="27" spans="1:40" ht="22.5" customHeight="1">
      <c r="A27" s="1191"/>
      <c r="B27" s="402"/>
      <c r="C27" s="2126"/>
      <c r="D27" s="2126"/>
      <c r="E27" s="2127"/>
      <c r="F27" s="2126"/>
      <c r="G27" s="2126"/>
      <c r="H27" s="2126"/>
      <c r="I27" s="2126"/>
      <c r="J27" s="2126"/>
      <c r="K27" s="2126"/>
      <c r="L27" s="2126"/>
      <c r="M27" s="2126"/>
      <c r="N27" s="2126"/>
      <c r="O27" s="2127"/>
      <c r="P27" s="2126"/>
      <c r="Q27" s="2126"/>
      <c r="R27" s="2125"/>
      <c r="S27" s="2125"/>
      <c r="T27" s="2125"/>
      <c r="U27" s="2126"/>
      <c r="V27" s="2127"/>
      <c r="W27" s="2126"/>
      <c r="X27" s="2126"/>
      <c r="Y27" s="2126"/>
      <c r="Z27" s="2126"/>
      <c r="AA27" s="2125"/>
      <c r="AB27" s="890"/>
      <c r="AM27" s="399"/>
      <c r="AN27" s="400"/>
    </row>
    <row r="28" spans="1:40" ht="22.5" customHeight="1">
      <c r="A28" s="1191"/>
      <c r="B28" s="402"/>
      <c r="C28" s="2126"/>
      <c r="D28" s="2126"/>
      <c r="E28" s="2127"/>
      <c r="F28" s="2126"/>
      <c r="G28" s="2126"/>
      <c r="H28" s="2126"/>
      <c r="I28" s="2126"/>
      <c r="J28" s="2126"/>
      <c r="K28" s="2126"/>
      <c r="L28" s="2126"/>
      <c r="M28" s="2126"/>
      <c r="N28" s="2126"/>
      <c r="O28" s="2127"/>
      <c r="P28" s="2126"/>
      <c r="Q28" s="2126"/>
      <c r="R28" s="2125"/>
      <c r="S28" s="2125"/>
      <c r="T28" s="2125"/>
      <c r="U28" s="2126"/>
      <c r="V28" s="2127"/>
      <c r="W28" s="2126"/>
      <c r="X28" s="2126"/>
      <c r="Y28" s="2126"/>
      <c r="Z28" s="2126"/>
      <c r="AA28" s="2125"/>
      <c r="AB28" s="890"/>
      <c r="AM28" s="399"/>
      <c r="AN28" s="400"/>
    </row>
    <row r="29" spans="1:40" ht="22.5" customHeight="1">
      <c r="A29" s="1191"/>
      <c r="B29" s="402"/>
      <c r="C29" s="2126"/>
      <c r="D29" s="2126"/>
      <c r="E29" s="2127"/>
      <c r="F29" s="2126"/>
      <c r="G29" s="2126"/>
      <c r="H29" s="2126"/>
      <c r="I29" s="2126"/>
      <c r="J29" s="2126"/>
      <c r="K29" s="2126"/>
      <c r="L29" s="2126"/>
      <c r="M29" s="2126"/>
      <c r="N29" s="2126"/>
      <c r="O29" s="2127"/>
      <c r="P29" s="2126"/>
      <c r="Q29" s="2126"/>
      <c r="R29" s="2125"/>
      <c r="S29" s="2125"/>
      <c r="T29" s="2125"/>
      <c r="U29" s="2126"/>
      <c r="V29" s="2127"/>
      <c r="W29" s="2126"/>
      <c r="X29" s="2126"/>
      <c r="Y29" s="2126"/>
      <c r="Z29" s="2126"/>
      <c r="AA29" s="2125"/>
      <c r="AB29" s="890"/>
      <c r="AM29" s="399"/>
      <c r="AN29" s="400"/>
    </row>
    <row r="30" spans="1:40" ht="22.5" customHeight="1">
      <c r="A30" s="1191"/>
      <c r="B30" s="402"/>
      <c r="C30" s="2126"/>
      <c r="D30" s="2126"/>
      <c r="E30" s="2127"/>
      <c r="F30" s="2126"/>
      <c r="G30" s="2126"/>
      <c r="H30" s="2126"/>
      <c r="I30" s="2126"/>
      <c r="J30" s="2126"/>
      <c r="K30" s="2126"/>
      <c r="L30" s="2126"/>
      <c r="M30" s="2126"/>
      <c r="N30" s="2126"/>
      <c r="O30" s="2127"/>
      <c r="P30" s="2126"/>
      <c r="Q30" s="2126"/>
      <c r="R30" s="2125"/>
      <c r="S30" s="2125"/>
      <c r="T30" s="2125"/>
      <c r="U30" s="2126"/>
      <c r="V30" s="2127"/>
      <c r="W30" s="2126"/>
      <c r="X30" s="2126"/>
      <c r="Y30" s="2126"/>
      <c r="Z30" s="2126"/>
      <c r="AA30" s="2125"/>
      <c r="AB30" s="890"/>
      <c r="AM30" s="399"/>
      <c r="AN30" s="400"/>
    </row>
    <row r="31" spans="1:40" ht="22.5" customHeight="1">
      <c r="A31" s="1191"/>
      <c r="B31" s="402"/>
      <c r="C31" s="2126"/>
      <c r="D31" s="2126"/>
      <c r="E31" s="2127"/>
      <c r="F31" s="2126"/>
      <c r="G31" s="2126"/>
      <c r="H31" s="2126"/>
      <c r="I31" s="2126"/>
      <c r="J31" s="2126"/>
      <c r="K31" s="2126"/>
      <c r="L31" s="2126"/>
      <c r="M31" s="2126"/>
      <c r="N31" s="2126"/>
      <c r="O31" s="2127"/>
      <c r="P31" s="2126"/>
      <c r="Q31" s="2126"/>
      <c r="R31" s="2125"/>
      <c r="S31" s="2125"/>
      <c r="T31" s="2125"/>
      <c r="U31" s="2126"/>
      <c r="V31" s="2127"/>
      <c r="W31" s="2126"/>
      <c r="X31" s="2126"/>
      <c r="Y31" s="2126"/>
      <c r="Z31" s="2126"/>
      <c r="AA31" s="2125"/>
      <c r="AB31" s="890"/>
      <c r="AM31" s="399"/>
      <c r="AN31" s="400"/>
    </row>
    <row r="32" spans="1:40" ht="22.5" customHeight="1">
      <c r="A32" s="1191"/>
      <c r="B32" s="402"/>
      <c r="C32" s="2126"/>
      <c r="D32" s="2126"/>
      <c r="E32" s="2127"/>
      <c r="F32" s="2126"/>
      <c r="G32" s="2126"/>
      <c r="H32" s="2126"/>
      <c r="I32" s="2126"/>
      <c r="J32" s="2126"/>
      <c r="K32" s="2126"/>
      <c r="L32" s="2126"/>
      <c r="M32" s="2126"/>
      <c r="N32" s="2126"/>
      <c r="O32" s="2127"/>
      <c r="P32" s="2126"/>
      <c r="Q32" s="2126"/>
      <c r="R32" s="2125"/>
      <c r="S32" s="2125"/>
      <c r="T32" s="2125"/>
      <c r="U32" s="2126"/>
      <c r="V32" s="2127"/>
      <c r="W32" s="2126"/>
      <c r="X32" s="2126"/>
      <c r="Y32" s="2126"/>
      <c r="Z32" s="2126"/>
      <c r="AA32" s="2125"/>
      <c r="AB32" s="890"/>
      <c r="AM32" s="399"/>
      <c r="AN32" s="400"/>
    </row>
    <row r="33" spans="1:40" ht="22.5" customHeight="1">
      <c r="A33" s="1191"/>
      <c r="B33" s="402"/>
      <c r="C33" s="2126"/>
      <c r="D33" s="2126"/>
      <c r="E33" s="2127"/>
      <c r="F33" s="2126"/>
      <c r="G33" s="2126"/>
      <c r="H33" s="2126"/>
      <c r="I33" s="2126"/>
      <c r="J33" s="2126"/>
      <c r="K33" s="2126"/>
      <c r="L33" s="2126"/>
      <c r="M33" s="2126"/>
      <c r="N33" s="2126"/>
      <c r="O33" s="2127"/>
      <c r="P33" s="2126"/>
      <c r="Q33" s="2126"/>
      <c r="R33" s="2125"/>
      <c r="S33" s="2125"/>
      <c r="T33" s="2125"/>
      <c r="U33" s="2126"/>
      <c r="V33" s="2127"/>
      <c r="W33" s="2126"/>
      <c r="X33" s="2126"/>
      <c r="Y33" s="2126"/>
      <c r="Z33" s="2126"/>
      <c r="AA33" s="2125"/>
      <c r="AB33" s="890"/>
      <c r="AM33" s="399"/>
      <c r="AN33" s="400"/>
    </row>
    <row r="34" spans="1:40" ht="22.5" customHeight="1">
      <c r="A34" s="1191"/>
      <c r="B34" s="402"/>
      <c r="C34" s="2126"/>
      <c r="D34" s="2126"/>
      <c r="E34" s="2127"/>
      <c r="F34" s="2126"/>
      <c r="G34" s="2126"/>
      <c r="H34" s="2126"/>
      <c r="I34" s="2126"/>
      <c r="J34" s="2126"/>
      <c r="K34" s="2126"/>
      <c r="L34" s="2126"/>
      <c r="M34" s="2126"/>
      <c r="N34" s="2126"/>
      <c r="O34" s="2127"/>
      <c r="P34" s="2126"/>
      <c r="Q34" s="2126"/>
      <c r="R34" s="2125"/>
      <c r="S34" s="2125"/>
      <c r="T34" s="2125"/>
      <c r="U34" s="2126"/>
      <c r="V34" s="2127"/>
      <c r="W34" s="2126"/>
      <c r="X34" s="2126"/>
      <c r="Y34" s="2126"/>
      <c r="Z34" s="2126"/>
      <c r="AA34" s="2125"/>
      <c r="AB34" s="890"/>
      <c r="AM34" s="399"/>
      <c r="AN34" s="400"/>
    </row>
    <row r="35" spans="1:40" ht="22.5" customHeight="1">
      <c r="A35" s="1191"/>
      <c r="B35" s="402"/>
      <c r="C35" s="2126"/>
      <c r="D35" s="2126"/>
      <c r="E35" s="2127"/>
      <c r="F35" s="2126"/>
      <c r="G35" s="2126"/>
      <c r="H35" s="2126"/>
      <c r="I35" s="2126"/>
      <c r="J35" s="2126"/>
      <c r="K35" s="2126"/>
      <c r="L35" s="2126"/>
      <c r="M35" s="2126"/>
      <c r="N35" s="2126"/>
      <c r="O35" s="2127"/>
      <c r="P35" s="2126"/>
      <c r="Q35" s="2126"/>
      <c r="R35" s="2125"/>
      <c r="S35" s="2125"/>
      <c r="T35" s="2125"/>
      <c r="U35" s="2126"/>
      <c r="V35" s="2127"/>
      <c r="W35" s="2126"/>
      <c r="X35" s="2126"/>
      <c r="Y35" s="2126"/>
      <c r="Z35" s="2126"/>
      <c r="AA35" s="2125"/>
      <c r="AB35" s="890"/>
      <c r="AM35" s="399"/>
      <c r="AN35" s="400"/>
    </row>
    <row r="36" spans="1:40" ht="22.5" customHeight="1">
      <c r="A36" s="1191"/>
      <c r="B36" s="402"/>
      <c r="C36" s="2126"/>
      <c r="D36" s="2126"/>
      <c r="E36" s="2127"/>
      <c r="F36" s="2126"/>
      <c r="G36" s="2126"/>
      <c r="H36" s="2126"/>
      <c r="I36" s="2126"/>
      <c r="J36" s="2126"/>
      <c r="K36" s="2126"/>
      <c r="L36" s="2126"/>
      <c r="M36" s="2126"/>
      <c r="N36" s="2126"/>
      <c r="O36" s="2127"/>
      <c r="P36" s="2126"/>
      <c r="Q36" s="2126"/>
      <c r="R36" s="2125"/>
      <c r="S36" s="2125"/>
      <c r="T36" s="2125"/>
      <c r="U36" s="2126"/>
      <c r="V36" s="2127"/>
      <c r="W36" s="2126"/>
      <c r="X36" s="2126"/>
      <c r="Y36" s="2126"/>
      <c r="Z36" s="2126"/>
      <c r="AA36" s="2125"/>
      <c r="AB36" s="890"/>
      <c r="AM36" s="399"/>
      <c r="AN36" s="400"/>
    </row>
    <row r="37" spans="1:40" ht="22.5" customHeight="1">
      <c r="A37" s="1191"/>
      <c r="B37" s="402"/>
      <c r="C37" s="2126"/>
      <c r="D37" s="2126"/>
      <c r="E37" s="2127"/>
      <c r="F37" s="2126"/>
      <c r="G37" s="2126"/>
      <c r="H37" s="2126"/>
      <c r="I37" s="2126"/>
      <c r="J37" s="2126"/>
      <c r="K37" s="2126"/>
      <c r="L37" s="2126"/>
      <c r="M37" s="2126"/>
      <c r="N37" s="2126"/>
      <c r="O37" s="2127"/>
      <c r="P37" s="2126"/>
      <c r="Q37" s="2126"/>
      <c r="R37" s="2125"/>
      <c r="S37" s="2125"/>
      <c r="T37" s="2125"/>
      <c r="U37" s="2126"/>
      <c r="V37" s="2127"/>
      <c r="W37" s="2126"/>
      <c r="X37" s="2126"/>
      <c r="Y37" s="2126"/>
      <c r="Z37" s="2126"/>
      <c r="AA37" s="2125"/>
      <c r="AB37" s="890"/>
      <c r="AM37" s="399"/>
      <c r="AN37" s="400"/>
    </row>
    <row r="38" spans="1:40" ht="22.5" customHeight="1">
      <c r="A38" s="1191"/>
      <c r="B38" s="402"/>
      <c r="C38" s="2126"/>
      <c r="D38" s="2126"/>
      <c r="E38" s="2127"/>
      <c r="F38" s="2126"/>
      <c r="G38" s="2126"/>
      <c r="H38" s="2126"/>
      <c r="I38" s="2126"/>
      <c r="J38" s="2126"/>
      <c r="K38" s="2126"/>
      <c r="L38" s="2126"/>
      <c r="M38" s="2126"/>
      <c r="N38" s="2126"/>
      <c r="O38" s="2127"/>
      <c r="P38" s="2126"/>
      <c r="Q38" s="2126"/>
      <c r="R38" s="2125"/>
      <c r="S38" s="2125"/>
      <c r="T38" s="2125"/>
      <c r="U38" s="2126"/>
      <c r="V38" s="2127"/>
      <c r="W38" s="2126"/>
      <c r="X38" s="2126"/>
      <c r="Y38" s="2126"/>
      <c r="Z38" s="2126"/>
      <c r="AA38" s="2125"/>
      <c r="AB38" s="890"/>
      <c r="AM38" s="399"/>
      <c r="AN38" s="400"/>
    </row>
    <row r="39" spans="1:40" ht="22.5" customHeight="1">
      <c r="A39" s="1191"/>
      <c r="B39" s="402"/>
      <c r="C39" s="2126"/>
      <c r="D39" s="2126"/>
      <c r="E39" s="2127"/>
      <c r="F39" s="2126"/>
      <c r="G39" s="2126"/>
      <c r="H39" s="2126"/>
      <c r="I39" s="2126"/>
      <c r="J39" s="2126"/>
      <c r="K39" s="2126"/>
      <c r="L39" s="2126"/>
      <c r="M39" s="2126"/>
      <c r="N39" s="2126"/>
      <c r="O39" s="2127"/>
      <c r="P39" s="2126"/>
      <c r="Q39" s="2126"/>
      <c r="R39" s="2125"/>
      <c r="S39" s="2125"/>
      <c r="T39" s="2125"/>
      <c r="U39" s="2126"/>
      <c r="V39" s="2127"/>
      <c r="W39" s="2126"/>
      <c r="X39" s="2126"/>
      <c r="Y39" s="2126"/>
      <c r="Z39" s="2126"/>
      <c r="AA39" s="2125"/>
      <c r="AB39" s="890"/>
      <c r="AM39" s="399"/>
      <c r="AN39" s="400"/>
    </row>
    <row r="40" spans="1:40" ht="22.5" customHeight="1">
      <c r="A40" s="1191"/>
      <c r="B40" s="402"/>
      <c r="C40" s="2126"/>
      <c r="D40" s="2126"/>
      <c r="E40" s="2127"/>
      <c r="F40" s="2126"/>
      <c r="G40" s="2126"/>
      <c r="H40" s="2126"/>
      <c r="I40" s="2126"/>
      <c r="J40" s="2126"/>
      <c r="K40" s="2126"/>
      <c r="L40" s="2126"/>
      <c r="M40" s="2126"/>
      <c r="N40" s="2126"/>
      <c r="O40" s="2127"/>
      <c r="P40" s="2126"/>
      <c r="Q40" s="2126"/>
      <c r="R40" s="2125"/>
      <c r="S40" s="2125"/>
      <c r="T40" s="2125"/>
      <c r="U40" s="2126"/>
      <c r="V40" s="2127"/>
      <c r="W40" s="2126"/>
      <c r="X40" s="2126"/>
      <c r="Y40" s="2126"/>
      <c r="Z40" s="2126"/>
      <c r="AA40" s="2125"/>
      <c r="AB40" s="890"/>
      <c r="AM40" s="399"/>
      <c r="AN40" s="400"/>
    </row>
    <row r="41" spans="1:40" ht="22.5" customHeight="1">
      <c r="A41" s="1191"/>
      <c r="B41" s="402"/>
      <c r="C41" s="2126"/>
      <c r="D41" s="2126"/>
      <c r="E41" s="2127"/>
      <c r="F41" s="2126"/>
      <c r="G41" s="2126"/>
      <c r="H41" s="2126"/>
      <c r="I41" s="2126"/>
      <c r="J41" s="2126"/>
      <c r="K41" s="2126"/>
      <c r="L41" s="2126"/>
      <c r="M41" s="2126"/>
      <c r="N41" s="2126"/>
      <c r="O41" s="2127"/>
      <c r="P41" s="2126"/>
      <c r="Q41" s="2126"/>
      <c r="R41" s="2125"/>
      <c r="S41" s="2125"/>
      <c r="T41" s="2125"/>
      <c r="U41" s="2126"/>
      <c r="V41" s="2127"/>
      <c r="W41" s="2126"/>
      <c r="X41" s="2126"/>
      <c r="Y41" s="2126"/>
      <c r="Z41" s="2126"/>
      <c r="AA41" s="2125"/>
      <c r="AB41" s="890"/>
      <c r="AM41" s="399"/>
      <c r="AN41" s="400"/>
    </row>
    <row r="42" spans="1:40" ht="22.5" customHeight="1">
      <c r="A42" s="1191"/>
      <c r="B42" s="402"/>
      <c r="C42" s="2126"/>
      <c r="D42" s="2126"/>
      <c r="E42" s="2127"/>
      <c r="F42" s="2126"/>
      <c r="G42" s="2126"/>
      <c r="H42" s="2126"/>
      <c r="I42" s="2126"/>
      <c r="J42" s="2126"/>
      <c r="K42" s="2126"/>
      <c r="L42" s="2126"/>
      <c r="M42" s="2126"/>
      <c r="N42" s="2126"/>
      <c r="O42" s="2127"/>
      <c r="P42" s="2126"/>
      <c r="Q42" s="2126"/>
      <c r="R42" s="2125"/>
      <c r="S42" s="2125"/>
      <c r="T42" s="2125"/>
      <c r="U42" s="2126"/>
      <c r="V42" s="2127"/>
      <c r="W42" s="2126"/>
      <c r="X42" s="2126"/>
      <c r="Y42" s="2126"/>
      <c r="Z42" s="2126"/>
      <c r="AA42" s="2125"/>
      <c r="AB42" s="890"/>
      <c r="AM42" s="399"/>
      <c r="AN42" s="400"/>
    </row>
    <row r="43" spans="1:40" ht="22.5" customHeight="1">
      <c r="A43" s="1191"/>
      <c r="B43" s="402"/>
      <c r="C43" s="2126"/>
      <c r="D43" s="2126"/>
      <c r="E43" s="2127"/>
      <c r="F43" s="2126"/>
      <c r="G43" s="2126"/>
      <c r="H43" s="2126"/>
      <c r="I43" s="2126"/>
      <c r="J43" s="2126"/>
      <c r="K43" s="2126"/>
      <c r="L43" s="2126"/>
      <c r="M43" s="2126"/>
      <c r="N43" s="2126"/>
      <c r="O43" s="2127"/>
      <c r="P43" s="2126"/>
      <c r="Q43" s="2126"/>
      <c r="R43" s="2125"/>
      <c r="S43" s="2125"/>
      <c r="T43" s="2125"/>
      <c r="U43" s="2126"/>
      <c r="V43" s="2127"/>
      <c r="W43" s="2126"/>
      <c r="X43" s="2126"/>
      <c r="Y43" s="2126"/>
      <c r="Z43" s="2126"/>
      <c r="AA43" s="2125"/>
      <c r="AB43" s="890"/>
      <c r="AM43" s="399"/>
      <c r="AN43" s="400"/>
    </row>
    <row r="44" spans="1:40" ht="22.5" customHeight="1">
      <c r="A44" s="1191"/>
      <c r="B44" s="402"/>
      <c r="C44" s="2126"/>
      <c r="D44" s="2126"/>
      <c r="E44" s="2127"/>
      <c r="F44" s="2126"/>
      <c r="G44" s="2126"/>
      <c r="H44" s="2126"/>
      <c r="I44" s="2126"/>
      <c r="J44" s="2126"/>
      <c r="K44" s="2126"/>
      <c r="L44" s="2126"/>
      <c r="M44" s="2126"/>
      <c r="N44" s="2126"/>
      <c r="O44" s="2127"/>
      <c r="P44" s="2126"/>
      <c r="Q44" s="2126"/>
      <c r="R44" s="2125"/>
      <c r="S44" s="2125"/>
      <c r="T44" s="2125"/>
      <c r="U44" s="2126"/>
      <c r="V44" s="2127"/>
      <c r="W44" s="2126"/>
      <c r="X44" s="2126"/>
      <c r="Y44" s="2126"/>
      <c r="Z44" s="2126"/>
      <c r="AA44" s="2125"/>
      <c r="AB44" s="890"/>
      <c r="AM44" s="399"/>
      <c r="AN44" s="400"/>
    </row>
    <row r="45" spans="1:40" ht="22.5" customHeight="1">
      <c r="A45" s="1191"/>
      <c r="B45" s="402"/>
      <c r="C45" s="2126"/>
      <c r="D45" s="2126"/>
      <c r="E45" s="2127"/>
      <c r="F45" s="2126"/>
      <c r="G45" s="2126"/>
      <c r="H45" s="2126"/>
      <c r="I45" s="2126"/>
      <c r="J45" s="2126"/>
      <c r="K45" s="2126"/>
      <c r="L45" s="2126"/>
      <c r="M45" s="2126"/>
      <c r="N45" s="2126"/>
      <c r="O45" s="2127"/>
      <c r="P45" s="2126"/>
      <c r="Q45" s="2126"/>
      <c r="R45" s="2125"/>
      <c r="S45" s="2125"/>
      <c r="T45" s="2125"/>
      <c r="U45" s="2126"/>
      <c r="V45" s="2127"/>
      <c r="W45" s="2126"/>
      <c r="X45" s="2126"/>
      <c r="Y45" s="2126"/>
      <c r="Z45" s="2126"/>
      <c r="AA45" s="2125"/>
      <c r="AB45" s="890"/>
      <c r="AM45" s="399"/>
      <c r="AN45" s="400"/>
    </row>
    <row r="46" spans="1:40" ht="12.75">
      <c r="A46" s="1191"/>
      <c r="B46" s="403"/>
      <c r="C46" s="2125"/>
      <c r="D46" s="2130"/>
      <c r="E46" s="2127"/>
      <c r="F46" s="2126">
        <f>D46*E46</f>
        <v>0</v>
      </c>
      <c r="G46" s="2126"/>
      <c r="H46" s="2126"/>
      <c r="I46" s="2126"/>
      <c r="J46" s="2126"/>
      <c r="K46" s="2126"/>
      <c r="L46" s="2126"/>
      <c r="M46" s="2126"/>
      <c r="N46" s="2126"/>
      <c r="O46" s="2127"/>
      <c r="P46" s="2126">
        <f>O46*D46</f>
        <v>0</v>
      </c>
      <c r="Q46" s="2126"/>
      <c r="R46" s="2125"/>
      <c r="S46" s="2125">
        <f>+P46-R46</f>
        <v>0</v>
      </c>
      <c r="T46" s="2125">
        <f t="shared" ref="T46:T53" si="1">W46-L46</f>
        <v>0</v>
      </c>
      <c r="U46" s="2130"/>
      <c r="V46" s="2127"/>
      <c r="W46" s="2126">
        <f>U46*V46</f>
        <v>0</v>
      </c>
      <c r="X46" s="2126"/>
      <c r="Y46" s="2126"/>
      <c r="Z46" s="2126">
        <v>0</v>
      </c>
      <c r="AA46" s="2125"/>
      <c r="AB46" s="890"/>
      <c r="AM46" s="399">
        <v>0</v>
      </c>
      <c r="AN46" s="400"/>
    </row>
    <row r="47" spans="1:40" ht="12.75">
      <c r="A47" s="1181"/>
      <c r="B47" s="404"/>
      <c r="C47" s="2125"/>
      <c r="D47" s="2130"/>
      <c r="E47" s="2127"/>
      <c r="F47" s="2126">
        <f>D47*E47</f>
        <v>0</v>
      </c>
      <c r="G47" s="2130"/>
      <c r="H47" s="2130"/>
      <c r="I47" s="2130"/>
      <c r="J47" s="2130"/>
      <c r="K47" s="2130"/>
      <c r="L47" s="2126"/>
      <c r="M47" s="2130"/>
      <c r="N47" s="2130"/>
      <c r="O47" s="2127"/>
      <c r="P47" s="2126">
        <f>O47*D47</f>
        <v>0</v>
      </c>
      <c r="Q47" s="2130"/>
      <c r="R47" s="2130">
        <f>Q47*D47</f>
        <v>0</v>
      </c>
      <c r="S47" s="2125">
        <f>+P47-R47</f>
        <v>0</v>
      </c>
      <c r="T47" s="2125">
        <f t="shared" si="1"/>
        <v>0</v>
      </c>
      <c r="U47" s="2130"/>
      <c r="V47" s="2127"/>
      <c r="W47" s="2126">
        <f>U47*V47</f>
        <v>0</v>
      </c>
      <c r="X47" s="2126"/>
      <c r="Y47" s="2130"/>
      <c r="Z47" s="2126">
        <v>0</v>
      </c>
      <c r="AA47" s="2130">
        <v>0</v>
      </c>
      <c r="AB47" s="890"/>
      <c r="AM47" s="399">
        <v>0</v>
      </c>
      <c r="AN47" s="405"/>
    </row>
    <row r="48" spans="1:40">
      <c r="A48" s="1183"/>
      <c r="B48" s="1182"/>
      <c r="C48" s="2130"/>
      <c r="D48" s="2130"/>
      <c r="E48" s="2127"/>
      <c r="F48" s="2130"/>
      <c r="G48" s="2130"/>
      <c r="H48" s="2130"/>
      <c r="I48" s="2130"/>
      <c r="J48" s="2130"/>
      <c r="K48" s="2130"/>
      <c r="L48" s="2130"/>
      <c r="M48" s="2130"/>
      <c r="N48" s="2130"/>
      <c r="O48" s="2130"/>
      <c r="P48" s="2130"/>
      <c r="Q48" s="2130"/>
      <c r="R48" s="2130"/>
      <c r="S48" s="2125">
        <f>+P48-R48</f>
        <v>0</v>
      </c>
      <c r="T48" s="2125">
        <f t="shared" si="1"/>
        <v>0</v>
      </c>
      <c r="U48" s="2130"/>
      <c r="V48" s="2127"/>
      <c r="W48" s="2130"/>
      <c r="X48" s="2130"/>
      <c r="Y48" s="2130"/>
      <c r="Z48" s="2130"/>
      <c r="AA48" s="2130"/>
      <c r="AB48" s="890"/>
      <c r="AM48" s="405"/>
      <c r="AN48" s="405"/>
    </row>
    <row r="49" spans="1:40">
      <c r="A49" s="1181"/>
      <c r="B49" s="1192"/>
      <c r="C49" s="2130"/>
      <c r="D49" s="2130"/>
      <c r="E49" s="2127"/>
      <c r="F49" s="2130"/>
      <c r="G49" s="2130"/>
      <c r="H49" s="2130"/>
      <c r="I49" s="2130"/>
      <c r="J49" s="2130"/>
      <c r="K49" s="2130"/>
      <c r="L49" s="2130"/>
      <c r="M49" s="2130"/>
      <c r="N49" s="2130"/>
      <c r="O49" s="2130"/>
      <c r="P49" s="2130"/>
      <c r="Q49" s="2130"/>
      <c r="R49" s="2130"/>
      <c r="S49" s="2130"/>
      <c r="T49" s="2125">
        <f t="shared" si="1"/>
        <v>0</v>
      </c>
      <c r="U49" s="2130"/>
      <c r="V49" s="2127"/>
      <c r="W49" s="2130"/>
      <c r="X49" s="2130"/>
      <c r="Y49" s="2130"/>
      <c r="Z49" s="2130"/>
      <c r="AA49" s="2130"/>
      <c r="AB49" s="890"/>
      <c r="AM49" s="405"/>
      <c r="AN49" s="405"/>
    </row>
    <row r="50" spans="1:40">
      <c r="A50" s="1183"/>
      <c r="B50" s="1192"/>
      <c r="C50" s="2130"/>
      <c r="D50" s="2130"/>
      <c r="E50" s="2127"/>
      <c r="F50" s="2130"/>
      <c r="G50" s="2130"/>
      <c r="H50" s="2130"/>
      <c r="I50" s="2130"/>
      <c r="J50" s="2130"/>
      <c r="K50" s="2130"/>
      <c r="L50" s="2130"/>
      <c r="M50" s="2130"/>
      <c r="N50" s="2130"/>
      <c r="O50" s="2130"/>
      <c r="P50" s="2130"/>
      <c r="Q50" s="2130"/>
      <c r="R50" s="2130"/>
      <c r="S50" s="2130"/>
      <c r="T50" s="2125">
        <f t="shared" si="1"/>
        <v>0</v>
      </c>
      <c r="U50" s="2130"/>
      <c r="V50" s="2127"/>
      <c r="W50" s="2130"/>
      <c r="X50" s="2130"/>
      <c r="Y50" s="2130"/>
      <c r="Z50" s="2130"/>
      <c r="AA50" s="2130"/>
      <c r="AB50" s="890"/>
      <c r="AM50" s="405"/>
      <c r="AN50" s="405"/>
    </row>
    <row r="51" spans="1:40">
      <c r="A51" s="1181"/>
      <c r="B51" s="1182"/>
      <c r="C51" s="2130"/>
      <c r="D51" s="2130"/>
      <c r="E51" s="2130"/>
      <c r="F51" s="2130"/>
      <c r="G51" s="2130"/>
      <c r="H51" s="2130"/>
      <c r="I51" s="2130"/>
      <c r="J51" s="2130"/>
      <c r="K51" s="2130"/>
      <c r="L51" s="2130"/>
      <c r="M51" s="2130"/>
      <c r="N51" s="2130"/>
      <c r="O51" s="2130"/>
      <c r="P51" s="2130"/>
      <c r="Q51" s="2130"/>
      <c r="R51" s="2130"/>
      <c r="S51" s="2130"/>
      <c r="T51" s="2125">
        <f t="shared" si="1"/>
        <v>0</v>
      </c>
      <c r="U51" s="2130"/>
      <c r="V51" s="2130"/>
      <c r="W51" s="2130"/>
      <c r="X51" s="2130"/>
      <c r="Y51" s="2130"/>
      <c r="Z51" s="2130"/>
      <c r="AA51" s="2130"/>
      <c r="AB51" s="890"/>
      <c r="AM51" s="405"/>
      <c r="AN51" s="405"/>
    </row>
    <row r="52" spans="1:40">
      <c r="A52" s="1181"/>
      <c r="B52" s="1182"/>
      <c r="C52" s="2130"/>
      <c r="D52" s="2130"/>
      <c r="E52" s="2127"/>
      <c r="F52" s="2130"/>
      <c r="G52" s="2130"/>
      <c r="H52" s="2130"/>
      <c r="I52" s="2130"/>
      <c r="J52" s="2130"/>
      <c r="K52" s="2130"/>
      <c r="L52" s="2130"/>
      <c r="M52" s="2130"/>
      <c r="N52" s="2130"/>
      <c r="O52" s="2130"/>
      <c r="P52" s="2130"/>
      <c r="Q52" s="2130"/>
      <c r="R52" s="2130"/>
      <c r="S52" s="2130"/>
      <c r="T52" s="2125">
        <f t="shared" si="1"/>
        <v>0</v>
      </c>
      <c r="U52" s="2130"/>
      <c r="V52" s="2127"/>
      <c r="W52" s="2130"/>
      <c r="X52" s="2130"/>
      <c r="Y52" s="2130"/>
      <c r="Z52" s="2130"/>
      <c r="AA52" s="2130"/>
      <c r="AB52" s="890"/>
      <c r="AM52" s="405"/>
      <c r="AN52" s="405"/>
    </row>
    <row r="53" spans="1:40" ht="12.75">
      <c r="A53" s="1181"/>
      <c r="B53" s="1192"/>
      <c r="C53" s="2130"/>
      <c r="D53" s="2126"/>
      <c r="E53" s="2127"/>
      <c r="F53" s="2130"/>
      <c r="G53" s="2126"/>
      <c r="H53" s="2126"/>
      <c r="I53" s="2126"/>
      <c r="J53" s="2126"/>
      <c r="K53" s="2126"/>
      <c r="L53" s="2126"/>
      <c r="M53" s="2126"/>
      <c r="N53" s="2126"/>
      <c r="O53" s="2126"/>
      <c r="P53" s="2130"/>
      <c r="Q53" s="2126"/>
      <c r="R53" s="2130"/>
      <c r="S53" s="2130"/>
      <c r="T53" s="2125">
        <f t="shared" si="1"/>
        <v>0</v>
      </c>
      <c r="U53" s="2126"/>
      <c r="V53" s="2127"/>
      <c r="W53" s="2130"/>
      <c r="X53" s="2126"/>
      <c r="Y53" s="2126"/>
      <c r="Z53" s="2130"/>
      <c r="AA53" s="2130"/>
      <c r="AB53" s="890"/>
      <c r="AM53" s="406"/>
      <c r="AN53" s="406"/>
    </row>
    <row r="54" spans="1:40" ht="12.75">
      <c r="A54" s="1181"/>
      <c r="B54" s="1192"/>
      <c r="C54" s="2130"/>
      <c r="D54" s="2126"/>
      <c r="E54" s="2127"/>
      <c r="F54" s="2130"/>
      <c r="G54" s="2126"/>
      <c r="H54" s="2126"/>
      <c r="I54" s="2126"/>
      <c r="J54" s="2126"/>
      <c r="K54" s="2126"/>
      <c r="L54" s="2126"/>
      <c r="M54" s="2126"/>
      <c r="N54" s="2126"/>
      <c r="O54" s="2126"/>
      <c r="P54" s="2130"/>
      <c r="Q54" s="2126"/>
      <c r="R54" s="2130"/>
      <c r="S54" s="2130"/>
      <c r="T54" s="2125"/>
      <c r="U54" s="2126"/>
      <c r="V54" s="2127"/>
      <c r="W54" s="2130"/>
      <c r="X54" s="2126"/>
      <c r="Y54" s="2126"/>
      <c r="Z54" s="2130"/>
      <c r="AA54" s="2130"/>
      <c r="AB54" s="890"/>
      <c r="AM54" s="406"/>
      <c r="AN54" s="406"/>
    </row>
    <row r="55" spans="1:40" ht="12.75">
      <c r="A55" s="1183"/>
      <c r="B55" s="1184"/>
      <c r="C55" s="2130"/>
      <c r="D55" s="2126"/>
      <c r="E55" s="2126"/>
      <c r="F55" s="2130"/>
      <c r="G55" s="2126"/>
      <c r="H55" s="2126"/>
      <c r="I55" s="2126"/>
      <c r="J55" s="2126"/>
      <c r="K55" s="2126"/>
      <c r="L55" s="2126"/>
      <c r="M55" s="2126"/>
      <c r="N55" s="2126"/>
      <c r="O55" s="2126"/>
      <c r="P55" s="2130"/>
      <c r="Q55" s="2126"/>
      <c r="R55" s="2130"/>
      <c r="S55" s="2130"/>
      <c r="T55" s="2125">
        <f>W55-L55</f>
        <v>0</v>
      </c>
      <c r="U55" s="2126"/>
      <c r="V55" s="2126"/>
      <c r="W55" s="2130"/>
      <c r="X55" s="2126"/>
      <c r="Y55" s="2126"/>
      <c r="Z55" s="2130"/>
      <c r="AA55" s="2130"/>
      <c r="AB55" s="890"/>
      <c r="AM55" s="406"/>
      <c r="AN55" s="406"/>
    </row>
    <row r="56" spans="1:40" ht="12.75">
      <c r="A56" s="407"/>
      <c r="B56" s="408"/>
      <c r="C56" s="2130"/>
      <c r="D56" s="2126"/>
      <c r="E56" s="2126"/>
      <c r="F56" s="2130"/>
      <c r="G56" s="2126"/>
      <c r="H56" s="2126"/>
      <c r="I56" s="2126"/>
      <c r="J56" s="2126"/>
      <c r="K56" s="2126"/>
      <c r="L56" s="2126">
        <f>I56-J56+K56</f>
        <v>0</v>
      </c>
      <c r="M56" s="2126"/>
      <c r="N56" s="2126"/>
      <c r="O56" s="2126"/>
      <c r="P56" s="2126">
        <f>O56*D56</f>
        <v>0</v>
      </c>
      <c r="Q56" s="2126"/>
      <c r="R56" s="2125">
        <f>Q56*D56</f>
        <v>0</v>
      </c>
      <c r="S56" s="2125"/>
      <c r="T56" s="2125">
        <f>W56-L56</f>
        <v>0</v>
      </c>
      <c r="U56" s="2126"/>
      <c r="V56" s="2126"/>
      <c r="W56" s="2130"/>
      <c r="X56" s="2126">
        <v>0</v>
      </c>
      <c r="Y56" s="2126"/>
      <c r="Z56" s="2126">
        <v>0</v>
      </c>
      <c r="AA56" s="2125">
        <v>0</v>
      </c>
      <c r="AB56" s="890"/>
      <c r="AM56" s="400">
        <v>0</v>
      </c>
      <c r="AN56" s="400"/>
    </row>
    <row r="57" spans="1:40" ht="12.75">
      <c r="A57" s="409"/>
      <c r="B57" s="410" t="s">
        <v>17</v>
      </c>
      <c r="C57" s="892">
        <f t="shared" ref="C57:AB57" si="2">SUM(C15:C56)</f>
        <v>3000000</v>
      </c>
      <c r="D57" s="892">
        <f t="shared" si="2"/>
        <v>3000000</v>
      </c>
      <c r="E57" s="892">
        <f t="shared" si="2"/>
        <v>3</v>
      </c>
      <c r="F57" s="892">
        <f t="shared" si="2"/>
        <v>3000000</v>
      </c>
      <c r="G57" s="892">
        <f t="shared" si="2"/>
        <v>321695.82</v>
      </c>
      <c r="H57" s="892">
        <f t="shared" si="2"/>
        <v>0</v>
      </c>
      <c r="I57" s="892">
        <f t="shared" si="2"/>
        <v>2482759</v>
      </c>
      <c r="J57" s="892">
        <f t="shared" si="2"/>
        <v>289655.2</v>
      </c>
      <c r="K57" s="892">
        <f t="shared" si="2"/>
        <v>0</v>
      </c>
      <c r="L57" s="892">
        <f t="shared" si="2"/>
        <v>2193103.7999999998</v>
      </c>
      <c r="M57" s="892">
        <f t="shared" si="2"/>
        <v>0</v>
      </c>
      <c r="N57" s="892">
        <f t="shared" si="2"/>
        <v>321695.82</v>
      </c>
      <c r="O57" s="892">
        <f t="shared" si="2"/>
        <v>0.99999977766671855</v>
      </c>
      <c r="P57" s="892">
        <f t="shared" si="2"/>
        <v>1034482.77</v>
      </c>
      <c r="Q57" s="892">
        <f t="shared" si="2"/>
        <v>1</v>
      </c>
      <c r="R57" s="892">
        <f t="shared" si="2"/>
        <v>1034482.77</v>
      </c>
      <c r="S57" s="892">
        <f t="shared" si="2"/>
        <v>0</v>
      </c>
      <c r="T57" s="893">
        <f>W57-L57</f>
        <v>806896.20000000019</v>
      </c>
      <c r="U57" s="892">
        <f t="shared" si="2"/>
        <v>3000000</v>
      </c>
      <c r="V57" s="892">
        <f t="shared" si="2"/>
        <v>3</v>
      </c>
      <c r="W57" s="892">
        <f t="shared" si="2"/>
        <v>3000000</v>
      </c>
      <c r="X57" s="892">
        <f t="shared" si="2"/>
        <v>2193103.7999999998</v>
      </c>
      <c r="Y57" s="892">
        <f t="shared" si="2"/>
        <v>321695.82</v>
      </c>
      <c r="Z57" s="892">
        <f t="shared" si="2"/>
        <v>1034482.77</v>
      </c>
      <c r="AA57" s="892">
        <f t="shared" si="2"/>
        <v>0</v>
      </c>
      <c r="AB57" s="892">
        <f t="shared" si="2"/>
        <v>3000000</v>
      </c>
      <c r="AM57" s="411">
        <f>SUM(AM14:AM56)</f>
        <v>298000</v>
      </c>
      <c r="AN57" s="411">
        <f>SUM(AN14:AN56)</f>
        <v>0</v>
      </c>
    </row>
    <row r="58" spans="1:40" ht="12.75">
      <c r="A58" s="1193"/>
      <c r="B58" s="1194"/>
      <c r="C58" s="2131"/>
      <c r="D58" s="2131"/>
      <c r="E58" s="2131"/>
      <c r="F58" s="2132"/>
      <c r="G58" s="2132"/>
      <c r="H58" s="2132"/>
      <c r="I58" s="2132"/>
      <c r="J58" s="2132"/>
      <c r="K58" s="2132"/>
      <c r="L58" s="2132"/>
      <c r="M58" s="2132"/>
      <c r="N58" s="2132"/>
      <c r="O58" s="2131"/>
      <c r="P58" s="2132"/>
      <c r="Q58" s="2131"/>
      <c r="R58" s="2131"/>
      <c r="S58" s="2133"/>
      <c r="T58" s="2133"/>
      <c r="U58" s="2131"/>
      <c r="V58" s="2131"/>
      <c r="W58" s="2132"/>
      <c r="X58" s="1195"/>
      <c r="Y58" s="1195"/>
      <c r="Z58" s="1195"/>
      <c r="AA58" s="1195"/>
      <c r="AB58" s="2133"/>
    </row>
    <row r="59" spans="1:40" ht="12.75">
      <c r="A59" s="1193"/>
      <c r="B59" s="1194"/>
      <c r="C59" s="2131"/>
      <c r="D59" s="2131"/>
      <c r="E59" s="2131"/>
      <c r="F59" s="2132"/>
      <c r="G59" s="2132"/>
      <c r="H59" s="2132"/>
      <c r="I59" s="2132"/>
      <c r="J59" s="2132"/>
      <c r="K59" s="2132"/>
      <c r="L59" s="2132"/>
      <c r="M59" s="2132"/>
      <c r="N59" s="2132"/>
      <c r="O59" s="2131"/>
      <c r="P59" s="2132"/>
      <c r="Q59" s="2131"/>
      <c r="R59" s="2131"/>
      <c r="S59" s="2133"/>
      <c r="T59" s="2133"/>
      <c r="U59" s="2131"/>
      <c r="V59" s="2131"/>
      <c r="W59" s="2132"/>
      <c r="X59" s="1195"/>
      <c r="Y59" s="1195"/>
      <c r="Z59" s="1195"/>
      <c r="AA59" s="1195"/>
      <c r="AB59" s="2133"/>
    </row>
    <row r="60" spans="1:40" ht="12.75">
      <c r="A60" s="1190"/>
      <c r="B60" s="1196"/>
      <c r="C60" s="2131"/>
      <c r="D60" s="2131"/>
      <c r="E60" s="2131"/>
      <c r="F60" s="2132"/>
      <c r="G60" s="2131"/>
      <c r="H60" s="2131"/>
      <c r="I60" s="2131"/>
      <c r="J60" s="2131"/>
      <c r="K60" s="2131"/>
      <c r="L60" s="2131"/>
      <c r="M60" s="2131"/>
      <c r="N60" s="2131"/>
      <c r="O60" s="2131"/>
      <c r="P60" s="2131"/>
      <c r="Q60" s="2133"/>
      <c r="R60" s="2131"/>
      <c r="S60" s="2133"/>
      <c r="T60" s="2133"/>
      <c r="U60" s="2131"/>
      <c r="V60" s="2131"/>
      <c r="W60" s="2132"/>
      <c r="X60" s="1195"/>
      <c r="Y60" s="1195"/>
      <c r="Z60" s="1195"/>
      <c r="AA60" s="1195"/>
      <c r="AB60" s="2133"/>
    </row>
    <row r="61" spans="1:40" ht="12.75">
      <c r="A61" s="1190"/>
      <c r="B61" s="1196"/>
      <c r="C61" s="2131"/>
      <c r="D61" s="2131"/>
      <c r="E61" s="2131"/>
      <c r="F61" s="2132"/>
      <c r="G61" s="2131"/>
      <c r="H61" s="2131"/>
      <c r="I61" s="2131"/>
      <c r="J61" s="2131"/>
      <c r="K61" s="2131"/>
      <c r="L61" s="2131"/>
      <c r="M61" s="2131"/>
      <c r="N61" s="2131"/>
      <c r="O61" s="2131"/>
      <c r="P61" s="2131"/>
      <c r="Q61" s="2133"/>
      <c r="R61" s="2131"/>
      <c r="S61" s="2133"/>
      <c r="T61" s="2133"/>
      <c r="U61" s="2131"/>
      <c r="V61" s="2131"/>
      <c r="W61" s="2132"/>
      <c r="X61" s="1195"/>
      <c r="Y61" s="1195"/>
      <c r="Z61" s="1195"/>
      <c r="AA61" s="1195"/>
      <c r="AB61" s="2133"/>
    </row>
    <row r="62" spans="1:40" ht="12.75">
      <c r="A62" s="1190"/>
      <c r="B62" s="1196"/>
      <c r="C62" s="2131"/>
      <c r="D62" s="2131"/>
      <c r="E62" s="2131"/>
      <c r="F62" s="2131"/>
      <c r="G62" s="2131"/>
      <c r="H62" s="2131"/>
      <c r="I62" s="2131"/>
      <c r="J62" s="2131"/>
      <c r="K62" s="2131"/>
      <c r="L62" s="2131"/>
      <c r="M62" s="2131"/>
      <c r="N62" s="2131"/>
      <c r="O62" s="2131"/>
      <c r="P62" s="2131"/>
      <c r="Q62" s="2133"/>
      <c r="R62" s="2131"/>
      <c r="S62" s="2133"/>
      <c r="T62" s="2133"/>
      <c r="U62" s="2131"/>
      <c r="V62" s="2131"/>
      <c r="W62" s="2131"/>
      <c r="X62" s="1195"/>
      <c r="Y62" s="1195"/>
      <c r="Z62" s="1195"/>
      <c r="AA62" s="1195"/>
      <c r="AB62" s="2133"/>
    </row>
    <row r="63" spans="1:40">
      <c r="A63" s="412" t="s">
        <v>59</v>
      </c>
      <c r="F63" s="2134"/>
      <c r="W63" s="2134"/>
      <c r="AB63" s="2084"/>
    </row>
    <row r="64" spans="1:40">
      <c r="AB64" s="2084"/>
    </row>
    <row r="65" spans="28:28">
      <c r="AB65" s="2084"/>
    </row>
    <row r="66" spans="28:28">
      <c r="AB66" s="2084"/>
    </row>
    <row r="67" spans="28:28">
      <c r="AB67" s="2084"/>
    </row>
    <row r="68" spans="28:28">
      <c r="AB68" s="2084"/>
    </row>
    <row r="69" spans="28:28">
      <c r="AB69" s="2084"/>
    </row>
    <row r="70" spans="28:28">
      <c r="AB70" s="2084"/>
    </row>
    <row r="71" spans="28:28">
      <c r="AB71" s="2084"/>
    </row>
  </sheetData>
  <mergeCells count="11">
    <mergeCell ref="AN8:AN12"/>
    <mergeCell ref="X8:X12"/>
    <mergeCell ref="Y8:Y12"/>
    <mergeCell ref="Z8:Z12"/>
    <mergeCell ref="AA8:AA12"/>
    <mergeCell ref="AM8:AM12"/>
    <mergeCell ref="E1:F1"/>
    <mergeCell ref="B2:G2"/>
    <mergeCell ref="I5:N5"/>
    <mergeCell ref="O5:T5"/>
    <mergeCell ref="AB8:AB12"/>
  </mergeCells>
  <phoneticPr fontId="0" type="noConversion"/>
  <conditionalFormatting sqref="X8:AA12 AM8:AN12">
    <cfRule type="cellIs" dxfId="22" priority="1" stopIfTrue="1" operator="equal">
      <formula>0</formula>
    </cfRule>
  </conditionalFormatting>
  <pageMargins left="0.27" right="0.19" top="0.984251969" bottom="0.984251969" header="0.4921259845" footer="0.4921259845"/>
  <pageSetup paperSize="9" scale="40" orientation="landscape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1"/>
  <dimension ref="A1:AH64"/>
  <sheetViews>
    <sheetView showGridLines="0" showZeros="0" topLeftCell="L1" zoomScaleNormal="100" workbookViewId="0">
      <selection activeCell="Z20" sqref="Z20:Z24"/>
    </sheetView>
  </sheetViews>
  <sheetFormatPr baseColWidth="10" defaultColWidth="14.25" defaultRowHeight="12.75"/>
  <cols>
    <col min="1" max="1" width="10.25" style="194" customWidth="1"/>
    <col min="2" max="2" width="35.375" style="447" customWidth="1"/>
    <col min="3" max="3" width="14.375" style="1797" bestFit="1" customWidth="1"/>
    <col min="4" max="4" width="10.625" style="1797" bestFit="1" customWidth="1"/>
    <col min="5" max="5" width="5.375" style="2078" bestFit="1" customWidth="1"/>
    <col min="6" max="6" width="10.625" style="2078" bestFit="1" customWidth="1"/>
    <col min="7" max="9" width="10.25" style="1797" customWidth="1"/>
    <col min="10" max="10" width="12" style="1797" customWidth="1"/>
    <col min="11" max="11" width="10.25" style="1797" customWidth="1"/>
    <col min="12" max="12" width="9" style="1797" customWidth="1"/>
    <col min="13" max="13" width="9.75" style="1797" customWidth="1"/>
    <col min="14" max="14" width="8.75" style="1797" customWidth="1"/>
    <col min="15" max="15" width="6.5" style="1797" customWidth="1"/>
    <col min="16" max="16" width="14.25" style="1797"/>
    <col min="17" max="17" width="5.875" style="428" customWidth="1"/>
    <col min="18" max="18" width="14.25" style="428"/>
    <col min="19" max="19" width="13.625" style="428" customWidth="1"/>
    <col min="20" max="28" width="10.875" style="428" customWidth="1"/>
    <col min="29" max="30" width="14.25" style="428"/>
    <col min="31" max="34" width="14.25" style="429"/>
    <col min="35" max="16384" width="14.25" style="414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>
      <c r="A2" s="1197" t="s">
        <v>49</v>
      </c>
      <c r="B2" s="2443" t="s">
        <v>715</v>
      </c>
      <c r="C2" s="2443"/>
      <c r="D2" s="2443"/>
      <c r="E2" s="2443"/>
      <c r="F2" s="2443"/>
      <c r="G2" s="2443"/>
      <c r="H2" s="2443"/>
      <c r="I2" s="2443"/>
      <c r="J2" s="2443"/>
      <c r="K2" s="2443"/>
      <c r="L2" s="2443"/>
      <c r="Q2" s="1797"/>
      <c r="R2" s="1797"/>
    </row>
    <row r="3" spans="1:34">
      <c r="A3" s="415" t="s">
        <v>60</v>
      </c>
      <c r="B3" s="416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1796"/>
      <c r="I3" s="1796"/>
      <c r="J3" s="1796"/>
      <c r="K3" s="1796"/>
      <c r="L3" s="1796"/>
      <c r="M3" s="1798"/>
      <c r="N3" s="1798"/>
      <c r="O3" s="1798"/>
      <c r="P3" s="1798"/>
      <c r="Q3" s="1798"/>
      <c r="R3" s="1798"/>
      <c r="S3" s="1799"/>
      <c r="T3" s="1799"/>
      <c r="U3" s="1799"/>
      <c r="V3" s="1799"/>
      <c r="W3" s="1799"/>
      <c r="X3" s="1799"/>
      <c r="Y3" s="1799"/>
      <c r="Z3" s="1799"/>
      <c r="AA3" s="1799"/>
      <c r="AB3" s="1799"/>
    </row>
    <row r="4" spans="1:34" ht="14.25" customHeight="1">
      <c r="A4" s="1198" t="s">
        <v>61</v>
      </c>
      <c r="B4" s="417" t="s">
        <v>203</v>
      </c>
      <c r="C4" s="1947" t="s">
        <v>81</v>
      </c>
      <c r="D4" s="1796" t="s">
        <v>204</v>
      </c>
      <c r="E4" s="216"/>
      <c r="F4" s="217"/>
      <c r="G4" s="1801"/>
      <c r="H4" s="1801"/>
      <c r="I4" s="1801"/>
      <c r="J4" s="1801"/>
      <c r="K4" s="1801"/>
      <c r="L4" s="1801"/>
      <c r="M4" s="1800"/>
      <c r="N4" s="1800"/>
      <c r="O4" s="1798"/>
      <c r="P4" s="1800"/>
      <c r="Q4" s="1798"/>
      <c r="R4" s="1798"/>
      <c r="S4" s="1799"/>
      <c r="T4" s="1799"/>
      <c r="U4" s="1799"/>
      <c r="V4" s="1799"/>
      <c r="W4" s="1799"/>
      <c r="X4" s="1799"/>
      <c r="Y4" s="1799"/>
      <c r="Z4" s="1799"/>
      <c r="AA4" s="1799"/>
      <c r="AB4" s="1799"/>
    </row>
    <row r="5" spans="1:34">
      <c r="A5" s="1199" t="s">
        <v>62</v>
      </c>
      <c r="B5" s="418">
        <v>201001080</v>
      </c>
      <c r="C5" s="2052"/>
      <c r="D5" s="1796"/>
      <c r="E5" s="2053"/>
      <c r="F5" s="2054"/>
      <c r="G5" s="1801"/>
      <c r="H5" s="2041"/>
      <c r="I5" s="2041"/>
      <c r="J5" s="1801"/>
      <c r="K5" s="2055"/>
      <c r="L5" s="1801"/>
      <c r="M5" s="1800"/>
      <c r="N5" s="1800"/>
      <c r="O5" s="1798"/>
      <c r="P5" s="1800"/>
      <c r="Q5" s="1798"/>
      <c r="R5" s="1798"/>
      <c r="S5" s="1800"/>
      <c r="T5" s="1799"/>
      <c r="U5" s="1799"/>
      <c r="V5" s="1799"/>
      <c r="W5" s="1799"/>
      <c r="X5" s="1799"/>
      <c r="Y5" s="1799"/>
      <c r="Z5" s="1799"/>
      <c r="AA5" s="1799"/>
      <c r="AB5" s="1799"/>
    </row>
    <row r="6" spans="1:34">
      <c r="A6" s="1199" t="s">
        <v>51</v>
      </c>
      <c r="B6" s="416"/>
      <c r="C6" s="2056"/>
      <c r="D6" s="1796"/>
      <c r="E6" s="2057"/>
      <c r="F6" s="2058"/>
      <c r="G6" s="1801"/>
      <c r="H6" s="1802"/>
      <c r="I6" s="2059"/>
      <c r="J6" s="2060"/>
      <c r="K6" s="2061"/>
      <c r="L6" s="2061"/>
      <c r="M6" s="1799"/>
      <c r="N6" s="428"/>
      <c r="O6" s="428"/>
      <c r="P6" s="428"/>
      <c r="Q6" s="1799"/>
      <c r="R6" s="1798"/>
      <c r="S6" s="1799"/>
      <c r="T6" s="1799"/>
      <c r="U6" s="1799"/>
      <c r="V6" s="1799"/>
      <c r="W6" s="1799"/>
      <c r="X6" s="1799"/>
      <c r="Y6" s="1799"/>
      <c r="Z6" s="1799"/>
      <c r="AA6" s="1799"/>
      <c r="AB6" s="1799"/>
    </row>
    <row r="7" spans="1:34">
      <c r="A7" s="195"/>
      <c r="B7" s="419"/>
      <c r="C7" s="1798"/>
      <c r="D7" s="1798"/>
      <c r="E7" s="2062"/>
      <c r="F7" s="2063"/>
      <c r="G7" s="1800"/>
      <c r="H7" s="1806"/>
      <c r="I7" s="1803"/>
      <c r="J7" s="1804"/>
      <c r="K7" s="1805"/>
      <c r="L7" s="1805"/>
      <c r="M7" s="1799"/>
      <c r="N7" s="428"/>
      <c r="O7" s="428"/>
      <c r="P7" s="428"/>
      <c r="Q7" s="1799"/>
      <c r="R7" s="1798"/>
      <c r="S7" s="1799"/>
      <c r="T7" s="1799"/>
      <c r="U7" s="1799"/>
      <c r="V7" s="1799"/>
      <c r="W7" s="1799"/>
      <c r="X7" s="1799"/>
      <c r="Y7" s="1799"/>
      <c r="Z7" s="1799"/>
      <c r="AA7" s="1799"/>
      <c r="AB7" s="1799"/>
    </row>
    <row r="8" spans="1:34" s="197" customFormat="1" ht="16.5" customHeight="1">
      <c r="A8" s="1201" t="s">
        <v>0</v>
      </c>
      <c r="B8" s="1202" t="s">
        <v>1</v>
      </c>
      <c r="C8" s="1807" t="s">
        <v>2</v>
      </c>
      <c r="D8" s="2444" t="s">
        <v>3</v>
      </c>
      <c r="E8" s="2445"/>
      <c r="F8" s="2446"/>
      <c r="G8" s="1811" t="s">
        <v>4</v>
      </c>
      <c r="H8" s="1812"/>
      <c r="I8" s="1811" t="s">
        <v>5</v>
      </c>
      <c r="J8" s="1812"/>
      <c r="K8" s="1813" t="s">
        <v>6</v>
      </c>
      <c r="L8" s="1813"/>
      <c r="M8" s="1813"/>
      <c r="N8" s="1813"/>
      <c r="O8" s="1809" t="s">
        <v>7</v>
      </c>
      <c r="P8" s="1810"/>
      <c r="Q8" s="1809" t="s">
        <v>8</v>
      </c>
      <c r="R8" s="1810"/>
      <c r="S8" s="1814"/>
      <c r="T8" s="1815"/>
      <c r="U8" s="90" t="s">
        <v>82</v>
      </c>
      <c r="V8" s="91"/>
      <c r="W8" s="91"/>
      <c r="X8" s="2064"/>
      <c r="Y8" s="2064"/>
      <c r="Z8" s="2064"/>
      <c r="AA8" s="2064"/>
      <c r="AB8" s="2064"/>
      <c r="AC8" s="1816"/>
      <c r="AD8" s="1816"/>
      <c r="AE8" s="1817"/>
      <c r="AF8" s="1817"/>
      <c r="AG8" s="1817"/>
      <c r="AH8" s="1817"/>
    </row>
    <row r="9" spans="1:34" s="197" customFormat="1" ht="8.25" customHeight="1">
      <c r="A9" s="1203" t="s">
        <v>9</v>
      </c>
      <c r="B9" s="1204"/>
      <c r="C9" s="1818"/>
      <c r="D9" s="1819"/>
      <c r="E9" s="1820"/>
      <c r="F9" s="1821"/>
      <c r="G9" s="1822"/>
      <c r="H9" s="1823"/>
      <c r="I9" s="1822" t="s">
        <v>10</v>
      </c>
      <c r="J9" s="1822"/>
      <c r="K9" s="1824" t="s">
        <v>11</v>
      </c>
      <c r="L9" s="1824"/>
      <c r="M9" s="1824"/>
      <c r="N9" s="1824" t="s">
        <v>12</v>
      </c>
      <c r="O9" s="1820"/>
      <c r="P9" s="1821"/>
      <c r="Q9" s="1820"/>
      <c r="R9" s="1825"/>
      <c r="S9" s="1826" t="s">
        <v>13</v>
      </c>
      <c r="T9" s="1827" t="s">
        <v>14</v>
      </c>
      <c r="U9" s="1732"/>
      <c r="V9" s="1733"/>
      <c r="W9" s="1734"/>
      <c r="X9" s="2065" t="str">
        <f>"Production cumulée au 31/12/"&amp;(YEAR($E$1)-1)</f>
        <v>Production cumulée au 31/12/2014</v>
      </c>
      <c r="Y9" s="2065" t="str">
        <f>"sous traitance cumulée au 31/12/"&amp;(YEAR($E$1)-1)</f>
        <v>sous traitance cumulée au 31/12/2014</v>
      </c>
      <c r="Z9" s="2065" t="str">
        <f>"Facturation cumulée au 31/12/"&amp;(YEAR($E$1)-1)</f>
        <v>Facturation cumulée au 31/12/2014</v>
      </c>
      <c r="AA9" s="2065" t="str">
        <f>"Encaissement cumulé au 31/12/"&amp;(YEAR($E$1)-1)</f>
        <v>Encaissement cumulé au 31/12/2014</v>
      </c>
      <c r="AB9" s="2065" t="s">
        <v>64</v>
      </c>
      <c r="AC9" s="1816"/>
      <c r="AD9" s="1816"/>
      <c r="AE9" s="1817"/>
      <c r="AF9" s="1817"/>
      <c r="AG9" s="1817"/>
      <c r="AH9" s="1817"/>
    </row>
    <row r="10" spans="1:34" s="197" customFormat="1" ht="8.25" customHeight="1">
      <c r="A10" s="1205"/>
      <c r="B10" s="1204"/>
      <c r="C10" s="1818"/>
      <c r="D10" s="1828" t="s">
        <v>15</v>
      </c>
      <c r="E10" s="1828" t="s">
        <v>16</v>
      </c>
      <c r="F10" s="1813" t="s">
        <v>17</v>
      </c>
      <c r="G10" s="1822"/>
      <c r="H10" s="1823"/>
      <c r="I10" s="1822"/>
      <c r="J10" s="1822"/>
      <c r="K10" s="1829" t="s">
        <v>18</v>
      </c>
      <c r="L10" s="1829" t="s">
        <v>17</v>
      </c>
      <c r="M10" s="1829" t="s">
        <v>19</v>
      </c>
      <c r="N10" s="1829" t="s">
        <v>20</v>
      </c>
      <c r="O10" s="1828" t="s">
        <v>16</v>
      </c>
      <c r="P10" s="1813" t="s">
        <v>17</v>
      </c>
      <c r="Q10" s="1828" t="s">
        <v>16</v>
      </c>
      <c r="R10" s="1813" t="s">
        <v>17</v>
      </c>
      <c r="S10" s="1826" t="s">
        <v>21</v>
      </c>
      <c r="T10" s="1827" t="s">
        <v>22</v>
      </c>
      <c r="U10" s="1741" t="s">
        <v>15</v>
      </c>
      <c r="V10" s="1741" t="s">
        <v>16</v>
      </c>
      <c r="W10" s="1728" t="s">
        <v>17</v>
      </c>
      <c r="X10" s="2066"/>
      <c r="Y10" s="1740"/>
      <c r="Z10" s="2067"/>
      <c r="AA10" s="1740"/>
      <c r="AB10" s="1740"/>
      <c r="AC10" s="1816"/>
      <c r="AD10" s="1816"/>
      <c r="AE10" s="1817"/>
      <c r="AF10" s="1817"/>
      <c r="AG10" s="1817"/>
      <c r="AH10" s="1817"/>
    </row>
    <row r="11" spans="1:34" s="197" customFormat="1" ht="8.25" customHeight="1">
      <c r="A11" s="1205"/>
      <c r="B11" s="1204"/>
      <c r="C11" s="1818"/>
      <c r="D11" s="1826" t="s">
        <v>23</v>
      </c>
      <c r="E11" s="1826"/>
      <c r="F11" s="1824" t="s">
        <v>23</v>
      </c>
      <c r="G11" s="1813" t="s">
        <v>24</v>
      </c>
      <c r="H11" s="1813" t="s">
        <v>25</v>
      </c>
      <c r="I11" s="1813" t="s">
        <v>26</v>
      </c>
      <c r="J11" s="1813" t="s">
        <v>27</v>
      </c>
      <c r="K11" s="1824" t="s">
        <v>28</v>
      </c>
      <c r="L11" s="1824" t="s">
        <v>29</v>
      </c>
      <c r="M11" s="1824" t="s">
        <v>30</v>
      </c>
      <c r="N11" s="1824" t="s">
        <v>31</v>
      </c>
      <c r="O11" s="1826"/>
      <c r="P11" s="1824" t="s">
        <v>23</v>
      </c>
      <c r="Q11" s="1826"/>
      <c r="R11" s="1824" t="s">
        <v>23</v>
      </c>
      <c r="S11" s="1818"/>
      <c r="T11" s="1827" t="s">
        <v>32</v>
      </c>
      <c r="U11" s="1739" t="s">
        <v>56</v>
      </c>
      <c r="V11" s="1739"/>
      <c r="W11" s="1737" t="s">
        <v>56</v>
      </c>
      <c r="X11" s="1740"/>
      <c r="Y11" s="1740"/>
      <c r="Z11" s="1740"/>
      <c r="AA11" s="1740"/>
      <c r="AB11" s="1740"/>
      <c r="AC11" s="1816"/>
      <c r="AD11" s="1816"/>
      <c r="AE11" s="1817"/>
      <c r="AF11" s="1817"/>
      <c r="AG11" s="1817"/>
      <c r="AH11" s="1817"/>
    </row>
    <row r="12" spans="1:34" ht="8.25" customHeight="1">
      <c r="A12" s="1205"/>
      <c r="B12" s="1204"/>
      <c r="C12" s="1818"/>
      <c r="D12" s="1818"/>
      <c r="E12" s="1826"/>
      <c r="F12" s="1824"/>
      <c r="G12" s="1830"/>
      <c r="H12" s="1830"/>
      <c r="I12" s="1830"/>
      <c r="J12" s="1824" t="s">
        <v>33</v>
      </c>
      <c r="K12" s="1824" t="s">
        <v>34</v>
      </c>
      <c r="L12" s="1824"/>
      <c r="M12" s="1824"/>
      <c r="N12" s="1824"/>
      <c r="O12" s="1818"/>
      <c r="P12" s="1830"/>
      <c r="Q12" s="1818"/>
      <c r="R12" s="1830"/>
      <c r="S12" s="1831"/>
      <c r="T12" s="1832"/>
      <c r="U12" s="1731"/>
      <c r="V12" s="1731"/>
      <c r="W12" s="1743"/>
      <c r="X12" s="1745"/>
      <c r="Y12" s="1745"/>
      <c r="Z12" s="1745"/>
      <c r="AA12" s="1745"/>
      <c r="AB12" s="1745"/>
    </row>
    <row r="13" spans="1:34">
      <c r="A13" s="1206"/>
      <c r="B13" s="1207" t="s">
        <v>35</v>
      </c>
      <c r="C13" s="1833" t="s">
        <v>36</v>
      </c>
      <c r="D13" s="1833"/>
      <c r="E13" s="1833"/>
      <c r="F13" s="1834" t="s">
        <v>37</v>
      </c>
      <c r="G13" s="1834" t="s">
        <v>38</v>
      </c>
      <c r="H13" s="1834" t="s">
        <v>39</v>
      </c>
      <c r="I13" s="1834" t="s">
        <v>40</v>
      </c>
      <c r="J13" s="1834" t="s">
        <v>41</v>
      </c>
      <c r="K13" s="1834" t="s">
        <v>42</v>
      </c>
      <c r="L13" s="1834" t="s">
        <v>43</v>
      </c>
      <c r="M13" s="1834" t="s">
        <v>44</v>
      </c>
      <c r="N13" s="1834" t="s">
        <v>45</v>
      </c>
      <c r="O13" s="1833"/>
      <c r="P13" s="1834" t="s">
        <v>37</v>
      </c>
      <c r="Q13" s="1833" t="s">
        <v>46</v>
      </c>
      <c r="R13" s="1833"/>
      <c r="S13" s="1835" t="s">
        <v>47</v>
      </c>
      <c r="T13" s="1836" t="s">
        <v>48</v>
      </c>
      <c r="U13" s="1836" t="s">
        <v>91</v>
      </c>
      <c r="V13" s="1836" t="s">
        <v>92</v>
      </c>
      <c r="W13" s="1836" t="s">
        <v>93</v>
      </c>
      <c r="X13" s="2068" t="s">
        <v>86</v>
      </c>
      <c r="Y13" s="2068"/>
      <c r="Z13" s="2068"/>
      <c r="AA13" s="2068"/>
      <c r="AB13" s="2068"/>
    </row>
    <row r="14" spans="1:34">
      <c r="A14" s="420"/>
      <c r="B14" s="421"/>
      <c r="C14" s="2042"/>
      <c r="D14" s="2042"/>
      <c r="E14" s="2042"/>
      <c r="F14" s="2043"/>
      <c r="G14" s="2043"/>
      <c r="H14" s="2043"/>
      <c r="I14" s="2043"/>
      <c r="J14" s="2043"/>
      <c r="K14" s="2043"/>
      <c r="L14" s="2043"/>
      <c r="M14" s="2043"/>
      <c r="N14" s="2043"/>
      <c r="O14" s="2042"/>
      <c r="P14" s="2043">
        <v>0</v>
      </c>
      <c r="Q14" s="2042"/>
      <c r="R14" s="2042">
        <v>0</v>
      </c>
      <c r="S14" s="2042"/>
      <c r="T14" s="2044"/>
      <c r="U14" s="2044"/>
      <c r="V14" s="2044"/>
      <c r="W14" s="2044"/>
      <c r="X14" s="2043"/>
      <c r="Y14" s="2043"/>
      <c r="Z14" s="2043">
        <v>0</v>
      </c>
      <c r="AA14" s="2042">
        <v>0</v>
      </c>
      <c r="AB14" s="2044"/>
    </row>
    <row r="15" spans="1:34">
      <c r="A15" s="198"/>
      <c r="B15" s="206"/>
      <c r="C15" s="2069"/>
      <c r="D15" s="2069"/>
      <c r="E15" s="2069"/>
      <c r="F15" s="2070"/>
      <c r="G15" s="1839"/>
      <c r="H15" s="1839"/>
      <c r="I15" s="1839"/>
      <c r="J15" s="1839"/>
      <c r="K15" s="1839"/>
      <c r="L15" s="1839"/>
      <c r="M15" s="1839"/>
      <c r="N15" s="1839"/>
      <c r="O15" s="1839"/>
      <c r="P15" s="1838"/>
      <c r="Q15" s="1839"/>
      <c r="R15" s="1840"/>
      <c r="S15" s="1840"/>
      <c r="T15" s="1841"/>
      <c r="U15" s="1841"/>
      <c r="V15" s="1841"/>
      <c r="W15" s="1841"/>
      <c r="X15" s="1839"/>
      <c r="Y15" s="1839"/>
      <c r="Z15" s="1838"/>
      <c r="AA15" s="1840"/>
      <c r="AB15" s="1841"/>
    </row>
    <row r="16" spans="1:34">
      <c r="B16" s="206"/>
      <c r="C16" s="2069"/>
      <c r="D16" s="2069"/>
      <c r="E16" s="2071"/>
      <c r="F16" s="2069"/>
      <c r="G16" s="1839"/>
      <c r="H16" s="1839"/>
      <c r="I16" s="1839"/>
      <c r="J16" s="1839"/>
      <c r="K16" s="1839"/>
      <c r="L16" s="1839"/>
      <c r="M16" s="1839"/>
      <c r="N16" s="1839"/>
      <c r="O16" s="1839"/>
      <c r="P16" s="1838"/>
      <c r="Q16" s="1839"/>
      <c r="R16" s="1840"/>
      <c r="S16" s="1840"/>
      <c r="T16" s="1843"/>
      <c r="U16" s="1838"/>
      <c r="V16" s="1842"/>
      <c r="W16" s="2043"/>
      <c r="X16" s="1839"/>
      <c r="Y16" s="1839"/>
      <c r="Z16" s="1838"/>
      <c r="AA16" s="1840"/>
      <c r="AB16" s="1843"/>
    </row>
    <row r="17" spans="1:30" ht="18" customHeight="1">
      <c r="A17" s="422"/>
      <c r="B17" s="423"/>
      <c r="C17" s="2072"/>
      <c r="D17" s="2072"/>
      <c r="E17" s="2073">
        <v>0</v>
      </c>
      <c r="F17" s="2074">
        <f>D17*E17</f>
        <v>0</v>
      </c>
      <c r="G17" s="1844"/>
      <c r="H17" s="1844"/>
      <c r="I17" s="1844"/>
      <c r="J17" s="1844"/>
      <c r="K17" s="1844"/>
      <c r="L17" s="1844">
        <f>I17-J17+K17</f>
        <v>0</v>
      </c>
      <c r="M17" s="1844"/>
      <c r="N17" s="1844"/>
      <c r="O17" s="1844"/>
      <c r="P17" s="1844"/>
      <c r="Q17" s="1844"/>
      <c r="R17" s="1844"/>
      <c r="S17" s="1844">
        <f>+P17-R17</f>
        <v>0</v>
      </c>
      <c r="T17" s="1212"/>
      <c r="U17" s="2075"/>
      <c r="V17" s="2075"/>
      <c r="X17" s="1844">
        <v>0</v>
      </c>
      <c r="Y17" s="1844"/>
      <c r="Z17" s="1844"/>
      <c r="AA17" s="1844"/>
      <c r="AB17" s="1838"/>
    </row>
    <row r="18" spans="1:30" ht="27" customHeight="1">
      <c r="A18" s="424" t="s">
        <v>205</v>
      </c>
      <c r="B18" s="425" t="s">
        <v>206</v>
      </c>
      <c r="C18" s="1210"/>
      <c r="D18" s="1210"/>
      <c r="E18" s="1211"/>
      <c r="F18" s="1210"/>
      <c r="G18" s="1212"/>
      <c r="H18" s="1212"/>
      <c r="I18" s="1212"/>
      <c r="J18" s="1212"/>
      <c r="K18" s="1212"/>
      <c r="L18" s="1212"/>
      <c r="M18" s="1212"/>
      <c r="N18" s="1212"/>
      <c r="O18" s="1212"/>
      <c r="P18" s="1212"/>
      <c r="Q18" s="1212"/>
      <c r="R18" s="1212"/>
      <c r="S18" s="1212"/>
      <c r="T18" s="1212"/>
      <c r="U18" s="1212"/>
      <c r="V18" s="1213"/>
      <c r="W18" s="1214"/>
      <c r="X18" s="1212"/>
      <c r="Y18" s="1212"/>
      <c r="Z18" s="1212"/>
      <c r="AA18" s="1212"/>
      <c r="AB18" s="1214"/>
    </row>
    <row r="19" spans="1:30">
      <c r="A19" s="424"/>
      <c r="B19" s="425" t="s">
        <v>207</v>
      </c>
      <c r="C19" s="1210">
        <f t="shared" ref="C19:C35" si="0">+F19</f>
        <v>6187200</v>
      </c>
      <c r="D19" s="1210">
        <f>5156000*1.2</f>
        <v>6187200</v>
      </c>
      <c r="E19" s="1211">
        <v>1</v>
      </c>
      <c r="F19" s="1210">
        <f>+D19*E19</f>
        <v>6187200</v>
      </c>
      <c r="G19" s="1212"/>
      <c r="H19" s="1212"/>
      <c r="I19" s="1212"/>
      <c r="J19" s="1212"/>
      <c r="K19" s="1212"/>
      <c r="L19" s="1212"/>
      <c r="M19" s="1212"/>
      <c r="N19" s="1212"/>
      <c r="O19" s="1212"/>
      <c r="P19" s="1212"/>
      <c r="Q19" s="1212"/>
      <c r="R19" s="1212"/>
      <c r="S19" s="1212"/>
      <c r="T19" s="1212"/>
      <c r="U19" s="1212"/>
      <c r="V19" s="1213"/>
      <c r="W19" s="1214"/>
      <c r="X19" s="1212"/>
      <c r="Y19" s="1212"/>
      <c r="Z19" s="1212"/>
      <c r="AA19" s="1212"/>
      <c r="AB19" s="1214"/>
    </row>
    <row r="20" spans="1:30" s="429" customFormat="1" ht="20.25" customHeight="1">
      <c r="A20" s="426"/>
      <c r="B20" s="427" t="s">
        <v>208</v>
      </c>
      <c r="C20" s="1210">
        <f t="shared" si="0"/>
        <v>712800</v>
      </c>
      <c r="D20" s="1210">
        <f>594000*1.2</f>
        <v>712800</v>
      </c>
      <c r="E20" s="1211">
        <v>1</v>
      </c>
      <c r="F20" s="1210">
        <f>+D20*E20</f>
        <v>712800</v>
      </c>
      <c r="G20" s="1212">
        <v>49500</v>
      </c>
      <c r="H20" s="1212" t="s">
        <v>98</v>
      </c>
      <c r="I20" s="2076">
        <f>W20</f>
        <v>712800</v>
      </c>
      <c r="J20" s="2076"/>
      <c r="K20" s="2076"/>
      <c r="L20" s="2076">
        <f>+I20-J20+K20</f>
        <v>712800</v>
      </c>
      <c r="M20" s="1212"/>
      <c r="N20" s="1212">
        <v>49500</v>
      </c>
      <c r="O20" s="1212"/>
      <c r="P20" s="1212">
        <v>712800</v>
      </c>
      <c r="Q20" s="1212"/>
      <c r="R20" s="1212">
        <v>712800</v>
      </c>
      <c r="S20" s="1212"/>
      <c r="T20" s="1212">
        <f>W20-L20</f>
        <v>0</v>
      </c>
      <c r="U20" s="1212">
        <f>+D20</f>
        <v>712800</v>
      </c>
      <c r="V20" s="1213">
        <v>1</v>
      </c>
      <c r="W20" s="1214">
        <f>+V20*U20</f>
        <v>712800</v>
      </c>
      <c r="X20" s="1212">
        <v>712800</v>
      </c>
      <c r="Y20" s="1212">
        <v>49500</v>
      </c>
      <c r="Z20" s="1212">
        <v>712800</v>
      </c>
      <c r="AA20" s="1212"/>
      <c r="AB20" s="1214">
        <v>712800</v>
      </c>
      <c r="AC20" s="428"/>
      <c r="AD20" s="428"/>
    </row>
    <row r="21" spans="1:30" s="429" customFormat="1" ht="12.75" customHeight="1">
      <c r="A21" s="426"/>
      <c r="B21" s="427" t="s">
        <v>209</v>
      </c>
      <c r="C21" s="1210">
        <f t="shared" si="0"/>
        <v>1362000</v>
      </c>
      <c r="D21" s="1210">
        <f>1135000*1.2</f>
        <v>1362000</v>
      </c>
      <c r="E21" s="1211">
        <v>1</v>
      </c>
      <c r="F21" s="1210">
        <f>+D21*E21</f>
        <v>1362000</v>
      </c>
      <c r="G21" s="1212"/>
      <c r="H21" s="1212"/>
      <c r="I21" s="1212"/>
      <c r="J21" s="1212"/>
      <c r="K21" s="1212"/>
      <c r="L21" s="1212"/>
      <c r="M21" s="1212"/>
      <c r="N21" s="1212"/>
      <c r="O21" s="1212"/>
      <c r="P21" s="1212"/>
      <c r="Q21" s="1212"/>
      <c r="R21" s="1212"/>
      <c r="S21" s="1212"/>
      <c r="T21" s="1212"/>
      <c r="U21" s="1212"/>
      <c r="V21" s="1213"/>
      <c r="W21" s="1214"/>
      <c r="X21" s="1212"/>
      <c r="Y21" s="1212"/>
      <c r="Z21" s="1212"/>
      <c r="AA21" s="1212"/>
      <c r="AB21" s="1214"/>
      <c r="AC21" s="428"/>
      <c r="AD21" s="428"/>
    </row>
    <row r="22" spans="1:30" s="429" customFormat="1">
      <c r="A22" s="430"/>
      <c r="B22" s="431" t="s">
        <v>210</v>
      </c>
      <c r="C22" s="1210">
        <f t="shared" si="0"/>
        <v>0</v>
      </c>
      <c r="D22" s="1210"/>
      <c r="E22" s="1211"/>
      <c r="F22" s="1210"/>
      <c r="G22" s="1212"/>
      <c r="H22" s="1212"/>
      <c r="I22" s="1212"/>
      <c r="J22" s="1212"/>
      <c r="K22" s="1212"/>
      <c r="L22" s="1212"/>
      <c r="M22" s="1212"/>
      <c r="N22" s="1212"/>
      <c r="O22" s="1212"/>
      <c r="P22" s="1212"/>
      <c r="Q22" s="1212"/>
      <c r="R22" s="1212"/>
      <c r="S22" s="1212"/>
      <c r="T22" s="1212"/>
      <c r="U22" s="1212"/>
      <c r="V22" s="1213"/>
      <c r="W22" s="1214"/>
      <c r="X22" s="1212"/>
      <c r="Y22" s="1212"/>
      <c r="Z22" s="1212"/>
      <c r="AA22" s="1212"/>
      <c r="AB22" s="1214"/>
      <c r="AC22" s="428"/>
      <c r="AD22" s="428"/>
    </row>
    <row r="23" spans="1:30" s="429" customFormat="1">
      <c r="A23" s="432"/>
      <c r="B23" s="433" t="s">
        <v>207</v>
      </c>
      <c r="C23" s="1210">
        <f t="shared" si="0"/>
        <v>2866500</v>
      </c>
      <c r="D23" s="1210">
        <f>2388750*1.2</f>
        <v>2866500</v>
      </c>
      <c r="E23" s="1211">
        <v>1</v>
      </c>
      <c r="F23" s="1210">
        <f t="shared" ref="F23:F35" si="1">+E23*D23</f>
        <v>2866500</v>
      </c>
      <c r="G23" s="1212"/>
      <c r="H23" s="1212"/>
      <c r="I23" s="1212"/>
      <c r="J23" s="1212"/>
      <c r="K23" s="1212"/>
      <c r="L23" s="1212"/>
      <c r="M23" s="1212"/>
      <c r="N23" s="1212"/>
      <c r="O23" s="1212"/>
      <c r="P23" s="1212"/>
      <c r="Q23" s="1212"/>
      <c r="R23" s="1212"/>
      <c r="S23" s="1212"/>
      <c r="T23" s="1212"/>
      <c r="U23" s="1212"/>
      <c r="V23" s="1213"/>
      <c r="W23" s="1214"/>
      <c r="X23" s="1212"/>
      <c r="Y23" s="1212"/>
      <c r="Z23" s="1212"/>
      <c r="AA23" s="1212"/>
      <c r="AB23" s="1214"/>
      <c r="AC23" s="428"/>
      <c r="AD23" s="428"/>
    </row>
    <row r="24" spans="1:30" s="429" customFormat="1">
      <c r="A24" s="430"/>
      <c r="B24" s="434" t="s">
        <v>208</v>
      </c>
      <c r="C24" s="1210">
        <f t="shared" si="0"/>
        <v>477600</v>
      </c>
      <c r="D24" s="1210">
        <f>398000*1.2</f>
        <v>477600</v>
      </c>
      <c r="E24" s="1211">
        <v>1</v>
      </c>
      <c r="F24" s="1210">
        <f t="shared" si="1"/>
        <v>477600</v>
      </c>
      <c r="G24" s="1212"/>
      <c r="H24" s="1212"/>
      <c r="I24" s="2076"/>
      <c r="J24" s="2076"/>
      <c r="K24" s="2076">
        <v>16716</v>
      </c>
      <c r="L24" s="2076">
        <f>+I24-J24+K24</f>
        <v>16716</v>
      </c>
      <c r="M24" s="1212"/>
      <c r="N24" s="1212"/>
      <c r="O24" s="1212"/>
      <c r="P24" s="1212">
        <v>16716</v>
      </c>
      <c r="Q24" s="1212"/>
      <c r="R24" s="1212">
        <v>16716</v>
      </c>
      <c r="S24" s="1212"/>
      <c r="T24" s="1212">
        <f>W24-L24</f>
        <v>460884</v>
      </c>
      <c r="U24" s="1212">
        <f>+D24</f>
        <v>477600</v>
      </c>
      <c r="V24" s="1213">
        <v>1</v>
      </c>
      <c r="W24" s="1214">
        <f>+V24*U24</f>
        <v>477600</v>
      </c>
      <c r="X24" s="1212">
        <v>16716</v>
      </c>
      <c r="Y24" s="1212"/>
      <c r="Z24" s="1212">
        <v>16716</v>
      </c>
      <c r="AA24" s="1212"/>
      <c r="AB24" s="1214">
        <v>477600</v>
      </c>
      <c r="AC24" s="428"/>
      <c r="AD24" s="428"/>
    </row>
    <row r="25" spans="1:30" s="429" customFormat="1">
      <c r="A25" s="430"/>
      <c r="B25" s="431" t="s">
        <v>209</v>
      </c>
      <c r="C25" s="1210">
        <f t="shared" si="0"/>
        <v>0</v>
      </c>
      <c r="D25" s="1210"/>
      <c r="E25" s="1211">
        <v>1</v>
      </c>
      <c r="F25" s="1210">
        <f t="shared" si="1"/>
        <v>0</v>
      </c>
      <c r="G25" s="1212"/>
      <c r="H25" s="1212"/>
      <c r="I25" s="1212"/>
      <c r="J25" s="1212"/>
      <c r="K25" s="1212"/>
      <c r="L25" s="1212"/>
      <c r="M25" s="1212"/>
      <c r="N25" s="1212"/>
      <c r="O25" s="1212"/>
      <c r="P25" s="1212"/>
      <c r="Q25" s="1212"/>
      <c r="R25" s="1212"/>
      <c r="S25" s="1212"/>
      <c r="T25" s="1212">
        <f t="shared" ref="T25:T33" si="2">W25-L25</f>
        <v>0</v>
      </c>
      <c r="U25" s="1219"/>
      <c r="V25" s="1215"/>
      <c r="W25" s="1216"/>
      <c r="X25" s="1212"/>
      <c r="Y25" s="1212"/>
      <c r="Z25" s="1212"/>
      <c r="AA25" s="1212"/>
      <c r="AB25" s="1212"/>
      <c r="AC25" s="428"/>
      <c r="AD25" s="428"/>
    </row>
    <row r="26" spans="1:30" s="429" customFormat="1">
      <c r="A26" s="430"/>
      <c r="B26" s="435" t="s">
        <v>211</v>
      </c>
      <c r="C26" s="1210">
        <f t="shared" si="0"/>
        <v>433500</v>
      </c>
      <c r="D26" s="1210">
        <f>361250*1.2</f>
        <v>433500</v>
      </c>
      <c r="E26" s="1211">
        <v>1</v>
      </c>
      <c r="F26" s="1210">
        <f t="shared" si="1"/>
        <v>433500</v>
      </c>
      <c r="G26" s="1212"/>
      <c r="H26" s="1212"/>
      <c r="I26" s="1212"/>
      <c r="J26" s="1212"/>
      <c r="K26" s="1212"/>
      <c r="L26" s="1212"/>
      <c r="M26" s="1212"/>
      <c r="N26" s="1212"/>
      <c r="O26" s="1212"/>
      <c r="P26" s="1212"/>
      <c r="Q26" s="1212"/>
      <c r="R26" s="1212"/>
      <c r="S26" s="1212"/>
      <c r="T26" s="1212">
        <f t="shared" si="2"/>
        <v>0</v>
      </c>
      <c r="U26" s="1212"/>
      <c r="V26" s="1213"/>
      <c r="W26" s="1214"/>
      <c r="X26" s="1212"/>
      <c r="Y26" s="1212"/>
      <c r="Z26" s="1212"/>
      <c r="AA26" s="1212"/>
      <c r="AB26" s="1212"/>
      <c r="AC26" s="428"/>
      <c r="AD26" s="428"/>
    </row>
    <row r="27" spans="1:30" s="429" customFormat="1">
      <c r="A27" s="436"/>
      <c r="B27" s="434" t="s">
        <v>212</v>
      </c>
      <c r="C27" s="1210">
        <f t="shared" si="0"/>
        <v>4073760</v>
      </c>
      <c r="D27" s="1210">
        <f>3394800*1.2</f>
        <v>4073760</v>
      </c>
      <c r="E27" s="1211">
        <v>1</v>
      </c>
      <c r="F27" s="1210">
        <f t="shared" si="1"/>
        <v>4073760</v>
      </c>
      <c r="G27" s="1212"/>
      <c r="H27" s="1212"/>
      <c r="I27" s="1212"/>
      <c r="J27" s="1212"/>
      <c r="K27" s="1212"/>
      <c r="L27" s="1212"/>
      <c r="M27" s="1212"/>
      <c r="N27" s="1212"/>
      <c r="O27" s="1212"/>
      <c r="P27" s="1212"/>
      <c r="Q27" s="1212"/>
      <c r="R27" s="1212"/>
      <c r="S27" s="1212"/>
      <c r="T27" s="1212">
        <f t="shared" si="2"/>
        <v>0</v>
      </c>
      <c r="U27" s="1212"/>
      <c r="V27" s="1213"/>
      <c r="W27" s="1214"/>
      <c r="X27" s="1212"/>
      <c r="Y27" s="1212"/>
      <c r="Z27" s="1212"/>
      <c r="AA27" s="1212"/>
      <c r="AB27" s="1212"/>
      <c r="AC27" s="428"/>
      <c r="AD27" s="428"/>
    </row>
    <row r="28" spans="1:30" s="429" customFormat="1">
      <c r="A28" s="436"/>
      <c r="B28" s="434" t="s">
        <v>213</v>
      </c>
      <c r="C28" s="1210">
        <f t="shared" si="0"/>
        <v>1469880</v>
      </c>
      <c r="D28" s="1210">
        <f>1224900*1.2</f>
        <v>1469880</v>
      </c>
      <c r="E28" s="1211">
        <v>1</v>
      </c>
      <c r="F28" s="1210">
        <f t="shared" si="1"/>
        <v>1469880</v>
      </c>
      <c r="G28" s="1212"/>
      <c r="H28" s="1212"/>
      <c r="I28" s="1212"/>
      <c r="J28" s="1212"/>
      <c r="K28" s="1212"/>
      <c r="L28" s="1212"/>
      <c r="M28" s="1212"/>
      <c r="N28" s="1212"/>
      <c r="O28" s="1212"/>
      <c r="P28" s="1212"/>
      <c r="Q28" s="1212"/>
      <c r="R28" s="1212"/>
      <c r="S28" s="1212"/>
      <c r="T28" s="1212">
        <f t="shared" si="2"/>
        <v>0</v>
      </c>
      <c r="U28" s="1212"/>
      <c r="V28" s="1217"/>
      <c r="W28" s="1214"/>
      <c r="X28" s="1212"/>
      <c r="Y28" s="1212"/>
      <c r="Z28" s="1212"/>
      <c r="AA28" s="1212"/>
      <c r="AB28" s="1212"/>
      <c r="AC28" s="428"/>
      <c r="AD28" s="428"/>
    </row>
    <row r="29" spans="1:30" s="429" customFormat="1" ht="33.75">
      <c r="A29" s="436" t="s">
        <v>214</v>
      </c>
      <c r="B29" s="431" t="s">
        <v>215</v>
      </c>
      <c r="C29" s="1210">
        <f t="shared" si="0"/>
        <v>0</v>
      </c>
      <c r="D29" s="437"/>
      <c r="E29" s="438"/>
      <c r="F29" s="1210">
        <f t="shared" si="1"/>
        <v>0</v>
      </c>
      <c r="G29" s="1212"/>
      <c r="H29" s="1212"/>
      <c r="I29" s="1212"/>
      <c r="J29" s="1212"/>
      <c r="K29" s="1212"/>
      <c r="L29" s="1212"/>
      <c r="M29" s="1212"/>
      <c r="N29" s="1212"/>
      <c r="O29" s="1212"/>
      <c r="P29" s="1212"/>
      <c r="Q29" s="1212"/>
      <c r="R29" s="1212"/>
      <c r="S29" s="1212"/>
      <c r="T29" s="1212">
        <f t="shared" si="2"/>
        <v>0</v>
      </c>
      <c r="U29" s="1212"/>
      <c r="V29" s="1217"/>
      <c r="W29" s="1214"/>
      <c r="X29" s="1212"/>
      <c r="Y29" s="1212"/>
      <c r="Z29" s="1212"/>
      <c r="AA29" s="1212"/>
      <c r="AB29" s="1212"/>
      <c r="AC29" s="428"/>
      <c r="AD29" s="428"/>
    </row>
    <row r="30" spans="1:30" s="429" customFormat="1">
      <c r="A30" s="436"/>
      <c r="B30" s="434" t="s">
        <v>207</v>
      </c>
      <c r="C30" s="1210">
        <f t="shared" si="0"/>
        <v>3937350</v>
      </c>
      <c r="D30" s="437">
        <f>3281125*1.2</f>
        <v>3937350</v>
      </c>
      <c r="E30" s="438">
        <v>1</v>
      </c>
      <c r="F30" s="1210">
        <f t="shared" si="1"/>
        <v>3937350</v>
      </c>
      <c r="G30" s="1214"/>
      <c r="H30" s="1214"/>
      <c r="I30" s="1218"/>
      <c r="J30" s="1214"/>
      <c r="K30" s="1214"/>
      <c r="L30" s="1212"/>
      <c r="M30" s="1214"/>
      <c r="N30" s="1214"/>
      <c r="O30" s="1214"/>
      <c r="P30" s="1212"/>
      <c r="Q30" s="1214"/>
      <c r="R30" s="1212"/>
      <c r="S30" s="1212"/>
      <c r="T30" s="1212">
        <f t="shared" si="2"/>
        <v>0</v>
      </c>
      <c r="U30" s="1212"/>
      <c r="V30" s="1217"/>
      <c r="W30" s="1214"/>
      <c r="X30" s="1212"/>
      <c r="Y30" s="1214"/>
      <c r="Z30" s="1212"/>
      <c r="AA30" s="1212"/>
      <c r="AB30" s="1220"/>
      <c r="AC30" s="428"/>
      <c r="AD30" s="428"/>
    </row>
    <row r="31" spans="1:30" s="429" customFormat="1">
      <c r="A31" s="436"/>
      <c r="B31" s="434" t="s">
        <v>208</v>
      </c>
      <c r="C31" s="1210">
        <f t="shared" si="0"/>
        <v>477600</v>
      </c>
      <c r="D31" s="437">
        <f>398000*1.2</f>
        <v>477600</v>
      </c>
      <c r="E31" s="438">
        <v>1</v>
      </c>
      <c r="F31" s="1210">
        <f t="shared" si="1"/>
        <v>477600</v>
      </c>
      <c r="G31" s="1214"/>
      <c r="H31" s="1214"/>
      <c r="I31" s="1218"/>
      <c r="J31" s="1214"/>
      <c r="K31" s="1214"/>
      <c r="L31" s="1212"/>
      <c r="M31" s="1214"/>
      <c r="N31" s="1214"/>
      <c r="O31" s="1214"/>
      <c r="P31" s="1212"/>
      <c r="Q31" s="1214"/>
      <c r="R31" s="1212"/>
      <c r="S31" s="1212"/>
      <c r="T31" s="1212">
        <f t="shared" si="2"/>
        <v>477600</v>
      </c>
      <c r="U31" s="1212">
        <f>+D31</f>
        <v>477600</v>
      </c>
      <c r="V31" s="1217">
        <v>1</v>
      </c>
      <c r="W31" s="1214">
        <f>+V31*U31</f>
        <v>477600</v>
      </c>
      <c r="X31" s="1212">
        <v>0</v>
      </c>
      <c r="Y31" s="1214"/>
      <c r="Z31" s="1212"/>
      <c r="AA31" s="1212"/>
      <c r="AB31" s="1220">
        <v>477600</v>
      </c>
      <c r="AC31" s="428"/>
      <c r="AD31" s="428"/>
    </row>
    <row r="32" spans="1:30">
      <c r="A32" s="439"/>
      <c r="B32" s="440" t="s">
        <v>209</v>
      </c>
      <c r="C32" s="1210">
        <f t="shared" si="0"/>
        <v>0</v>
      </c>
      <c r="D32" s="437"/>
      <c r="E32" s="438">
        <v>1</v>
      </c>
      <c r="F32" s="1210">
        <f t="shared" si="1"/>
        <v>0</v>
      </c>
      <c r="G32" s="1214"/>
      <c r="H32" s="1214"/>
      <c r="I32" s="1218"/>
      <c r="J32" s="1214"/>
      <c r="K32" s="1214"/>
      <c r="L32" s="1212"/>
      <c r="M32" s="1214"/>
      <c r="N32" s="1214"/>
      <c r="O32" s="1214"/>
      <c r="P32" s="1212"/>
      <c r="Q32" s="1214"/>
      <c r="R32" s="1212"/>
      <c r="S32" s="1212"/>
      <c r="T32" s="1212">
        <f t="shared" si="2"/>
        <v>0</v>
      </c>
      <c r="U32" s="1214"/>
      <c r="V32" s="1217"/>
      <c r="W32" s="1214"/>
      <c r="X32" s="1212"/>
      <c r="Y32" s="1214"/>
      <c r="Z32" s="1212"/>
      <c r="AA32" s="1212"/>
      <c r="AB32" s="1220"/>
    </row>
    <row r="33" spans="1:28">
      <c r="A33" s="441"/>
      <c r="B33" s="442" t="s">
        <v>216</v>
      </c>
      <c r="C33" s="1210">
        <f t="shared" si="0"/>
        <v>388500</v>
      </c>
      <c r="D33" s="437">
        <f>323750*1.2</f>
        <v>388500</v>
      </c>
      <c r="E33" s="438">
        <v>1</v>
      </c>
      <c r="F33" s="1210">
        <f t="shared" si="1"/>
        <v>388500</v>
      </c>
      <c r="G33" s="1214"/>
      <c r="H33" s="1214"/>
      <c r="I33" s="1218"/>
      <c r="J33" s="1214"/>
      <c r="K33" s="1214"/>
      <c r="L33" s="1212"/>
      <c r="M33" s="1214"/>
      <c r="N33" s="1214"/>
      <c r="O33" s="1214"/>
      <c r="P33" s="1212"/>
      <c r="Q33" s="1214"/>
      <c r="R33" s="1212"/>
      <c r="S33" s="1212"/>
      <c r="T33" s="1212">
        <f t="shared" si="2"/>
        <v>0</v>
      </c>
      <c r="U33" s="1214"/>
      <c r="V33" s="1217"/>
      <c r="W33" s="1214"/>
      <c r="X33" s="1212"/>
      <c r="Y33" s="1214"/>
      <c r="Z33" s="1212"/>
      <c r="AA33" s="1212"/>
      <c r="AB33" s="1220"/>
    </row>
    <row r="34" spans="1:28">
      <c r="A34" s="441"/>
      <c r="B34" s="440" t="s">
        <v>217</v>
      </c>
      <c r="C34" s="1210">
        <f t="shared" si="0"/>
        <v>4812480</v>
      </c>
      <c r="D34" s="437">
        <f>4010400*1.2</f>
        <v>4812480</v>
      </c>
      <c r="E34" s="438">
        <v>1</v>
      </c>
      <c r="F34" s="1210">
        <f t="shared" si="1"/>
        <v>4812480</v>
      </c>
      <c r="G34" s="1214"/>
      <c r="H34" s="1214"/>
      <c r="I34" s="1218"/>
      <c r="J34" s="1214"/>
      <c r="K34" s="1214"/>
      <c r="L34" s="1212"/>
      <c r="M34" s="1214"/>
      <c r="N34" s="1214"/>
      <c r="O34" s="1214"/>
      <c r="P34" s="1212"/>
      <c r="Q34" s="1214"/>
      <c r="R34" s="1212"/>
      <c r="S34" s="1212"/>
      <c r="T34" s="1220"/>
      <c r="U34" s="1214"/>
      <c r="V34" s="1217"/>
      <c r="W34" s="1212"/>
      <c r="X34" s="1212"/>
      <c r="Y34" s="1214"/>
      <c r="Z34" s="1212"/>
      <c r="AA34" s="1212"/>
      <c r="AB34" s="1220"/>
    </row>
    <row r="35" spans="1:28">
      <c r="A35" s="441"/>
      <c r="B35" s="440" t="s">
        <v>218</v>
      </c>
      <c r="C35" s="1210">
        <f t="shared" si="0"/>
        <v>1571160</v>
      </c>
      <c r="D35" s="437">
        <f>1309300*1.2</f>
        <v>1571160</v>
      </c>
      <c r="E35" s="438">
        <v>1</v>
      </c>
      <c r="F35" s="1210">
        <f t="shared" si="1"/>
        <v>1571160</v>
      </c>
      <c r="G35" s="1214"/>
      <c r="H35" s="1214"/>
      <c r="I35" s="1218"/>
      <c r="J35" s="1214"/>
      <c r="K35" s="1214"/>
      <c r="L35" s="1212"/>
      <c r="M35" s="1214"/>
      <c r="N35" s="1214"/>
      <c r="O35" s="1214"/>
      <c r="P35" s="1212"/>
      <c r="Q35" s="1214"/>
      <c r="R35" s="1212"/>
      <c r="S35" s="1212"/>
      <c r="T35" s="1220"/>
      <c r="U35" s="1214"/>
      <c r="V35" s="1217"/>
      <c r="W35" s="1212"/>
      <c r="X35" s="1212"/>
      <c r="Y35" s="1214"/>
      <c r="Z35" s="1212"/>
      <c r="AA35" s="1212"/>
      <c r="AB35" s="1220"/>
    </row>
    <row r="36" spans="1:28">
      <c r="A36" s="441"/>
      <c r="B36" s="443"/>
      <c r="C36" s="1210"/>
      <c r="D36" s="437"/>
      <c r="E36" s="438"/>
      <c r="F36" s="1210"/>
      <c r="G36" s="1214"/>
      <c r="H36" s="1214"/>
      <c r="I36" s="1218"/>
      <c r="J36" s="1214"/>
      <c r="K36" s="1214"/>
      <c r="L36" s="1212"/>
      <c r="M36" s="1214"/>
      <c r="N36" s="1214"/>
      <c r="O36" s="1214"/>
      <c r="P36" s="1212"/>
      <c r="Q36" s="1214"/>
      <c r="R36" s="1212"/>
      <c r="S36" s="1212"/>
      <c r="T36" s="1220"/>
      <c r="U36" s="1214"/>
      <c r="V36" s="2047"/>
      <c r="W36" s="1212"/>
      <c r="X36" s="1212"/>
      <c r="Y36" s="1214"/>
      <c r="Z36" s="1212"/>
      <c r="AA36" s="1212"/>
      <c r="AB36" s="1220"/>
    </row>
    <row r="37" spans="1:28">
      <c r="A37" s="441"/>
      <c r="B37" s="443"/>
      <c r="C37" s="1210"/>
      <c r="D37" s="437"/>
      <c r="E37" s="438"/>
      <c r="F37" s="1210"/>
      <c r="G37" s="1214"/>
      <c r="H37" s="1214"/>
      <c r="I37" s="1218"/>
      <c r="J37" s="1214"/>
      <c r="K37" s="1214"/>
      <c r="L37" s="1212"/>
      <c r="M37" s="1214"/>
      <c r="N37" s="1214"/>
      <c r="O37" s="1214"/>
      <c r="P37" s="1212"/>
      <c r="Q37" s="1214"/>
      <c r="R37" s="1212"/>
      <c r="S37" s="1212"/>
      <c r="T37" s="1220"/>
      <c r="U37" s="1214"/>
      <c r="V37" s="2047"/>
      <c r="W37" s="1212"/>
      <c r="X37" s="1212"/>
      <c r="Y37" s="1214"/>
      <c r="Z37" s="1212"/>
      <c r="AA37" s="1212"/>
      <c r="AB37" s="1220"/>
    </row>
    <row r="38" spans="1:28">
      <c r="A38" s="441"/>
      <c r="B38" s="443"/>
      <c r="C38" s="1210"/>
      <c r="D38" s="437"/>
      <c r="E38" s="438"/>
      <c r="F38" s="1210"/>
      <c r="G38" s="1214"/>
      <c r="H38" s="1214"/>
      <c r="I38" s="1218"/>
      <c r="J38" s="1214"/>
      <c r="K38" s="1214"/>
      <c r="L38" s="1212"/>
      <c r="M38" s="1214"/>
      <c r="N38" s="1214"/>
      <c r="O38" s="1214"/>
      <c r="P38" s="1212"/>
      <c r="Q38" s="1214"/>
      <c r="R38" s="1212"/>
      <c r="S38" s="1212"/>
      <c r="T38" s="1220"/>
      <c r="U38" s="1214"/>
      <c r="V38" s="2047"/>
      <c r="W38" s="1212"/>
      <c r="X38" s="1212"/>
      <c r="Y38" s="1214"/>
      <c r="Z38" s="1212"/>
      <c r="AA38" s="1212"/>
      <c r="AB38" s="1220"/>
    </row>
    <row r="39" spans="1:28">
      <c r="A39" s="441"/>
      <c r="B39" s="443"/>
      <c r="C39" s="1210"/>
      <c r="D39" s="437"/>
      <c r="E39" s="438"/>
      <c r="F39" s="1210"/>
      <c r="G39" s="1214"/>
      <c r="H39" s="1214"/>
      <c r="I39" s="1218"/>
      <c r="J39" s="1214"/>
      <c r="K39" s="1214"/>
      <c r="L39" s="1212"/>
      <c r="M39" s="1214"/>
      <c r="N39" s="1214"/>
      <c r="O39" s="1214"/>
      <c r="P39" s="1212"/>
      <c r="Q39" s="1214"/>
      <c r="R39" s="1212"/>
      <c r="S39" s="1212"/>
      <c r="T39" s="1220"/>
      <c r="U39" s="1214"/>
      <c r="V39" s="2047"/>
      <c r="W39" s="1212"/>
      <c r="X39" s="1212"/>
      <c r="Y39" s="1214"/>
      <c r="Z39" s="1212"/>
      <c r="AA39" s="1212"/>
      <c r="AB39" s="1220"/>
    </row>
    <row r="40" spans="1:28">
      <c r="A40" s="441"/>
      <c r="B40" s="443"/>
      <c r="C40" s="1210"/>
      <c r="D40" s="437"/>
      <c r="E40" s="438"/>
      <c r="F40" s="1210"/>
      <c r="G40" s="1214"/>
      <c r="H40" s="1214"/>
      <c r="I40" s="1218"/>
      <c r="J40" s="1214"/>
      <c r="K40" s="1214"/>
      <c r="L40" s="1212"/>
      <c r="M40" s="1214"/>
      <c r="N40" s="1214"/>
      <c r="O40" s="1214"/>
      <c r="P40" s="1212"/>
      <c r="Q40" s="1214"/>
      <c r="R40" s="1212"/>
      <c r="S40" s="1212"/>
      <c r="T40" s="1220"/>
      <c r="U40" s="1214"/>
      <c r="V40" s="2047"/>
      <c r="W40" s="1212"/>
      <c r="X40" s="1212"/>
      <c r="Y40" s="1214"/>
      <c r="Z40" s="1212"/>
      <c r="AA40" s="1212"/>
      <c r="AB40" s="1220"/>
    </row>
    <row r="41" spans="1:28">
      <c r="A41" s="441"/>
      <c r="B41" s="443"/>
      <c r="C41" s="1210"/>
      <c r="D41" s="437"/>
      <c r="E41" s="438"/>
      <c r="F41" s="1210"/>
      <c r="G41" s="1214"/>
      <c r="H41" s="1214"/>
      <c r="I41" s="1218"/>
      <c r="J41" s="1214"/>
      <c r="K41" s="1214"/>
      <c r="L41" s="1212"/>
      <c r="M41" s="1214"/>
      <c r="N41" s="1214"/>
      <c r="O41" s="1214"/>
      <c r="P41" s="1212"/>
      <c r="Q41" s="1214"/>
      <c r="R41" s="1212"/>
      <c r="S41" s="1212"/>
      <c r="T41" s="1220"/>
      <c r="U41" s="1214"/>
      <c r="V41" s="2047"/>
      <c r="W41" s="1212"/>
      <c r="X41" s="1212"/>
      <c r="Y41" s="1214"/>
      <c r="Z41" s="1212"/>
      <c r="AA41" s="1212"/>
      <c r="AB41" s="1220"/>
    </row>
    <row r="42" spans="1:28">
      <c r="A42" s="441"/>
      <c r="B42" s="443"/>
      <c r="C42" s="1210"/>
      <c r="D42" s="437"/>
      <c r="E42" s="438"/>
      <c r="F42" s="1210"/>
      <c r="G42" s="1214"/>
      <c r="H42" s="1214"/>
      <c r="I42" s="1218"/>
      <c r="J42" s="1214"/>
      <c r="K42" s="1214"/>
      <c r="L42" s="1212"/>
      <c r="M42" s="1214"/>
      <c r="N42" s="1214"/>
      <c r="O42" s="1214"/>
      <c r="P42" s="1212"/>
      <c r="Q42" s="1214"/>
      <c r="R42" s="1212"/>
      <c r="S42" s="1212"/>
      <c r="T42" s="1220"/>
      <c r="U42" s="1214"/>
      <c r="V42" s="2047"/>
      <c r="W42" s="1212"/>
      <c r="X42" s="1212"/>
      <c r="Y42" s="1214"/>
      <c r="Z42" s="1212"/>
      <c r="AA42" s="1212"/>
      <c r="AB42" s="1220"/>
    </row>
    <row r="43" spans="1:28">
      <c r="A43" s="441"/>
      <c r="B43" s="443"/>
      <c r="C43" s="1210"/>
      <c r="D43" s="437"/>
      <c r="E43" s="438"/>
      <c r="F43" s="1210"/>
      <c r="G43" s="1214"/>
      <c r="H43" s="1214"/>
      <c r="I43" s="1218"/>
      <c r="J43" s="1214"/>
      <c r="K43" s="1214"/>
      <c r="L43" s="1212"/>
      <c r="M43" s="1214"/>
      <c r="N43" s="1214"/>
      <c r="O43" s="1214"/>
      <c r="P43" s="1212"/>
      <c r="Q43" s="1214"/>
      <c r="R43" s="1212"/>
      <c r="S43" s="1212"/>
      <c r="T43" s="1220"/>
      <c r="U43" s="1214"/>
      <c r="V43" s="2047"/>
      <c r="W43" s="1212"/>
      <c r="X43" s="1212"/>
      <c r="Y43" s="1214"/>
      <c r="Z43" s="1212"/>
      <c r="AA43" s="1212"/>
      <c r="AB43" s="1220"/>
    </row>
    <row r="44" spans="1:28">
      <c r="A44" s="441"/>
      <c r="B44" s="443"/>
      <c r="C44" s="1210"/>
      <c r="D44" s="437"/>
      <c r="E44" s="438"/>
      <c r="F44" s="1210"/>
      <c r="G44" s="1214"/>
      <c r="H44" s="1214"/>
      <c r="I44" s="1218"/>
      <c r="J44" s="1214"/>
      <c r="K44" s="1214"/>
      <c r="L44" s="1212"/>
      <c r="M44" s="1214"/>
      <c r="N44" s="1214"/>
      <c r="O44" s="1214"/>
      <c r="P44" s="1212"/>
      <c r="Q44" s="1214"/>
      <c r="R44" s="1212"/>
      <c r="S44" s="1212"/>
      <c r="T44" s="1220"/>
      <c r="U44" s="1214"/>
      <c r="V44" s="2047"/>
      <c r="W44" s="1212"/>
      <c r="X44" s="1212"/>
      <c r="Y44" s="1214"/>
      <c r="Z44" s="1212"/>
      <c r="AA44" s="1212"/>
      <c r="AB44" s="1220"/>
    </row>
    <row r="45" spans="1:28">
      <c r="A45" s="441"/>
      <c r="B45" s="443"/>
      <c r="C45" s="1210"/>
      <c r="D45" s="437"/>
      <c r="E45" s="438"/>
      <c r="F45" s="1210"/>
      <c r="G45" s="1214"/>
      <c r="H45" s="1214"/>
      <c r="I45" s="1218"/>
      <c r="J45" s="1214"/>
      <c r="K45" s="1214"/>
      <c r="L45" s="1212"/>
      <c r="M45" s="1214"/>
      <c r="N45" s="1214"/>
      <c r="O45" s="1214"/>
      <c r="P45" s="1212"/>
      <c r="Q45" s="1214"/>
      <c r="R45" s="1212"/>
      <c r="S45" s="1212"/>
      <c r="T45" s="1220"/>
      <c r="U45" s="1214"/>
      <c r="V45" s="2047"/>
      <c r="W45" s="1212"/>
      <c r="X45" s="1212"/>
      <c r="Y45" s="1214"/>
      <c r="Z45" s="1212"/>
      <c r="AA45" s="1212"/>
      <c r="AB45" s="1220"/>
    </row>
    <row r="46" spans="1:28">
      <c r="A46" s="441"/>
      <c r="B46" s="443"/>
      <c r="C46" s="1210"/>
      <c r="D46" s="437"/>
      <c r="E46" s="438"/>
      <c r="F46" s="1210"/>
      <c r="G46" s="1214"/>
      <c r="H46" s="1214"/>
      <c r="I46" s="1218"/>
      <c r="J46" s="1214"/>
      <c r="K46" s="1214"/>
      <c r="L46" s="1212"/>
      <c r="M46" s="1214"/>
      <c r="N46" s="1214"/>
      <c r="O46" s="1214"/>
      <c r="P46" s="1212"/>
      <c r="Q46" s="1214"/>
      <c r="R46" s="1212"/>
      <c r="S46" s="1212"/>
      <c r="T46" s="1220"/>
      <c r="U46" s="1214"/>
      <c r="V46" s="2047"/>
      <c r="W46" s="1212"/>
      <c r="X46" s="1212"/>
      <c r="Y46" s="1214"/>
      <c r="Z46" s="1212"/>
      <c r="AA46" s="1212"/>
      <c r="AB46" s="1220"/>
    </row>
    <row r="47" spans="1:28">
      <c r="A47" s="441"/>
      <c r="B47" s="443"/>
      <c r="C47" s="1210"/>
      <c r="D47" s="437"/>
      <c r="E47" s="438"/>
      <c r="F47" s="1210"/>
      <c r="G47" s="1214"/>
      <c r="H47" s="1214"/>
      <c r="I47" s="1218"/>
      <c r="J47" s="1214"/>
      <c r="K47" s="1214"/>
      <c r="L47" s="1212"/>
      <c r="M47" s="1214"/>
      <c r="N47" s="1214"/>
      <c r="O47" s="1214"/>
      <c r="P47" s="1212"/>
      <c r="Q47" s="1214"/>
      <c r="R47" s="1212"/>
      <c r="S47" s="1212"/>
      <c r="T47" s="1220"/>
      <c r="U47" s="1214"/>
      <c r="V47" s="2047"/>
      <c r="W47" s="1212"/>
      <c r="X47" s="1212"/>
      <c r="Y47" s="1214"/>
      <c r="Z47" s="1212"/>
      <c r="AA47" s="1212"/>
      <c r="AB47" s="1220"/>
    </row>
    <row r="48" spans="1:28">
      <c r="A48" s="441"/>
      <c r="B48" s="443"/>
      <c r="C48" s="1210"/>
      <c r="D48" s="437"/>
      <c r="E48" s="438"/>
      <c r="F48" s="1210"/>
      <c r="G48" s="1214"/>
      <c r="H48" s="1214"/>
      <c r="I48" s="1218"/>
      <c r="J48" s="1214"/>
      <c r="K48" s="1214"/>
      <c r="L48" s="1212"/>
      <c r="M48" s="1214"/>
      <c r="N48" s="1214"/>
      <c r="O48" s="1214"/>
      <c r="P48" s="1212"/>
      <c r="Q48" s="1214"/>
      <c r="R48" s="1212"/>
      <c r="S48" s="1212"/>
      <c r="T48" s="1220"/>
      <c r="U48" s="1214"/>
      <c r="V48" s="2047"/>
      <c r="W48" s="1212"/>
      <c r="X48" s="1212"/>
      <c r="Y48" s="1214"/>
      <c r="Z48" s="1212"/>
      <c r="AA48" s="1212"/>
      <c r="AB48" s="1220"/>
    </row>
    <row r="49" spans="1:28">
      <c r="A49" s="441"/>
      <c r="B49" s="443"/>
      <c r="C49" s="1210"/>
      <c r="D49" s="437"/>
      <c r="E49" s="438"/>
      <c r="F49" s="1210"/>
      <c r="G49" s="1214"/>
      <c r="H49" s="1214"/>
      <c r="I49" s="1218"/>
      <c r="J49" s="1214"/>
      <c r="K49" s="1214"/>
      <c r="L49" s="1212"/>
      <c r="M49" s="1214"/>
      <c r="N49" s="1214"/>
      <c r="O49" s="1214"/>
      <c r="P49" s="1212"/>
      <c r="Q49" s="1214"/>
      <c r="R49" s="1212"/>
      <c r="S49" s="1212"/>
      <c r="T49" s="1220"/>
      <c r="U49" s="1214"/>
      <c r="V49" s="2047"/>
      <c r="W49" s="1212"/>
      <c r="X49" s="1212"/>
      <c r="Y49" s="1214"/>
      <c r="Z49" s="1212"/>
      <c r="AA49" s="1212"/>
      <c r="AB49" s="1220"/>
    </row>
    <row r="50" spans="1:28">
      <c r="A50" s="207"/>
      <c r="B50" s="206"/>
      <c r="C50" s="1214"/>
      <c r="D50" s="1214"/>
      <c r="E50" s="2047"/>
      <c r="F50" s="1212"/>
      <c r="G50" s="1214"/>
      <c r="H50" s="1214"/>
      <c r="I50" s="1218"/>
      <c r="J50" s="1214"/>
      <c r="K50" s="1214"/>
      <c r="L50" s="1212"/>
      <c r="M50" s="1214"/>
      <c r="N50" s="1214"/>
      <c r="O50" s="1214"/>
      <c r="P50" s="1212"/>
      <c r="Q50" s="1214"/>
      <c r="R50" s="1212"/>
      <c r="S50" s="1212"/>
      <c r="T50" s="1220"/>
      <c r="U50" s="1214"/>
      <c r="V50" s="2047"/>
      <c r="W50" s="1212"/>
      <c r="X50" s="1212"/>
      <c r="Y50" s="1214"/>
      <c r="Z50" s="1212"/>
      <c r="AA50" s="1212"/>
      <c r="AB50" s="1220"/>
    </row>
    <row r="51" spans="1:28">
      <c r="A51" s="207"/>
      <c r="B51" s="206"/>
      <c r="C51" s="1214"/>
      <c r="D51" s="1214"/>
      <c r="E51" s="2047"/>
      <c r="F51" s="1212"/>
      <c r="G51" s="1214"/>
      <c r="H51" s="1214"/>
      <c r="I51" s="1218"/>
      <c r="J51" s="1214"/>
      <c r="K51" s="1214"/>
      <c r="L51" s="1212"/>
      <c r="M51" s="1214"/>
      <c r="N51" s="1214"/>
      <c r="O51" s="1214"/>
      <c r="P51" s="1212"/>
      <c r="Q51" s="1214"/>
      <c r="R51" s="1212"/>
      <c r="S51" s="1212"/>
      <c r="T51" s="1220"/>
      <c r="U51" s="1214"/>
      <c r="V51" s="2047"/>
      <c r="W51" s="1212"/>
      <c r="X51" s="1212"/>
      <c r="Y51" s="1214"/>
      <c r="Z51" s="1212"/>
      <c r="AA51" s="1212"/>
      <c r="AB51" s="1220"/>
    </row>
    <row r="52" spans="1:28">
      <c r="A52" s="207"/>
      <c r="B52" s="206"/>
      <c r="C52" s="1214"/>
      <c r="D52" s="1214"/>
      <c r="E52" s="2077"/>
      <c r="F52" s="1212"/>
      <c r="G52" s="1214"/>
      <c r="H52" s="1214"/>
      <c r="I52" s="1218"/>
      <c r="J52" s="1214"/>
      <c r="K52" s="1214"/>
      <c r="L52" s="1212"/>
      <c r="M52" s="1214"/>
      <c r="N52" s="1214"/>
      <c r="O52" s="1214"/>
      <c r="P52" s="1212"/>
      <c r="Q52" s="1214"/>
      <c r="R52" s="1212"/>
      <c r="S52" s="1212"/>
      <c r="T52" s="1220"/>
      <c r="U52" s="1214"/>
      <c r="V52" s="2077"/>
      <c r="W52" s="1212"/>
      <c r="X52" s="1212"/>
      <c r="Y52" s="1214"/>
      <c r="Z52" s="1212"/>
      <c r="AA52" s="1212"/>
      <c r="AB52" s="1220"/>
    </row>
    <row r="53" spans="1:28">
      <c r="A53" s="207"/>
      <c r="B53" s="206"/>
      <c r="C53" s="1212"/>
      <c r="D53" s="1214"/>
      <c r="E53" s="1217"/>
      <c r="F53" s="1212"/>
      <c r="G53" s="1214"/>
      <c r="H53" s="1214"/>
      <c r="I53" s="1214"/>
      <c r="J53" s="1214"/>
      <c r="K53" s="1214"/>
      <c r="L53" s="1212"/>
      <c r="M53" s="1214"/>
      <c r="N53" s="1214"/>
      <c r="O53" s="1214"/>
      <c r="P53" s="1212"/>
      <c r="Q53" s="1214"/>
      <c r="R53" s="1212"/>
      <c r="S53" s="1212"/>
      <c r="T53" s="1220"/>
      <c r="U53" s="1214"/>
      <c r="V53" s="1217"/>
      <c r="W53" s="1212"/>
      <c r="X53" s="1212"/>
      <c r="Y53" s="1214"/>
      <c r="Z53" s="1212"/>
      <c r="AA53" s="1212"/>
      <c r="AB53" s="1220"/>
    </row>
    <row r="54" spans="1:28">
      <c r="A54" s="207"/>
      <c r="B54" s="444"/>
      <c r="C54" s="1212"/>
      <c r="D54" s="1214"/>
      <c r="E54" s="1217"/>
      <c r="F54" s="1214"/>
      <c r="G54" s="1214"/>
      <c r="H54" s="1214"/>
      <c r="I54" s="1214"/>
      <c r="J54" s="1214"/>
      <c r="K54" s="1214"/>
      <c r="L54" s="1212">
        <f>I54-J54+K54</f>
        <v>0</v>
      </c>
      <c r="M54" s="1214"/>
      <c r="N54" s="1214"/>
      <c r="O54" s="1214"/>
      <c r="P54" s="1212">
        <v>0</v>
      </c>
      <c r="Q54" s="1214"/>
      <c r="R54" s="1212">
        <v>0</v>
      </c>
      <c r="S54" s="1212">
        <f>+P54-R54</f>
        <v>0</v>
      </c>
      <c r="T54" s="1220"/>
      <c r="U54" s="1214"/>
      <c r="V54" s="1217"/>
      <c r="W54" s="1214"/>
      <c r="X54" s="1212">
        <v>0</v>
      </c>
      <c r="Y54" s="1214"/>
      <c r="Z54" s="1212">
        <v>0</v>
      </c>
      <c r="AA54" s="1212">
        <v>0</v>
      </c>
      <c r="AB54" s="1220"/>
    </row>
    <row r="55" spans="1:28">
      <c r="A55" s="207"/>
      <c r="B55" s="206"/>
      <c r="C55" s="1212"/>
      <c r="D55" s="1214"/>
      <c r="E55" s="1217"/>
      <c r="F55" s="1214"/>
      <c r="G55" s="1214"/>
      <c r="H55" s="1214"/>
      <c r="I55" s="1214"/>
      <c r="J55" s="1214"/>
      <c r="K55" s="1214"/>
      <c r="L55" s="1212"/>
      <c r="M55" s="1214"/>
      <c r="N55" s="1214"/>
      <c r="O55" s="1214"/>
      <c r="P55" s="1212"/>
      <c r="Q55" s="1214"/>
      <c r="R55" s="1212"/>
      <c r="S55" s="1212"/>
      <c r="T55" s="1220"/>
      <c r="U55" s="1214"/>
      <c r="V55" s="1217"/>
      <c r="W55" s="1214"/>
      <c r="X55" s="1212"/>
      <c r="Y55" s="1214"/>
      <c r="Z55" s="1212"/>
      <c r="AA55" s="1212"/>
      <c r="AB55" s="1220"/>
    </row>
    <row r="56" spans="1:28">
      <c r="A56" s="207"/>
      <c r="B56" s="206"/>
      <c r="C56" s="1212"/>
      <c r="D56" s="1214"/>
      <c r="E56" s="1214"/>
      <c r="F56" s="1214"/>
      <c r="G56" s="1214"/>
      <c r="H56" s="1214"/>
      <c r="I56" s="1214"/>
      <c r="J56" s="1214"/>
      <c r="K56" s="1214"/>
      <c r="L56" s="1212">
        <f>I56-J56+K56</f>
        <v>0</v>
      </c>
      <c r="M56" s="1214"/>
      <c r="N56" s="1214"/>
      <c r="O56" s="1214"/>
      <c r="P56" s="1212">
        <v>0</v>
      </c>
      <c r="Q56" s="1214"/>
      <c r="R56" s="1212">
        <v>0</v>
      </c>
      <c r="S56" s="1212">
        <f>+P56-R56</f>
        <v>0</v>
      </c>
      <c r="T56" s="1220"/>
      <c r="U56" s="1214"/>
      <c r="V56" s="1214"/>
      <c r="W56" s="1214"/>
      <c r="X56" s="1212">
        <v>0</v>
      </c>
      <c r="Y56" s="1214"/>
      <c r="Z56" s="1212">
        <v>0</v>
      </c>
      <c r="AA56" s="1212">
        <v>0</v>
      </c>
      <c r="AB56" s="1220"/>
    </row>
    <row r="57" spans="1:28">
      <c r="A57" s="208"/>
      <c r="B57" s="445" t="s">
        <v>17</v>
      </c>
      <c r="C57" s="892">
        <f t="shared" ref="C57:AB57" si="3">SUM(C15:C56)</f>
        <v>28770330</v>
      </c>
      <c r="D57" s="892">
        <f t="shared" si="3"/>
        <v>28770330</v>
      </c>
      <c r="E57" s="892">
        <f t="shared" si="3"/>
        <v>15</v>
      </c>
      <c r="F57" s="892">
        <f t="shared" si="3"/>
        <v>28770330</v>
      </c>
      <c r="G57" s="892">
        <f t="shared" si="3"/>
        <v>49500</v>
      </c>
      <c r="H57" s="892">
        <f t="shared" si="3"/>
        <v>0</v>
      </c>
      <c r="I57" s="892">
        <f t="shared" si="3"/>
        <v>712800</v>
      </c>
      <c r="J57" s="892">
        <f t="shared" si="3"/>
        <v>0</v>
      </c>
      <c r="K57" s="892">
        <f t="shared" si="3"/>
        <v>16716</v>
      </c>
      <c r="L57" s="892">
        <f t="shared" si="3"/>
        <v>729516</v>
      </c>
      <c r="M57" s="892">
        <f t="shared" si="3"/>
        <v>0</v>
      </c>
      <c r="N57" s="892">
        <f t="shared" si="3"/>
        <v>49500</v>
      </c>
      <c r="O57" s="892">
        <f t="shared" si="3"/>
        <v>0</v>
      </c>
      <c r="P57" s="892">
        <f t="shared" si="3"/>
        <v>729516</v>
      </c>
      <c r="Q57" s="892">
        <f t="shared" si="3"/>
        <v>0</v>
      </c>
      <c r="R57" s="892">
        <f t="shared" si="3"/>
        <v>729516</v>
      </c>
      <c r="S57" s="892">
        <f t="shared" si="3"/>
        <v>0</v>
      </c>
      <c r="T57" s="892">
        <f t="shared" si="3"/>
        <v>938484</v>
      </c>
      <c r="U57" s="892">
        <f t="shared" si="3"/>
        <v>1668000</v>
      </c>
      <c r="V57" s="892">
        <f t="shared" si="3"/>
        <v>3</v>
      </c>
      <c r="W57" s="892">
        <f t="shared" si="3"/>
        <v>1668000</v>
      </c>
      <c r="X57" s="892">
        <f t="shared" si="3"/>
        <v>729516</v>
      </c>
      <c r="Y57" s="892">
        <f t="shared" si="3"/>
        <v>49500</v>
      </c>
      <c r="Z57" s="892">
        <f t="shared" si="3"/>
        <v>729516</v>
      </c>
      <c r="AA57" s="892">
        <f t="shared" si="3"/>
        <v>0</v>
      </c>
      <c r="AB57" s="892">
        <f t="shared" si="3"/>
        <v>1668000</v>
      </c>
    </row>
    <row r="58" spans="1:28">
      <c r="A58" s="210"/>
      <c r="B58" s="446"/>
      <c r="F58" s="2079"/>
      <c r="G58" s="1853"/>
      <c r="H58" s="1853"/>
      <c r="I58" s="1853"/>
      <c r="J58" s="1853"/>
      <c r="K58" s="1853"/>
      <c r="L58" s="1853"/>
      <c r="M58" s="1853"/>
      <c r="N58" s="1853"/>
      <c r="P58" s="1853"/>
      <c r="Q58" s="1797"/>
      <c r="R58" s="1797"/>
    </row>
    <row r="59" spans="1:28">
      <c r="A59" s="210"/>
      <c r="B59" s="446"/>
      <c r="F59" s="2079"/>
      <c r="G59" s="1853"/>
      <c r="H59" s="1853"/>
      <c r="I59" s="1853"/>
      <c r="J59" s="1853"/>
      <c r="K59" s="1853"/>
      <c r="L59" s="1853"/>
      <c r="M59" s="1853"/>
      <c r="N59" s="1853"/>
      <c r="P59" s="1853"/>
      <c r="Q59" s="1797"/>
      <c r="R59" s="1797"/>
    </row>
    <row r="60" spans="1:28">
      <c r="A60" s="210"/>
      <c r="B60" s="446"/>
      <c r="E60" s="2078" t="s">
        <v>219</v>
      </c>
      <c r="F60" s="2080">
        <f>+F57/1.2</f>
        <v>23975275</v>
      </c>
      <c r="G60" s="1853"/>
      <c r="H60" s="1853"/>
      <c r="I60" s="1853"/>
      <c r="J60" s="1853"/>
      <c r="K60" s="1853"/>
      <c r="L60" s="1853"/>
      <c r="M60" s="1853"/>
      <c r="N60" s="1853"/>
      <c r="P60" s="1853">
        <v>515676</v>
      </c>
      <c r="Q60" s="1797">
        <v>0</v>
      </c>
      <c r="R60" s="1797"/>
    </row>
    <row r="61" spans="1:28">
      <c r="F61" s="2080"/>
      <c r="P61" s="1797">
        <f>+P60-P57</f>
        <v>-213840</v>
      </c>
      <c r="R61" s="1797"/>
    </row>
    <row r="62" spans="1:28">
      <c r="F62" s="2080"/>
      <c r="R62" s="1797"/>
    </row>
    <row r="63" spans="1:28">
      <c r="R63" s="1797"/>
    </row>
    <row r="64" spans="1:28">
      <c r="A64" s="194" t="s">
        <v>59</v>
      </c>
      <c r="F64" s="2080"/>
    </row>
  </sheetData>
  <mergeCells count="3">
    <mergeCell ref="E1:F1"/>
    <mergeCell ref="B2:L2"/>
    <mergeCell ref="D8:F8"/>
  </mergeCells>
  <phoneticPr fontId="0" type="noConversion"/>
  <conditionalFormatting sqref="U11:AC12 U8:W10 Y10 AA10:AC10 AC8 X9:AC9">
    <cfRule type="cellIs" dxfId="21" priority="1" stopIfTrue="1" operator="equal">
      <formula>0</formula>
    </cfRule>
  </conditionalFormatting>
  <pageMargins left="0.23" right="0.78740157499999996" top="0.38" bottom="0.35" header="0.19" footer="0.16"/>
  <pageSetup paperSize="9" scale="57" orientation="landscape" r:id="rId1"/>
  <headerFooter alignWithMargins="0"/>
  <colBreaks count="1" manualBreakCount="1">
    <brk id="20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/>
  <dimension ref="A1:AM63"/>
  <sheetViews>
    <sheetView showGridLines="0" showZeros="0" topLeftCell="M1" workbookViewId="0">
      <selection activeCell="Z17" sqref="Z17:Z18"/>
    </sheetView>
  </sheetViews>
  <sheetFormatPr baseColWidth="10" defaultColWidth="16.25" defaultRowHeight="12"/>
  <cols>
    <col min="1" max="1" width="10.25" style="10" customWidth="1"/>
    <col min="2" max="2" width="35.375" style="454" customWidth="1"/>
    <col min="3" max="3" width="11.875" style="213" customWidth="1"/>
    <col min="4" max="4" width="9.875" style="213" bestFit="1" customWidth="1"/>
    <col min="5" max="5" width="7.625" style="213" customWidth="1"/>
    <col min="6" max="7" width="10.25" style="213" customWidth="1"/>
    <col min="8" max="8" width="11.5" style="213" bestFit="1" customWidth="1"/>
    <col min="9" max="9" width="10.25" style="213" customWidth="1"/>
    <col min="10" max="10" width="12" style="213" customWidth="1"/>
    <col min="11" max="11" width="10.25" style="213" customWidth="1"/>
    <col min="12" max="12" width="9.875" style="213" bestFit="1" customWidth="1"/>
    <col min="13" max="13" width="9.75" style="213" customWidth="1"/>
    <col min="14" max="14" width="8.75" style="213" customWidth="1"/>
    <col min="15" max="15" width="6.375" style="213" customWidth="1"/>
    <col min="16" max="16" width="16.25" style="213"/>
    <col min="17" max="17" width="8" style="788" customWidth="1"/>
    <col min="18" max="19" width="16.25" style="788"/>
    <col min="20" max="20" width="10.875" style="788" customWidth="1"/>
    <col min="21" max="21" width="9" style="213" customWidth="1"/>
    <col min="22" max="22" width="4.875" style="213" customWidth="1"/>
    <col min="23" max="23" width="10.25" style="213" customWidth="1"/>
    <col min="24" max="28" width="11.75" style="212" customWidth="1"/>
    <col min="29" max="30" width="11" style="792" customWidth="1"/>
    <col min="31" max="32" width="16.25" style="788"/>
    <col min="33" max="33" width="11.75" style="792" customWidth="1"/>
    <col min="34" max="34" width="13.75" style="792" customWidth="1"/>
    <col min="35" max="35" width="16.25" style="11"/>
    <col min="36" max="37" width="16.25" style="12"/>
    <col min="38" max="38" width="11.75" style="212" customWidth="1"/>
    <col min="39" max="39" width="13.75" style="212" customWidth="1"/>
    <col min="40" max="16384" width="16.25" style="12"/>
  </cols>
  <sheetData>
    <row r="1" spans="1:39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9" ht="12.75" customHeight="1">
      <c r="A2" s="1221" t="s">
        <v>65</v>
      </c>
      <c r="B2" s="1489" t="s">
        <v>220</v>
      </c>
      <c r="C2" s="2048"/>
      <c r="D2" s="2048"/>
      <c r="E2" s="2048"/>
      <c r="F2" s="2048"/>
      <c r="G2" s="2048"/>
      <c r="H2" s="2048"/>
      <c r="I2" s="2048"/>
      <c r="J2" s="2048"/>
      <c r="Q2" s="213"/>
      <c r="R2" s="213"/>
    </row>
    <row r="3" spans="1:39" customFormat="1" ht="12.75" customHeight="1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217" t="s">
        <v>221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792"/>
      <c r="AD3" s="792"/>
      <c r="AE3" s="212"/>
      <c r="AF3" s="212"/>
      <c r="AG3" s="792"/>
      <c r="AH3" s="792"/>
      <c r="AI3" s="1"/>
      <c r="AL3" s="212"/>
      <c r="AM3" s="212"/>
    </row>
    <row r="4" spans="1:39" ht="12.75" customHeight="1">
      <c r="A4" s="448" t="s">
        <v>61</v>
      </c>
      <c r="B4" s="449" t="s">
        <v>222</v>
      </c>
      <c r="C4" s="1947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</row>
    <row r="5" spans="1:39" ht="12.75" customHeight="1">
      <c r="A5" s="13" t="s">
        <v>74</v>
      </c>
      <c r="B5" s="450">
        <v>201001028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</row>
    <row r="6" spans="1:39" ht="15.75" customHeight="1">
      <c r="A6" s="13" t="s">
        <v>75</v>
      </c>
      <c r="B6" s="14"/>
      <c r="C6" s="216"/>
      <c r="D6" s="216"/>
      <c r="E6" s="216"/>
      <c r="F6" s="217"/>
      <c r="G6" s="217"/>
      <c r="H6" s="790"/>
      <c r="I6" s="1723"/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</row>
    <row r="7" spans="1:39" ht="14.25" customHeight="1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2049"/>
      <c r="K7" s="1725"/>
      <c r="L7" s="2050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</row>
    <row r="8" spans="1:39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1934"/>
      <c r="V8" s="2051" t="s">
        <v>82</v>
      </c>
      <c r="W8" s="1935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417" t="s">
        <v>64</v>
      </c>
      <c r="AL8" s="2448" t="str">
        <f>"Production cumulée au 31/12/"&amp;(YEAR($E$1)-1)</f>
        <v>Production cumulée au 31/12/2014</v>
      </c>
      <c r="AM8" s="2448" t="str">
        <f>"Sous traitance cumulée au 31/12/"&amp;(YEAR($E$1)-1)</f>
        <v>Sous traitance cumulée au 31/12/2014</v>
      </c>
    </row>
    <row r="9" spans="1:39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1936"/>
      <c r="V9" s="1937"/>
      <c r="W9" s="1938"/>
      <c r="X9" s="2418"/>
      <c r="Y9" s="2418"/>
      <c r="Z9" s="2418"/>
      <c r="AA9" s="2418"/>
      <c r="AB9" s="2418"/>
      <c r="AL9" s="2449"/>
      <c r="AM9" s="2449"/>
    </row>
    <row r="10" spans="1:39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418"/>
      <c r="AL10" s="2449"/>
      <c r="AM10" s="2449"/>
    </row>
    <row r="11" spans="1:39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418"/>
      <c r="AL11" s="2449"/>
      <c r="AM11" s="2449"/>
    </row>
    <row r="12" spans="1:39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418"/>
      <c r="Y12" s="2418"/>
      <c r="Z12" s="2418"/>
      <c r="AA12" s="2418"/>
      <c r="AB12" s="2418"/>
      <c r="AL12" s="2449"/>
      <c r="AM12" s="2449"/>
    </row>
    <row r="13" spans="1:39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L13" s="289"/>
      <c r="AM13" s="289"/>
    </row>
    <row r="14" spans="1:39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>
        <f t="shared" ref="T14:T26" si="0">W14-L14</f>
        <v>0</v>
      </c>
      <c r="U14" s="1739"/>
      <c r="V14" s="1739"/>
      <c r="W14" s="1739"/>
      <c r="X14" s="1739"/>
      <c r="Y14" s="1739"/>
      <c r="Z14" s="1739"/>
      <c r="AA14" s="1739"/>
      <c r="AB14" s="1739"/>
      <c r="AL14" s="8"/>
      <c r="AM14" s="8"/>
    </row>
    <row r="15" spans="1:39" ht="12.75">
      <c r="A15" s="22"/>
      <c r="B15" s="23"/>
      <c r="C15" s="1739"/>
      <c r="D15" s="1739"/>
      <c r="E15" s="1739"/>
      <c r="F15" s="1739"/>
      <c r="G15" s="1737"/>
      <c r="H15" s="1737"/>
      <c r="I15" s="1739"/>
      <c r="J15" s="1739"/>
      <c r="K15" s="1739"/>
      <c r="L15" s="1739"/>
      <c r="M15" s="1739"/>
      <c r="N15" s="1739"/>
      <c r="O15" s="1739"/>
      <c r="P15" s="1739"/>
      <c r="Q15" s="1739"/>
      <c r="R15" s="1739"/>
      <c r="S15" s="1739"/>
      <c r="T15" s="1739">
        <f t="shared" si="0"/>
        <v>0</v>
      </c>
      <c r="U15" s="1739"/>
      <c r="V15" s="1739"/>
      <c r="W15" s="1739"/>
      <c r="X15" s="1739"/>
      <c r="Y15" s="1739"/>
      <c r="Z15" s="1739"/>
      <c r="AA15" s="1739"/>
      <c r="AB15" s="1739"/>
      <c r="AL15" s="8"/>
      <c r="AM15" s="8"/>
    </row>
    <row r="16" spans="1:39" ht="12" customHeight="1">
      <c r="A16" s="24"/>
      <c r="B16" s="25"/>
      <c r="C16" s="1948"/>
      <c r="D16" s="1948"/>
      <c r="E16" s="1949"/>
      <c r="F16" s="1950">
        <f>D16*E16</f>
        <v>0</v>
      </c>
      <c r="G16" s="1950"/>
      <c r="H16" s="1950"/>
      <c r="I16" s="1950"/>
      <c r="J16" s="1950"/>
      <c r="K16" s="1950"/>
      <c r="L16" s="1950">
        <f>I16-J16+K16</f>
        <v>0</v>
      </c>
      <c r="M16" s="1950"/>
      <c r="N16" s="1950"/>
      <c r="O16" s="1949"/>
      <c r="P16" s="1950">
        <v>0</v>
      </c>
      <c r="Q16" s="1948"/>
      <c r="R16" s="1948">
        <v>0</v>
      </c>
      <c r="S16" s="1751">
        <f>P16-R16</f>
        <v>0</v>
      </c>
      <c r="T16" s="1739">
        <f t="shared" si="0"/>
        <v>0</v>
      </c>
      <c r="U16" s="1948"/>
      <c r="V16" s="1949"/>
      <c r="W16" s="1950">
        <f t="shared" ref="W16:W22" si="1">U16*V16</f>
        <v>0</v>
      </c>
      <c r="X16" s="1950">
        <v>0</v>
      </c>
      <c r="Y16" s="1950"/>
      <c r="Z16" s="1950">
        <v>0</v>
      </c>
      <c r="AA16" s="1948">
        <v>0</v>
      </c>
      <c r="AB16" s="1950"/>
      <c r="AL16" s="26">
        <v>0</v>
      </c>
      <c r="AM16" s="26"/>
    </row>
    <row r="17" spans="1:39" ht="33.75">
      <c r="A17" s="1222">
        <v>1</v>
      </c>
      <c r="B17" s="62" t="s">
        <v>223</v>
      </c>
      <c r="C17" s="502">
        <f>400000*1.2</f>
        <v>480000</v>
      </c>
      <c r="D17" s="502">
        <f>+C17</f>
        <v>480000</v>
      </c>
      <c r="E17" s="511">
        <v>1</v>
      </c>
      <c r="F17" s="500">
        <f>D17*E17</f>
        <v>480000</v>
      </c>
      <c r="G17" s="500">
        <v>864379.71</v>
      </c>
      <c r="H17" s="500" t="s">
        <v>224</v>
      </c>
      <c r="I17" s="500">
        <f>W17</f>
        <v>480000</v>
      </c>
      <c r="J17" s="500"/>
      <c r="K17" s="500"/>
      <c r="L17" s="500">
        <f>+I17-J17+K17</f>
        <v>480000</v>
      </c>
      <c r="M17" s="500"/>
      <c r="N17" s="500">
        <v>864379.71</v>
      </c>
      <c r="O17" s="511">
        <v>1</v>
      </c>
      <c r="P17" s="500">
        <f>+O17*D17</f>
        <v>480000</v>
      </c>
      <c r="Q17" s="500">
        <v>1</v>
      </c>
      <c r="R17" s="502">
        <f>+Q17*D17</f>
        <v>480000</v>
      </c>
      <c r="S17" s="502">
        <f>+P17-R17</f>
        <v>0</v>
      </c>
      <c r="T17" s="502">
        <f t="shared" si="0"/>
        <v>0</v>
      </c>
      <c r="U17" s="502">
        <v>480000</v>
      </c>
      <c r="V17" s="511">
        <v>1</v>
      </c>
      <c r="W17" s="500">
        <f t="shared" si="1"/>
        <v>480000</v>
      </c>
      <c r="X17" s="500">
        <v>480000</v>
      </c>
      <c r="Y17" s="500">
        <v>864379.71</v>
      </c>
      <c r="Z17" s="500">
        <v>480000</v>
      </c>
      <c r="AA17" s="502">
        <v>0</v>
      </c>
      <c r="AB17" s="500">
        <v>480000</v>
      </c>
      <c r="AL17" s="26">
        <v>298000</v>
      </c>
      <c r="AM17" s="27"/>
    </row>
    <row r="18" spans="1:39" ht="42.75" customHeight="1">
      <c r="A18" s="1223">
        <v>2</v>
      </c>
      <c r="B18" s="401" t="s">
        <v>201</v>
      </c>
      <c r="C18" s="502">
        <f>600000*1.2</f>
        <v>720000</v>
      </c>
      <c r="D18" s="502">
        <f>+C18</f>
        <v>720000</v>
      </c>
      <c r="E18" s="511">
        <v>1</v>
      </c>
      <c r="F18" s="500">
        <f>D18*E18</f>
        <v>720000</v>
      </c>
      <c r="G18" s="1787">
        <f>10000</f>
        <v>10000</v>
      </c>
      <c r="H18" s="500" t="s">
        <v>225</v>
      </c>
      <c r="I18" s="500">
        <f>+W18</f>
        <v>720000</v>
      </c>
      <c r="J18" s="500"/>
      <c r="K18" s="500"/>
      <c r="L18" s="500">
        <f>+I18-J18+K18</f>
        <v>720000</v>
      </c>
      <c r="M18" s="500"/>
      <c r="N18" s="500">
        <f>G18</f>
        <v>10000</v>
      </c>
      <c r="O18" s="511">
        <f>+P18/D18</f>
        <v>1</v>
      </c>
      <c r="P18" s="500">
        <v>720000</v>
      </c>
      <c r="Q18" s="500">
        <v>1</v>
      </c>
      <c r="R18" s="502">
        <f>+Q18*D18</f>
        <v>720000</v>
      </c>
      <c r="S18" s="502">
        <f>+P18-R18</f>
        <v>0</v>
      </c>
      <c r="T18" s="502">
        <f t="shared" si="0"/>
        <v>0</v>
      </c>
      <c r="U18" s="502">
        <v>720000</v>
      </c>
      <c r="V18" s="511">
        <v>1</v>
      </c>
      <c r="W18" s="500">
        <f t="shared" si="1"/>
        <v>720000</v>
      </c>
      <c r="X18" s="500">
        <v>720000</v>
      </c>
      <c r="Y18" s="500">
        <v>10000</v>
      </c>
      <c r="Z18" s="500">
        <v>720000</v>
      </c>
      <c r="AA18" s="502">
        <v>0</v>
      </c>
      <c r="AB18" s="500">
        <v>720000</v>
      </c>
      <c r="AL18" s="26">
        <v>0</v>
      </c>
      <c r="AM18" s="27"/>
    </row>
    <row r="19" spans="1:39" ht="27.75" customHeight="1">
      <c r="A19" s="1223">
        <v>3</v>
      </c>
      <c r="B19" s="401" t="s">
        <v>202</v>
      </c>
      <c r="C19" s="1429">
        <f>200000*1.2</f>
        <v>240000</v>
      </c>
      <c r="D19" s="502">
        <f>+C19</f>
        <v>240000</v>
      </c>
      <c r="E19" s="511">
        <v>1</v>
      </c>
      <c r="F19" s="500">
        <f>D19*E19</f>
        <v>240000</v>
      </c>
      <c r="G19" s="500">
        <v>71400</v>
      </c>
      <c r="H19" s="500" t="s">
        <v>226</v>
      </c>
      <c r="I19" s="500">
        <f>+W19</f>
        <v>240000</v>
      </c>
      <c r="J19" s="500">
        <f>I19*0.4</f>
        <v>96000</v>
      </c>
      <c r="K19" s="500"/>
      <c r="L19" s="500">
        <f>+I19-J19+K19</f>
        <v>144000</v>
      </c>
      <c r="M19" s="500"/>
      <c r="N19" s="500">
        <v>71400</v>
      </c>
      <c r="O19" s="511"/>
      <c r="P19" s="500"/>
      <c r="Q19" s="500"/>
      <c r="R19" s="502"/>
      <c r="S19" s="502">
        <f>+P19-R19</f>
        <v>0</v>
      </c>
      <c r="T19" s="502">
        <f t="shared" si="0"/>
        <v>96000</v>
      </c>
      <c r="U19" s="502">
        <v>240000</v>
      </c>
      <c r="V19" s="511">
        <v>1</v>
      </c>
      <c r="W19" s="500">
        <f t="shared" si="1"/>
        <v>240000</v>
      </c>
      <c r="X19" s="500">
        <v>144000</v>
      </c>
      <c r="Y19" s="500">
        <v>71400</v>
      </c>
      <c r="Z19" s="500"/>
      <c r="AA19" s="502"/>
      <c r="AB19" s="500">
        <v>240000</v>
      </c>
      <c r="AL19" s="26"/>
      <c r="AM19" s="27"/>
    </row>
    <row r="20" spans="1:39" ht="27" customHeight="1">
      <c r="A20" s="1223"/>
      <c r="B20" s="402"/>
      <c r="C20" s="500"/>
      <c r="D20" s="500"/>
      <c r="E20" s="511"/>
      <c r="F20" s="500"/>
      <c r="G20" s="500"/>
      <c r="H20" s="500"/>
      <c r="I20" s="500"/>
      <c r="J20" s="500"/>
      <c r="K20" s="500"/>
      <c r="L20" s="500"/>
      <c r="M20" s="500"/>
      <c r="N20" s="500"/>
      <c r="O20" s="511"/>
      <c r="P20" s="500">
        <v>0</v>
      </c>
      <c r="Q20" s="500"/>
      <c r="R20" s="502"/>
      <c r="S20" s="502">
        <f>+P20-R20</f>
        <v>0</v>
      </c>
      <c r="T20" s="502">
        <f t="shared" si="0"/>
        <v>0</v>
      </c>
      <c r="U20" s="500">
        <f>D20</f>
        <v>0</v>
      </c>
      <c r="V20" s="511"/>
      <c r="W20" s="500">
        <f t="shared" si="1"/>
        <v>0</v>
      </c>
      <c r="X20" s="500"/>
      <c r="Y20" s="500"/>
      <c r="Z20" s="500">
        <v>0</v>
      </c>
      <c r="AA20" s="502"/>
      <c r="AB20" s="500">
        <v>0</v>
      </c>
      <c r="AL20" s="26"/>
      <c r="AM20" s="27"/>
    </row>
    <row r="21" spans="1:39" ht="12.75">
      <c r="A21" s="1223"/>
      <c r="B21" s="63"/>
      <c r="C21" s="502"/>
      <c r="D21" s="797"/>
      <c r="E21" s="511"/>
      <c r="F21" s="500">
        <f>D21*E21</f>
        <v>0</v>
      </c>
      <c r="G21" s="500"/>
      <c r="H21" s="500"/>
      <c r="I21" s="500"/>
      <c r="J21" s="500"/>
      <c r="K21" s="500"/>
      <c r="L21" s="500"/>
      <c r="M21" s="500"/>
      <c r="N21" s="500"/>
      <c r="O21" s="511"/>
      <c r="P21" s="500">
        <v>0</v>
      </c>
      <c r="Q21" s="500"/>
      <c r="R21" s="502"/>
      <c r="S21" s="502">
        <f>P21-R21</f>
        <v>0</v>
      </c>
      <c r="T21" s="502">
        <f t="shared" si="0"/>
        <v>0</v>
      </c>
      <c r="U21" s="797"/>
      <c r="V21" s="511"/>
      <c r="W21" s="500">
        <f t="shared" si="1"/>
        <v>0</v>
      </c>
      <c r="X21" s="500"/>
      <c r="Y21" s="500"/>
      <c r="Z21" s="500">
        <v>0</v>
      </c>
      <c r="AA21" s="502"/>
      <c r="AB21" s="500"/>
      <c r="AL21" s="26">
        <v>0</v>
      </c>
      <c r="AM21" s="27"/>
    </row>
    <row r="22" spans="1:39" ht="12.75">
      <c r="A22" s="815"/>
      <c r="B22" s="451"/>
      <c r="C22" s="502"/>
      <c r="D22" s="797"/>
      <c r="E22" s="511"/>
      <c r="F22" s="500">
        <f>D22*E22</f>
        <v>0</v>
      </c>
      <c r="G22" s="797"/>
      <c r="H22" s="797"/>
      <c r="I22" s="797"/>
      <c r="J22" s="797"/>
      <c r="K22" s="797"/>
      <c r="L22" s="500"/>
      <c r="M22" s="797"/>
      <c r="N22" s="797"/>
      <c r="O22" s="511"/>
      <c r="P22" s="500">
        <v>0</v>
      </c>
      <c r="Q22" s="797"/>
      <c r="R22" s="797">
        <v>0</v>
      </c>
      <c r="S22" s="502">
        <f>P22-R22</f>
        <v>0</v>
      </c>
      <c r="T22" s="502">
        <f t="shared" si="0"/>
        <v>0</v>
      </c>
      <c r="U22" s="797"/>
      <c r="V22" s="511"/>
      <c r="W22" s="500">
        <f t="shared" si="1"/>
        <v>0</v>
      </c>
      <c r="X22" s="500"/>
      <c r="Y22" s="797"/>
      <c r="Z22" s="500">
        <v>0</v>
      </c>
      <c r="AA22" s="797">
        <v>0</v>
      </c>
      <c r="AB22" s="500"/>
      <c r="AL22" s="26">
        <v>0</v>
      </c>
      <c r="AM22" s="31"/>
    </row>
    <row r="23" spans="1:39" ht="12.75" customHeight="1">
      <c r="A23" s="815"/>
      <c r="B23" s="452"/>
      <c r="C23" s="502"/>
      <c r="D23" s="1385">
        <f>C23</f>
        <v>0</v>
      </c>
      <c r="E23" s="1385"/>
      <c r="F23" s="1385">
        <f>E23*D23</f>
        <v>0</v>
      </c>
      <c r="G23" s="797"/>
      <c r="H23" s="797"/>
      <c r="I23" s="797"/>
      <c r="J23" s="797"/>
      <c r="K23" s="797"/>
      <c r="L23" s="500"/>
      <c r="M23" s="797"/>
      <c r="N23" s="797"/>
      <c r="O23" s="511"/>
      <c r="P23" s="500"/>
      <c r="Q23" s="797"/>
      <c r="R23" s="797"/>
      <c r="S23" s="502"/>
      <c r="T23" s="502">
        <f t="shared" si="0"/>
        <v>0</v>
      </c>
      <c r="U23" s="502"/>
      <c r="V23" s="511"/>
      <c r="W23" s="500"/>
      <c r="X23" s="500"/>
      <c r="Y23" s="797"/>
      <c r="Z23" s="500"/>
      <c r="AA23" s="797"/>
      <c r="AB23" s="500"/>
      <c r="AL23" s="26"/>
      <c r="AM23" s="31"/>
    </row>
    <row r="24" spans="1:39" ht="12.75">
      <c r="A24" s="815"/>
      <c r="B24" s="816"/>
      <c r="C24" s="502"/>
      <c r="D24" s="797"/>
      <c r="E24" s="511"/>
      <c r="F24" s="500"/>
      <c r="G24" s="797"/>
      <c r="H24" s="797"/>
      <c r="I24" s="797"/>
      <c r="J24" s="797"/>
      <c r="K24" s="797"/>
      <c r="L24" s="500"/>
      <c r="M24" s="797"/>
      <c r="N24" s="797"/>
      <c r="O24" s="511"/>
      <c r="P24" s="500"/>
      <c r="Q24" s="797"/>
      <c r="R24" s="797"/>
      <c r="S24" s="502"/>
      <c r="T24" s="502">
        <f t="shared" si="0"/>
        <v>0</v>
      </c>
      <c r="U24" s="797"/>
      <c r="V24" s="511"/>
      <c r="W24" s="500"/>
      <c r="X24" s="500"/>
      <c r="Y24" s="797"/>
      <c r="Z24" s="500"/>
      <c r="AA24" s="797"/>
      <c r="AB24" s="500"/>
      <c r="AL24" s="26"/>
      <c r="AM24" s="31"/>
    </row>
    <row r="25" spans="1:39" ht="12.75" customHeight="1">
      <c r="A25" s="815"/>
      <c r="B25" s="452"/>
      <c r="C25" s="502"/>
      <c r="D25" s="1385">
        <f>C25</f>
        <v>0</v>
      </c>
      <c r="E25" s="1385"/>
      <c r="F25" s="1385">
        <f>E25*D25</f>
        <v>0</v>
      </c>
      <c r="G25" s="797"/>
      <c r="H25" s="797"/>
      <c r="I25" s="797"/>
      <c r="J25" s="797"/>
      <c r="K25" s="797"/>
      <c r="L25" s="500"/>
      <c r="M25" s="797"/>
      <c r="N25" s="797"/>
      <c r="O25" s="797"/>
      <c r="P25" s="797"/>
      <c r="Q25" s="797"/>
      <c r="R25" s="797"/>
      <c r="S25" s="502">
        <f>P25-R25</f>
        <v>0</v>
      </c>
      <c r="T25" s="502">
        <f t="shared" si="0"/>
        <v>0</v>
      </c>
      <c r="U25" s="797"/>
      <c r="V25" s="511"/>
      <c r="W25" s="500">
        <f>U25*V25</f>
        <v>0</v>
      </c>
      <c r="X25" s="500"/>
      <c r="Y25" s="797"/>
      <c r="Z25" s="797"/>
      <c r="AA25" s="797"/>
      <c r="AB25" s="500"/>
      <c r="AL25" s="26"/>
      <c r="AM25" s="31"/>
    </row>
    <row r="26" spans="1:39" ht="12.75">
      <c r="A26" s="815"/>
      <c r="B26" s="452"/>
      <c r="C26" s="502"/>
      <c r="D26" s="797"/>
      <c r="E26" s="511"/>
      <c r="F26" s="500">
        <f>D26*E26</f>
        <v>0</v>
      </c>
      <c r="G26" s="797"/>
      <c r="H26" s="797"/>
      <c r="I26" s="797"/>
      <c r="J26" s="797"/>
      <c r="K26" s="797"/>
      <c r="L26" s="500"/>
      <c r="M26" s="797"/>
      <c r="N26" s="797"/>
      <c r="O26" s="797"/>
      <c r="P26" s="797"/>
      <c r="Q26" s="797"/>
      <c r="R26" s="797"/>
      <c r="S26" s="797"/>
      <c r="T26" s="502">
        <f t="shared" si="0"/>
        <v>0</v>
      </c>
      <c r="U26" s="797"/>
      <c r="V26" s="511"/>
      <c r="W26" s="500">
        <f>U26*V26</f>
        <v>0</v>
      </c>
      <c r="X26" s="500"/>
      <c r="Y26" s="797"/>
      <c r="Z26" s="797"/>
      <c r="AA26" s="797"/>
      <c r="AB26" s="500"/>
      <c r="AL26" s="26"/>
      <c r="AM26" s="31"/>
    </row>
    <row r="27" spans="1:39">
      <c r="A27" s="815"/>
      <c r="B27" s="1224"/>
      <c r="C27" s="502"/>
      <c r="D27" s="1385">
        <f>+C23*0.6</f>
        <v>0</v>
      </c>
      <c r="E27" s="1385"/>
      <c r="F27" s="1385">
        <f>E27*D27</f>
        <v>0</v>
      </c>
      <c r="G27" s="797"/>
      <c r="H27" s="797"/>
      <c r="I27" s="1385">
        <f>+F27</f>
        <v>0</v>
      </c>
      <c r="J27" s="1385">
        <f>+I27*0.4</f>
        <v>0</v>
      </c>
      <c r="K27" s="1385"/>
      <c r="L27" s="1385">
        <f>I27-J27+K27</f>
        <v>0</v>
      </c>
      <c r="M27" s="797"/>
      <c r="N27" s="797"/>
      <c r="O27" s="797"/>
      <c r="P27" s="797"/>
      <c r="Q27" s="797"/>
      <c r="R27" s="797"/>
      <c r="S27" s="797"/>
      <c r="T27" s="502"/>
      <c r="U27" s="797"/>
      <c r="V27" s="511"/>
      <c r="W27" s="500">
        <f>U27*V27</f>
        <v>0</v>
      </c>
      <c r="X27" s="1385">
        <v>0</v>
      </c>
      <c r="Y27" s="797"/>
      <c r="Z27" s="797"/>
      <c r="AA27" s="797"/>
      <c r="AB27" s="1385"/>
      <c r="AL27" s="453">
        <v>0</v>
      </c>
      <c r="AM27" s="31"/>
    </row>
    <row r="28" spans="1:39" ht="12.75">
      <c r="A28" s="815"/>
      <c r="B28" s="1224"/>
      <c r="C28" s="502"/>
      <c r="D28" s="797"/>
      <c r="E28" s="511"/>
      <c r="F28" s="500">
        <f>D28*E28</f>
        <v>0</v>
      </c>
      <c r="G28" s="797"/>
      <c r="H28" s="797"/>
      <c r="I28" s="797"/>
      <c r="J28" s="797"/>
      <c r="K28" s="797"/>
      <c r="L28" s="500"/>
      <c r="M28" s="797"/>
      <c r="N28" s="797"/>
      <c r="O28" s="797"/>
      <c r="P28" s="797"/>
      <c r="Q28" s="797"/>
      <c r="R28" s="797"/>
      <c r="S28" s="797"/>
      <c r="T28" s="502">
        <f t="shared" ref="T28:T56" si="2">W28-L28</f>
        <v>0</v>
      </c>
      <c r="U28" s="797"/>
      <c r="V28" s="511"/>
      <c r="W28" s="500">
        <f>U28*V28</f>
        <v>0</v>
      </c>
      <c r="X28" s="500"/>
      <c r="Y28" s="797"/>
      <c r="Z28" s="797"/>
      <c r="AA28" s="797"/>
      <c r="AB28" s="500"/>
      <c r="AL28" s="26"/>
      <c r="AM28" s="31"/>
    </row>
    <row r="29" spans="1:39" ht="12.75">
      <c r="A29" s="815"/>
      <c r="B29" s="1224"/>
      <c r="C29" s="502"/>
      <c r="D29" s="797"/>
      <c r="E29" s="511"/>
      <c r="F29" s="500"/>
      <c r="G29" s="797"/>
      <c r="H29" s="797"/>
      <c r="I29" s="797"/>
      <c r="J29" s="797"/>
      <c r="K29" s="797"/>
      <c r="L29" s="500"/>
      <c r="M29" s="797"/>
      <c r="N29" s="797"/>
      <c r="O29" s="797"/>
      <c r="P29" s="797"/>
      <c r="Q29" s="797"/>
      <c r="R29" s="797"/>
      <c r="S29" s="797"/>
      <c r="T29" s="502">
        <f t="shared" si="2"/>
        <v>0</v>
      </c>
      <c r="U29" s="797"/>
      <c r="V29" s="511"/>
      <c r="W29" s="500"/>
      <c r="X29" s="500"/>
      <c r="Y29" s="797"/>
      <c r="Z29" s="797"/>
      <c r="AA29" s="797"/>
      <c r="AB29" s="500"/>
      <c r="AL29" s="26"/>
      <c r="AM29" s="31"/>
    </row>
    <row r="30" spans="1:39" ht="12.75">
      <c r="A30" s="815"/>
      <c r="B30" s="811"/>
      <c r="C30" s="797"/>
      <c r="D30" s="797"/>
      <c r="E30" s="511"/>
      <c r="F30" s="500"/>
      <c r="G30" s="797"/>
      <c r="H30" s="797"/>
      <c r="I30" s="797"/>
      <c r="J30" s="797"/>
      <c r="K30" s="797"/>
      <c r="L30" s="500"/>
      <c r="M30" s="797"/>
      <c r="N30" s="797"/>
      <c r="O30" s="797"/>
      <c r="P30" s="797"/>
      <c r="Q30" s="797"/>
      <c r="R30" s="797"/>
      <c r="S30" s="797"/>
      <c r="T30" s="502">
        <f t="shared" si="2"/>
        <v>0</v>
      </c>
      <c r="U30" s="797"/>
      <c r="V30" s="511"/>
      <c r="W30" s="500"/>
      <c r="X30" s="500"/>
      <c r="Y30" s="797"/>
      <c r="Z30" s="797"/>
      <c r="AA30" s="797"/>
      <c r="AB30" s="500"/>
      <c r="AL30" s="26"/>
      <c r="AM30" s="31"/>
    </row>
    <row r="31" spans="1:39" ht="12.75">
      <c r="A31" s="815"/>
      <c r="B31" s="811"/>
      <c r="C31" s="797"/>
      <c r="D31" s="797"/>
      <c r="E31" s="511"/>
      <c r="F31" s="500"/>
      <c r="G31" s="797"/>
      <c r="H31" s="797"/>
      <c r="I31" s="797"/>
      <c r="J31" s="797"/>
      <c r="K31" s="797"/>
      <c r="L31" s="500"/>
      <c r="M31" s="797"/>
      <c r="N31" s="797"/>
      <c r="O31" s="797"/>
      <c r="P31" s="797"/>
      <c r="Q31" s="797"/>
      <c r="R31" s="797"/>
      <c r="S31" s="797"/>
      <c r="T31" s="502">
        <f t="shared" si="2"/>
        <v>0</v>
      </c>
      <c r="U31" s="797"/>
      <c r="V31" s="511"/>
      <c r="W31" s="500"/>
      <c r="X31" s="500"/>
      <c r="Y31" s="797"/>
      <c r="Z31" s="797"/>
      <c r="AA31" s="797"/>
      <c r="AB31" s="500"/>
      <c r="AL31" s="26"/>
      <c r="AM31" s="31"/>
    </row>
    <row r="32" spans="1:39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502">
        <f t="shared" si="2"/>
        <v>0</v>
      </c>
      <c r="U32" s="797"/>
      <c r="V32" s="511"/>
      <c r="W32" s="500"/>
      <c r="X32" s="500"/>
      <c r="Y32" s="797"/>
      <c r="Z32" s="797"/>
      <c r="AA32" s="797"/>
      <c r="AB32" s="500"/>
      <c r="AL32" s="26"/>
      <c r="AM32" s="31"/>
    </row>
    <row r="33" spans="1:39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502">
        <f t="shared" si="2"/>
        <v>0</v>
      </c>
      <c r="U33" s="797"/>
      <c r="V33" s="511"/>
      <c r="W33" s="500"/>
      <c r="X33" s="500"/>
      <c r="Y33" s="797"/>
      <c r="Z33" s="797"/>
      <c r="AA33" s="797"/>
      <c r="AB33" s="500"/>
      <c r="AL33" s="26"/>
      <c r="AM33" s="31"/>
    </row>
    <row r="34" spans="1:39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502">
        <f t="shared" si="2"/>
        <v>0</v>
      </c>
      <c r="U34" s="797"/>
      <c r="V34" s="511"/>
      <c r="W34" s="500"/>
      <c r="X34" s="500"/>
      <c r="Y34" s="797"/>
      <c r="Z34" s="797"/>
      <c r="AA34" s="797"/>
      <c r="AB34" s="500"/>
      <c r="AL34" s="26"/>
      <c r="AM34" s="31"/>
    </row>
    <row r="35" spans="1:39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502">
        <f t="shared" si="2"/>
        <v>0</v>
      </c>
      <c r="U35" s="797"/>
      <c r="V35" s="511"/>
      <c r="W35" s="500"/>
      <c r="X35" s="500"/>
      <c r="Y35" s="797"/>
      <c r="Z35" s="797"/>
      <c r="AA35" s="797"/>
      <c r="AB35" s="500"/>
      <c r="AL35" s="26"/>
      <c r="AM35" s="31"/>
    </row>
    <row r="36" spans="1:39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502">
        <f t="shared" si="2"/>
        <v>0</v>
      </c>
      <c r="U36" s="797"/>
      <c r="V36" s="511"/>
      <c r="W36" s="500"/>
      <c r="X36" s="500"/>
      <c r="Y36" s="797"/>
      <c r="Z36" s="797"/>
      <c r="AA36" s="797"/>
      <c r="AB36" s="500"/>
      <c r="AL36" s="26"/>
      <c r="AM36" s="31"/>
    </row>
    <row r="37" spans="1:39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797"/>
      <c r="T37" s="502">
        <f t="shared" si="2"/>
        <v>0</v>
      </c>
      <c r="U37" s="797"/>
      <c r="V37" s="511"/>
      <c r="W37" s="500"/>
      <c r="X37" s="500"/>
      <c r="Y37" s="797"/>
      <c r="Z37" s="797"/>
      <c r="AA37" s="797"/>
      <c r="AB37" s="500"/>
      <c r="AL37" s="26"/>
      <c r="AM37" s="31"/>
    </row>
    <row r="38" spans="1:39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502">
        <f t="shared" si="2"/>
        <v>0</v>
      </c>
      <c r="U38" s="797"/>
      <c r="V38" s="511"/>
      <c r="W38" s="500"/>
      <c r="X38" s="500"/>
      <c r="Y38" s="797"/>
      <c r="Z38" s="797"/>
      <c r="AA38" s="797"/>
      <c r="AB38" s="500"/>
      <c r="AL38" s="26"/>
      <c r="AM38" s="31"/>
    </row>
    <row r="39" spans="1:39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502">
        <f t="shared" si="2"/>
        <v>0</v>
      </c>
      <c r="U39" s="797"/>
      <c r="V39" s="511"/>
      <c r="W39" s="500"/>
      <c r="X39" s="500"/>
      <c r="Y39" s="797"/>
      <c r="Z39" s="797"/>
      <c r="AA39" s="797"/>
      <c r="AB39" s="500"/>
      <c r="AL39" s="26"/>
      <c r="AM39" s="31"/>
    </row>
    <row r="40" spans="1:39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502">
        <f t="shared" si="2"/>
        <v>0</v>
      </c>
      <c r="U40" s="797"/>
      <c r="V40" s="511"/>
      <c r="W40" s="500"/>
      <c r="X40" s="500"/>
      <c r="Y40" s="797"/>
      <c r="Z40" s="797"/>
      <c r="AA40" s="797"/>
      <c r="AB40" s="500"/>
      <c r="AL40" s="26"/>
      <c r="AM40" s="31"/>
    </row>
    <row r="41" spans="1:39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502">
        <f t="shared" si="2"/>
        <v>0</v>
      </c>
      <c r="U41" s="797"/>
      <c r="V41" s="511"/>
      <c r="W41" s="500"/>
      <c r="X41" s="500"/>
      <c r="Y41" s="797"/>
      <c r="Z41" s="797"/>
      <c r="AA41" s="797"/>
      <c r="AB41" s="500"/>
      <c r="AL41" s="26"/>
      <c r="AM41" s="31"/>
    </row>
    <row r="42" spans="1:39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502">
        <f t="shared" si="2"/>
        <v>0</v>
      </c>
      <c r="U42" s="797"/>
      <c r="V42" s="511"/>
      <c r="W42" s="500"/>
      <c r="X42" s="500"/>
      <c r="Y42" s="797"/>
      <c r="Z42" s="797"/>
      <c r="AA42" s="797"/>
      <c r="AB42" s="500"/>
      <c r="AL42" s="26"/>
      <c r="AM42" s="31"/>
    </row>
    <row r="43" spans="1:39" ht="12.75">
      <c r="A43" s="815"/>
      <c r="B43" s="811"/>
      <c r="C43" s="797"/>
      <c r="D43" s="797"/>
      <c r="E43" s="511"/>
      <c r="F43" s="500"/>
      <c r="G43" s="797"/>
      <c r="H43" s="797"/>
      <c r="I43" s="797"/>
      <c r="J43" s="797"/>
      <c r="K43" s="797"/>
      <c r="L43" s="500"/>
      <c r="M43" s="797"/>
      <c r="N43" s="797"/>
      <c r="O43" s="797"/>
      <c r="P43" s="797"/>
      <c r="Q43" s="797"/>
      <c r="R43" s="797"/>
      <c r="S43" s="797"/>
      <c r="T43" s="502">
        <f t="shared" si="2"/>
        <v>0</v>
      </c>
      <c r="U43" s="797"/>
      <c r="V43" s="511"/>
      <c r="W43" s="500"/>
      <c r="X43" s="500"/>
      <c r="Y43" s="797"/>
      <c r="Z43" s="797"/>
      <c r="AA43" s="797"/>
      <c r="AB43" s="500"/>
      <c r="AL43" s="26"/>
      <c r="AM43" s="31"/>
    </row>
    <row r="44" spans="1:39" ht="12.75">
      <c r="A44" s="815"/>
      <c r="B44" s="811"/>
      <c r="C44" s="797"/>
      <c r="D44" s="797"/>
      <c r="E44" s="511"/>
      <c r="F44" s="500"/>
      <c r="G44" s="797"/>
      <c r="H44" s="797"/>
      <c r="I44" s="797"/>
      <c r="J44" s="797"/>
      <c r="K44" s="797"/>
      <c r="L44" s="500"/>
      <c r="M44" s="797"/>
      <c r="N44" s="797"/>
      <c r="O44" s="797"/>
      <c r="P44" s="797"/>
      <c r="Q44" s="797"/>
      <c r="R44" s="797"/>
      <c r="S44" s="797"/>
      <c r="T44" s="502">
        <f t="shared" si="2"/>
        <v>0</v>
      </c>
      <c r="U44" s="797"/>
      <c r="V44" s="511"/>
      <c r="W44" s="500"/>
      <c r="X44" s="500"/>
      <c r="Y44" s="797"/>
      <c r="Z44" s="797"/>
      <c r="AA44" s="797"/>
      <c r="AB44" s="500"/>
      <c r="AL44" s="26"/>
      <c r="AM44" s="31"/>
    </row>
    <row r="45" spans="1:39">
      <c r="A45" s="815"/>
      <c r="B45" s="814"/>
      <c r="C45" s="797"/>
      <c r="D45" s="797"/>
      <c r="E45" s="511"/>
      <c r="F45" s="797"/>
      <c r="G45" s="797"/>
      <c r="H45" s="797"/>
      <c r="I45" s="797"/>
      <c r="J45" s="797"/>
      <c r="K45" s="797"/>
      <c r="L45" s="797"/>
      <c r="M45" s="797"/>
      <c r="N45" s="797"/>
      <c r="O45" s="797"/>
      <c r="P45" s="797">
        <v>0</v>
      </c>
      <c r="Q45" s="797"/>
      <c r="R45" s="797">
        <v>0</v>
      </c>
      <c r="S45" s="797">
        <f>R45-P45</f>
        <v>0</v>
      </c>
      <c r="T45" s="502">
        <f t="shared" si="2"/>
        <v>0</v>
      </c>
      <c r="U45" s="797"/>
      <c r="V45" s="511"/>
      <c r="W45" s="797"/>
      <c r="X45" s="797"/>
      <c r="Y45" s="797"/>
      <c r="Z45" s="797">
        <v>0</v>
      </c>
      <c r="AA45" s="797">
        <v>0</v>
      </c>
      <c r="AB45" s="797"/>
      <c r="AL45" s="31"/>
      <c r="AM45" s="31"/>
    </row>
    <row r="46" spans="1:39">
      <c r="A46" s="815"/>
      <c r="B46" s="814"/>
      <c r="C46" s="797"/>
      <c r="D46" s="797"/>
      <c r="E46" s="511"/>
      <c r="F46" s="797"/>
      <c r="G46" s="797"/>
      <c r="H46" s="797"/>
      <c r="I46" s="797"/>
      <c r="J46" s="797"/>
      <c r="K46" s="797"/>
      <c r="L46" s="797"/>
      <c r="M46" s="797"/>
      <c r="N46" s="797"/>
      <c r="O46" s="797"/>
      <c r="P46" s="797">
        <v>0</v>
      </c>
      <c r="Q46" s="797"/>
      <c r="R46" s="797">
        <v>0</v>
      </c>
      <c r="S46" s="797">
        <f>R46-P46</f>
        <v>0</v>
      </c>
      <c r="T46" s="502">
        <f t="shared" si="2"/>
        <v>0</v>
      </c>
      <c r="U46" s="797"/>
      <c r="V46" s="511"/>
      <c r="W46" s="797"/>
      <c r="X46" s="797"/>
      <c r="Y46" s="797"/>
      <c r="Z46" s="797">
        <v>0</v>
      </c>
      <c r="AA46" s="797">
        <v>0</v>
      </c>
      <c r="AB46" s="797"/>
      <c r="AL46" s="31"/>
      <c r="AM46" s="31"/>
    </row>
    <row r="47" spans="1:39">
      <c r="A47" s="821"/>
      <c r="B47" s="817"/>
      <c r="C47" s="797"/>
      <c r="D47" s="797"/>
      <c r="E47" s="511"/>
      <c r="F47" s="797"/>
      <c r="G47" s="797"/>
      <c r="H47" s="797"/>
      <c r="I47" s="797"/>
      <c r="J47" s="797"/>
      <c r="K47" s="797"/>
      <c r="L47" s="797"/>
      <c r="M47" s="797"/>
      <c r="N47" s="797"/>
      <c r="O47" s="797"/>
      <c r="P47" s="797"/>
      <c r="Q47" s="797"/>
      <c r="R47" s="797"/>
      <c r="S47" s="797"/>
      <c r="T47" s="502">
        <f t="shared" si="2"/>
        <v>0</v>
      </c>
      <c r="U47" s="797"/>
      <c r="V47" s="511"/>
      <c r="W47" s="797"/>
      <c r="X47" s="797"/>
      <c r="Y47" s="797"/>
      <c r="Z47" s="797"/>
      <c r="AA47" s="797"/>
      <c r="AB47" s="797"/>
      <c r="AL47" s="31"/>
      <c r="AM47" s="31"/>
    </row>
    <row r="48" spans="1:39">
      <c r="A48" s="821"/>
      <c r="B48" s="817"/>
      <c r="C48" s="797"/>
      <c r="D48" s="797"/>
      <c r="E48" s="511"/>
      <c r="F48" s="797"/>
      <c r="G48" s="797"/>
      <c r="H48" s="797"/>
      <c r="I48" s="797"/>
      <c r="J48" s="797"/>
      <c r="K48" s="797"/>
      <c r="L48" s="797"/>
      <c r="M48" s="797"/>
      <c r="N48" s="797"/>
      <c r="O48" s="797"/>
      <c r="P48" s="797"/>
      <c r="Q48" s="797"/>
      <c r="R48" s="797"/>
      <c r="S48" s="797"/>
      <c r="T48" s="502">
        <f t="shared" si="2"/>
        <v>0</v>
      </c>
      <c r="U48" s="797"/>
      <c r="V48" s="511"/>
      <c r="W48" s="797"/>
      <c r="X48" s="797"/>
      <c r="Y48" s="797"/>
      <c r="Z48" s="797"/>
      <c r="AA48" s="797"/>
      <c r="AB48" s="797"/>
      <c r="AL48" s="31"/>
      <c r="AM48" s="31"/>
    </row>
    <row r="49" spans="1:39">
      <c r="A49" s="821"/>
      <c r="B49" s="817"/>
      <c r="C49" s="797"/>
      <c r="D49" s="797"/>
      <c r="E49" s="511"/>
      <c r="F49" s="797"/>
      <c r="G49" s="797"/>
      <c r="H49" s="797"/>
      <c r="I49" s="797"/>
      <c r="J49" s="797"/>
      <c r="K49" s="797"/>
      <c r="L49" s="797"/>
      <c r="M49" s="797"/>
      <c r="N49" s="797"/>
      <c r="O49" s="797"/>
      <c r="P49" s="797"/>
      <c r="Q49" s="797"/>
      <c r="R49" s="797"/>
      <c r="S49" s="797"/>
      <c r="T49" s="502">
        <f t="shared" si="2"/>
        <v>0</v>
      </c>
      <c r="U49" s="797"/>
      <c r="V49" s="511"/>
      <c r="W49" s="797"/>
      <c r="X49" s="797"/>
      <c r="Y49" s="797"/>
      <c r="Z49" s="797"/>
      <c r="AA49" s="797"/>
      <c r="AB49" s="797"/>
      <c r="AL49" s="31"/>
      <c r="AM49" s="31"/>
    </row>
    <row r="50" spans="1:39">
      <c r="A50" s="815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797"/>
      <c r="M50" s="797"/>
      <c r="N50" s="797"/>
      <c r="O50" s="797"/>
      <c r="P50" s="797"/>
      <c r="Q50" s="797"/>
      <c r="R50" s="797"/>
      <c r="S50" s="797"/>
      <c r="T50" s="502">
        <f t="shared" si="2"/>
        <v>0</v>
      </c>
      <c r="U50" s="797"/>
      <c r="V50" s="511"/>
      <c r="W50" s="797"/>
      <c r="X50" s="797"/>
      <c r="Y50" s="797"/>
      <c r="Z50" s="797"/>
      <c r="AA50" s="797"/>
      <c r="AB50" s="797"/>
      <c r="AL50" s="31"/>
      <c r="AM50" s="31"/>
    </row>
    <row r="51" spans="1:39">
      <c r="A51" s="821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/>
      <c r="T51" s="502">
        <f t="shared" si="2"/>
        <v>0</v>
      </c>
      <c r="U51" s="797"/>
      <c r="V51" s="511"/>
      <c r="W51" s="797"/>
      <c r="X51" s="797"/>
      <c r="Y51" s="797"/>
      <c r="Z51" s="797"/>
      <c r="AA51" s="797"/>
      <c r="AB51" s="797"/>
      <c r="AL51" s="31"/>
      <c r="AM51" s="31"/>
    </row>
    <row r="52" spans="1:39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/>
      <c r="T52" s="502">
        <f t="shared" si="2"/>
        <v>0</v>
      </c>
      <c r="U52" s="797"/>
      <c r="V52" s="797"/>
      <c r="W52" s="797"/>
      <c r="X52" s="797"/>
      <c r="Y52" s="797"/>
      <c r="Z52" s="797"/>
      <c r="AA52" s="797"/>
      <c r="AB52" s="797"/>
      <c r="AL52" s="31"/>
      <c r="AM52" s="31"/>
    </row>
    <row r="53" spans="1:39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797"/>
      <c r="M53" s="797"/>
      <c r="N53" s="797"/>
      <c r="O53" s="797"/>
      <c r="P53" s="797"/>
      <c r="Q53" s="797"/>
      <c r="R53" s="797"/>
      <c r="S53" s="797"/>
      <c r="T53" s="502">
        <f t="shared" si="2"/>
        <v>0</v>
      </c>
      <c r="U53" s="797"/>
      <c r="V53" s="511"/>
      <c r="W53" s="797"/>
      <c r="X53" s="797"/>
      <c r="Y53" s="797"/>
      <c r="Z53" s="797"/>
      <c r="AA53" s="797"/>
      <c r="AB53" s="797"/>
      <c r="AL53" s="31"/>
      <c r="AM53" s="31"/>
    </row>
    <row r="54" spans="1:39" ht="12.75">
      <c r="A54" s="815"/>
      <c r="B54" s="814"/>
      <c r="C54" s="797"/>
      <c r="D54" s="500"/>
      <c r="E54" s="511"/>
      <c r="F54" s="797"/>
      <c r="G54" s="500"/>
      <c r="H54" s="500"/>
      <c r="I54" s="500"/>
      <c r="J54" s="500"/>
      <c r="K54" s="500"/>
      <c r="L54" s="500"/>
      <c r="M54" s="500"/>
      <c r="N54" s="500"/>
      <c r="O54" s="500"/>
      <c r="P54" s="797"/>
      <c r="Q54" s="500"/>
      <c r="R54" s="797"/>
      <c r="S54" s="797"/>
      <c r="T54" s="502">
        <f t="shared" si="2"/>
        <v>0</v>
      </c>
      <c r="U54" s="500"/>
      <c r="V54" s="511"/>
      <c r="W54" s="797"/>
      <c r="X54" s="500"/>
      <c r="Y54" s="500"/>
      <c r="Z54" s="797"/>
      <c r="AA54" s="797"/>
      <c r="AB54" s="500"/>
      <c r="AL54" s="36"/>
      <c r="AM54" s="36"/>
    </row>
    <row r="55" spans="1:39" ht="12.75">
      <c r="A55" s="821"/>
      <c r="B55" s="822"/>
      <c r="C55" s="797"/>
      <c r="D55" s="500"/>
      <c r="E55" s="500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797"/>
      <c r="Q55" s="500"/>
      <c r="R55" s="797"/>
      <c r="S55" s="797"/>
      <c r="T55" s="502">
        <f t="shared" si="2"/>
        <v>0</v>
      </c>
      <c r="U55" s="500"/>
      <c r="V55" s="500"/>
      <c r="W55" s="797"/>
      <c r="X55" s="500"/>
      <c r="Y55" s="500"/>
      <c r="Z55" s="797"/>
      <c r="AA55" s="797"/>
      <c r="AB55" s="500"/>
      <c r="AL55" s="36"/>
      <c r="AM55" s="36"/>
    </row>
    <row r="56" spans="1:39" ht="12.75">
      <c r="A56" s="39"/>
      <c r="B56" s="40"/>
      <c r="C56" s="797"/>
      <c r="D56" s="500"/>
      <c r="E56" s="500"/>
      <c r="F56" s="797"/>
      <c r="G56" s="500"/>
      <c r="H56" s="500"/>
      <c r="I56" s="500"/>
      <c r="J56" s="500"/>
      <c r="K56" s="500"/>
      <c r="L56" s="500">
        <f>I56-J56+K56</f>
        <v>0</v>
      </c>
      <c r="M56" s="500"/>
      <c r="N56" s="500"/>
      <c r="O56" s="500"/>
      <c r="P56" s="500">
        <v>0</v>
      </c>
      <c r="Q56" s="500"/>
      <c r="R56" s="502">
        <v>0</v>
      </c>
      <c r="S56" s="502"/>
      <c r="T56" s="502">
        <f t="shared" si="2"/>
        <v>0</v>
      </c>
      <c r="U56" s="500"/>
      <c r="V56" s="500"/>
      <c r="W56" s="797"/>
      <c r="X56" s="500">
        <v>0</v>
      </c>
      <c r="Y56" s="500"/>
      <c r="Z56" s="500">
        <v>0</v>
      </c>
      <c r="AA56" s="502">
        <v>0</v>
      </c>
      <c r="AB56" s="500"/>
      <c r="AL56" s="27">
        <v>0</v>
      </c>
      <c r="AM56" s="27"/>
    </row>
    <row r="57" spans="1:39" ht="12.75">
      <c r="A57" s="41"/>
      <c r="B57" s="42" t="s">
        <v>17</v>
      </c>
      <c r="C57" s="892">
        <f t="shared" ref="C57:Y57" si="3">SUM(C15:C56)</f>
        <v>1440000</v>
      </c>
      <c r="D57" s="892">
        <f t="shared" si="3"/>
        <v>1440000</v>
      </c>
      <c r="E57" s="892">
        <f t="shared" si="3"/>
        <v>3</v>
      </c>
      <c r="F57" s="892">
        <f t="shared" si="3"/>
        <v>1440000</v>
      </c>
      <c r="G57" s="892">
        <f t="shared" si="3"/>
        <v>945779.71</v>
      </c>
      <c r="H57" s="892">
        <f t="shared" si="3"/>
        <v>0</v>
      </c>
      <c r="I57" s="892">
        <f t="shared" si="3"/>
        <v>1440000</v>
      </c>
      <c r="J57" s="892">
        <f t="shared" si="3"/>
        <v>96000</v>
      </c>
      <c r="K57" s="892">
        <f t="shared" si="3"/>
        <v>0</v>
      </c>
      <c r="L57" s="892">
        <f t="shared" si="3"/>
        <v>1344000</v>
      </c>
      <c r="M57" s="892">
        <f t="shared" si="3"/>
        <v>0</v>
      </c>
      <c r="N57" s="892">
        <f t="shared" si="3"/>
        <v>945779.71</v>
      </c>
      <c r="O57" s="892">
        <f t="shared" si="3"/>
        <v>2</v>
      </c>
      <c r="P57" s="892">
        <f t="shared" si="3"/>
        <v>1200000</v>
      </c>
      <c r="Q57" s="892">
        <f t="shared" si="3"/>
        <v>2</v>
      </c>
      <c r="R57" s="892">
        <f t="shared" si="3"/>
        <v>1200000</v>
      </c>
      <c r="S57" s="892">
        <f t="shared" si="3"/>
        <v>0</v>
      </c>
      <c r="T57" s="893">
        <f>W57-L57</f>
        <v>96000</v>
      </c>
      <c r="U57" s="892">
        <f t="shared" si="3"/>
        <v>1440000</v>
      </c>
      <c r="V57" s="892">
        <f t="shared" si="3"/>
        <v>3</v>
      </c>
      <c r="W57" s="892">
        <f t="shared" si="3"/>
        <v>1440000</v>
      </c>
      <c r="X57" s="892">
        <f t="shared" si="3"/>
        <v>1344000</v>
      </c>
      <c r="Y57" s="892">
        <f t="shared" si="3"/>
        <v>945779.71</v>
      </c>
      <c r="Z57" s="892">
        <v>1200000</v>
      </c>
      <c r="AA57" s="892">
        <f>SUM(AA15:AA56)</f>
        <v>0</v>
      </c>
      <c r="AB57" s="892">
        <f>SUM(AB15:AB56)</f>
        <v>1440000</v>
      </c>
      <c r="AL57" s="5">
        <f>SUM(AL14:AL56)</f>
        <v>298000</v>
      </c>
      <c r="AM57" s="5">
        <f>SUM(AM14:AM56)</f>
        <v>0</v>
      </c>
    </row>
    <row r="58" spans="1:39">
      <c r="A58" s="43"/>
      <c r="B58" s="44"/>
      <c r="F58" s="1769"/>
      <c r="G58" s="1769"/>
      <c r="H58" s="1769"/>
      <c r="I58" s="1769"/>
      <c r="J58" s="1769"/>
      <c r="K58" s="1769"/>
      <c r="L58" s="1769"/>
      <c r="M58" s="1769"/>
      <c r="N58" s="1769"/>
      <c r="P58" s="1769"/>
      <c r="Q58" s="213"/>
      <c r="R58" s="213"/>
      <c r="W58" s="1769"/>
    </row>
    <row r="59" spans="1:39">
      <c r="A59" s="43"/>
      <c r="B59" s="44"/>
      <c r="F59" s="1769"/>
      <c r="G59" s="1769"/>
      <c r="H59" s="1769"/>
      <c r="I59" s="1769"/>
      <c r="J59" s="1769"/>
      <c r="K59" s="1769"/>
      <c r="L59" s="1769"/>
      <c r="M59" s="1769"/>
      <c r="N59" s="1769"/>
      <c r="P59" s="1769"/>
      <c r="Q59" s="213"/>
      <c r="R59" s="213"/>
      <c r="W59" s="1769"/>
    </row>
    <row r="60" spans="1:39">
      <c r="F60" s="1769"/>
      <c r="P60" s="213">
        <v>1200000</v>
      </c>
      <c r="Q60" s="788">
        <v>1200000</v>
      </c>
      <c r="R60" s="213"/>
      <c r="W60" s="1769"/>
    </row>
    <row r="61" spans="1:39">
      <c r="F61" s="1769"/>
      <c r="R61" s="213"/>
      <c r="W61" s="1769"/>
    </row>
    <row r="62" spans="1:39">
      <c r="R62" s="213"/>
    </row>
    <row r="63" spans="1:39">
      <c r="A63" s="10" t="s">
        <v>59</v>
      </c>
      <c r="F63" s="1769"/>
      <c r="L63" s="213">
        <f>+L57-L61</f>
        <v>1344000</v>
      </c>
      <c r="W63" s="1769"/>
    </row>
  </sheetData>
  <mergeCells count="10">
    <mergeCell ref="E1:F1"/>
    <mergeCell ref="I5:N5"/>
    <mergeCell ref="O5:T5"/>
    <mergeCell ref="AM8:AM12"/>
    <mergeCell ref="X8:X12"/>
    <mergeCell ref="Y8:Y12"/>
    <mergeCell ref="Z8:Z12"/>
    <mergeCell ref="AA8:AA12"/>
    <mergeCell ref="AB8:AB12"/>
    <mergeCell ref="AL8:AL12"/>
  </mergeCells>
  <phoneticPr fontId="0" type="noConversion"/>
  <conditionalFormatting sqref="AM8:AN12 X8:AC12">
    <cfRule type="cellIs" dxfId="20" priority="1" stopIfTrue="1" operator="equal">
      <formula>0</formula>
    </cfRule>
  </conditionalFormatting>
  <pageMargins left="0.27" right="0.19" top="0.984251969" bottom="0.984251969" header="0.4921259845" footer="0.4921259845"/>
  <pageSetup paperSize="9" scale="40" orientation="landscape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4"/>
  <dimension ref="A1:AE63"/>
  <sheetViews>
    <sheetView showGridLines="0" showZeros="0" topLeftCell="J1" zoomScaleNormal="100" workbookViewId="0">
      <selection activeCell="Q38" sqref="Q38"/>
    </sheetView>
  </sheetViews>
  <sheetFormatPr baseColWidth="10" defaultRowHeight="12.75"/>
  <cols>
    <col min="1" max="1" width="10.25" style="304" customWidth="1"/>
    <col min="2" max="2" width="35.375" style="304" customWidth="1"/>
    <col min="3" max="3" width="10.125" style="304" customWidth="1"/>
    <col min="4" max="4" width="10.375" style="304" customWidth="1"/>
    <col min="5" max="5" width="4.875" style="304" customWidth="1"/>
    <col min="6" max="7" width="10.25" style="304" customWidth="1"/>
    <col min="8" max="8" width="11.5" style="304" bestFit="1" customWidth="1"/>
    <col min="9" max="9" width="10.25" style="304" customWidth="1"/>
    <col min="10" max="10" width="12" style="304" customWidth="1"/>
    <col min="11" max="11" width="10.25" style="304" customWidth="1"/>
    <col min="12" max="12" width="9" style="304" customWidth="1"/>
    <col min="13" max="13" width="9.75" style="304" customWidth="1"/>
    <col min="14" max="14" width="8.75" style="304" customWidth="1"/>
    <col min="15" max="15" width="6.5" style="304" customWidth="1"/>
    <col min="16" max="16" width="11" style="304"/>
    <col min="17" max="17" width="5.875" style="192" customWidth="1"/>
    <col min="18" max="19" width="11" style="192"/>
    <col min="20" max="20" width="10.875" style="192" customWidth="1"/>
    <col min="21" max="21" width="9" style="304" customWidth="1"/>
    <col min="22" max="22" width="4.875" style="304" customWidth="1"/>
    <col min="23" max="23" width="10.25" style="304" customWidth="1"/>
    <col min="24" max="28" width="10.875" style="192" customWidth="1"/>
    <col min="29" max="30" width="11" style="192"/>
    <col min="31" max="16384" width="11" style="305"/>
  </cols>
  <sheetData>
    <row r="1" spans="1:3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E1" s="192"/>
    </row>
    <row r="2" spans="1:31">
      <c r="A2" s="825" t="s">
        <v>49</v>
      </c>
      <c r="B2" s="243" t="s">
        <v>227</v>
      </c>
      <c r="C2" s="243"/>
      <c r="D2" s="243"/>
      <c r="E2" s="243"/>
      <c r="F2" s="243"/>
      <c r="G2" s="243"/>
      <c r="H2" s="303"/>
      <c r="I2" s="303"/>
      <c r="J2" s="826"/>
      <c r="Q2" s="304"/>
      <c r="R2" s="304"/>
    </row>
    <row r="3" spans="1:31">
      <c r="A3" s="306" t="s">
        <v>60</v>
      </c>
      <c r="B3" s="306" t="s">
        <v>50</v>
      </c>
      <c r="C3" s="243" t="s">
        <v>66</v>
      </c>
      <c r="D3" s="243" t="s">
        <v>72</v>
      </c>
      <c r="E3" s="243"/>
      <c r="F3" s="243" t="s">
        <v>84</v>
      </c>
      <c r="G3" s="1324" t="s">
        <v>228</v>
      </c>
      <c r="H3" s="243"/>
      <c r="I3" s="828"/>
      <c r="J3" s="828"/>
      <c r="K3" s="307"/>
      <c r="L3" s="307"/>
      <c r="M3" s="307"/>
      <c r="N3" s="307"/>
      <c r="O3" s="307"/>
      <c r="P3" s="307"/>
      <c r="Q3" s="307"/>
      <c r="R3" s="307"/>
      <c r="S3" s="308"/>
      <c r="T3" s="308"/>
      <c r="U3" s="306"/>
      <c r="V3" s="307"/>
      <c r="W3" s="307"/>
      <c r="X3" s="308"/>
      <c r="Y3" s="308"/>
      <c r="Z3" s="308"/>
      <c r="AA3" s="308"/>
      <c r="AB3" s="308"/>
    </row>
    <row r="4" spans="1:31">
      <c r="A4" s="829" t="s">
        <v>61</v>
      </c>
      <c r="B4" s="303" t="s">
        <v>116</v>
      </c>
      <c r="C4" s="1325" t="s">
        <v>81</v>
      </c>
      <c r="D4" s="1325"/>
      <c r="E4" s="1325"/>
      <c r="F4" s="1324"/>
      <c r="G4" s="1324"/>
      <c r="H4" s="1324"/>
      <c r="I4" s="825"/>
      <c r="J4" s="825"/>
      <c r="K4" s="302"/>
      <c r="L4" s="302"/>
      <c r="M4" s="302"/>
      <c r="N4" s="302"/>
      <c r="O4" s="307"/>
      <c r="P4" s="302"/>
      <c r="Q4" s="307"/>
      <c r="R4" s="307"/>
      <c r="S4" s="308"/>
      <c r="T4" s="308"/>
      <c r="U4" s="307"/>
      <c r="V4" s="307"/>
      <c r="W4" s="302"/>
      <c r="X4" s="308"/>
      <c r="Y4" s="308"/>
      <c r="Z4" s="308"/>
      <c r="AA4" s="308"/>
      <c r="AB4" s="308"/>
    </row>
    <row r="5" spans="1:31">
      <c r="A5" s="830" t="s">
        <v>62</v>
      </c>
      <c r="B5" s="311">
        <v>201000973</v>
      </c>
      <c r="C5" s="828"/>
      <c r="D5" s="828"/>
      <c r="E5" s="828"/>
      <c r="F5" s="825"/>
      <c r="G5" s="825"/>
      <c r="H5" s="826"/>
      <c r="I5" s="826"/>
      <c r="J5" s="825"/>
      <c r="K5" s="305"/>
      <c r="L5" s="302"/>
      <c r="M5" s="302"/>
      <c r="N5" s="302"/>
      <c r="O5" s="307"/>
      <c r="P5" s="302"/>
      <c r="Q5" s="307"/>
      <c r="R5" s="307"/>
      <c r="S5" s="302"/>
      <c r="T5" s="308"/>
      <c r="U5" s="307"/>
      <c r="V5" s="307"/>
      <c r="W5" s="302"/>
      <c r="X5" s="308"/>
      <c r="Y5" s="308"/>
      <c r="Z5" s="308"/>
      <c r="AA5" s="308"/>
      <c r="AB5" s="308"/>
    </row>
    <row r="6" spans="1:31" ht="15.75">
      <c r="A6" s="830" t="s">
        <v>51</v>
      </c>
      <c r="B6" s="244" t="s">
        <v>229</v>
      </c>
      <c r="C6" s="828"/>
      <c r="D6" s="2423"/>
      <c r="E6" s="2423"/>
      <c r="F6" s="825"/>
      <c r="G6" s="825"/>
      <c r="H6" s="833"/>
      <c r="I6" s="834"/>
      <c r="J6" s="835"/>
      <c r="K6" s="309"/>
      <c r="L6" s="309"/>
      <c r="M6" s="308"/>
      <c r="N6" s="192"/>
      <c r="O6" s="192"/>
      <c r="P6" s="192"/>
      <c r="Q6" s="308"/>
      <c r="R6" s="307"/>
      <c r="S6" s="308"/>
      <c r="T6" s="308"/>
      <c r="U6" s="307"/>
      <c r="V6" s="307"/>
      <c r="W6" s="302"/>
      <c r="X6" s="308"/>
      <c r="Y6" s="308"/>
      <c r="Z6" s="308"/>
      <c r="AA6" s="308"/>
      <c r="AB6" s="308"/>
    </row>
    <row r="7" spans="1:31">
      <c r="A7" s="310"/>
      <c r="B7" s="315"/>
      <c r="C7" s="307"/>
      <c r="D7" s="307"/>
      <c r="E7" s="307"/>
      <c r="F7" s="302"/>
      <c r="G7" s="302"/>
      <c r="H7" s="312"/>
      <c r="I7" s="313">
        <f>41160-44100</f>
        <v>-2940</v>
      </c>
      <c r="J7" s="314"/>
      <c r="K7" s="309"/>
      <c r="L7" s="309"/>
      <c r="M7" s="308"/>
      <c r="N7" s="192"/>
      <c r="O7" s="192"/>
      <c r="P7" s="192"/>
      <c r="Q7" s="308"/>
      <c r="R7" s="307"/>
      <c r="S7" s="308"/>
      <c r="T7" s="308"/>
      <c r="U7" s="307"/>
      <c r="V7" s="307"/>
      <c r="W7" s="302"/>
      <c r="X7" s="308"/>
      <c r="Y7" s="308"/>
      <c r="Z7" s="308"/>
      <c r="AA7" s="308"/>
      <c r="AB7" s="308"/>
    </row>
    <row r="8" spans="1:31" s="320" customFormat="1" ht="16.5" customHeight="1">
      <c r="A8" s="836" t="s">
        <v>0</v>
      </c>
      <c r="B8" s="836" t="s">
        <v>1</v>
      </c>
      <c r="C8" s="837" t="s">
        <v>2</v>
      </c>
      <c r="D8" s="838" t="s">
        <v>3</v>
      </c>
      <c r="E8" s="844"/>
      <c r="F8" s="840"/>
      <c r="G8" s="841" t="s">
        <v>4</v>
      </c>
      <c r="H8" s="842"/>
      <c r="I8" s="841" t="s">
        <v>5</v>
      </c>
      <c r="J8" s="842"/>
      <c r="K8" s="843" t="s">
        <v>6</v>
      </c>
      <c r="L8" s="843"/>
      <c r="M8" s="843"/>
      <c r="N8" s="843"/>
      <c r="O8" s="844" t="s">
        <v>7</v>
      </c>
      <c r="P8" s="840"/>
      <c r="Q8" s="844" t="s">
        <v>8</v>
      </c>
      <c r="R8" s="840"/>
      <c r="S8" s="845"/>
      <c r="T8" s="846"/>
      <c r="U8" s="316" t="s">
        <v>82</v>
      </c>
      <c r="V8" s="317"/>
      <c r="W8" s="318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319"/>
      <c r="AD8" s="319"/>
    </row>
    <row r="9" spans="1:31" s="320" customFormat="1" ht="8.25" customHeight="1">
      <c r="A9" s="847" t="s">
        <v>9</v>
      </c>
      <c r="B9" s="848"/>
      <c r="C9" s="849"/>
      <c r="D9" s="850"/>
      <c r="E9" s="856"/>
      <c r="F9" s="852"/>
      <c r="G9" s="853"/>
      <c r="H9" s="854"/>
      <c r="I9" s="853" t="s">
        <v>10</v>
      </c>
      <c r="J9" s="853"/>
      <c r="K9" s="855" t="s">
        <v>11</v>
      </c>
      <c r="L9" s="855"/>
      <c r="M9" s="855"/>
      <c r="N9" s="855" t="s">
        <v>12</v>
      </c>
      <c r="O9" s="856"/>
      <c r="P9" s="852"/>
      <c r="Q9" s="856"/>
      <c r="R9" s="857"/>
      <c r="S9" s="858" t="s">
        <v>13</v>
      </c>
      <c r="T9" s="859" t="s">
        <v>14</v>
      </c>
      <c r="U9" s="107"/>
      <c r="V9" s="108"/>
      <c r="W9" s="109"/>
      <c r="X9" s="2407"/>
      <c r="Y9" s="2407"/>
      <c r="Z9" s="2407"/>
      <c r="AA9" s="2407"/>
      <c r="AB9" s="2407"/>
      <c r="AC9" s="319"/>
      <c r="AD9" s="319"/>
    </row>
    <row r="10" spans="1:31" s="320" customFormat="1" ht="8.25" customHeight="1">
      <c r="A10" s="848"/>
      <c r="B10" s="848"/>
      <c r="C10" s="849"/>
      <c r="D10" s="860" t="s">
        <v>15</v>
      </c>
      <c r="E10" s="860" t="s">
        <v>16</v>
      </c>
      <c r="F10" s="843" t="s">
        <v>17</v>
      </c>
      <c r="G10" s="853"/>
      <c r="H10" s="854"/>
      <c r="I10" s="853"/>
      <c r="J10" s="853"/>
      <c r="K10" s="862" t="s">
        <v>18</v>
      </c>
      <c r="L10" s="862" t="s">
        <v>17</v>
      </c>
      <c r="M10" s="862" t="s">
        <v>19</v>
      </c>
      <c r="N10" s="862" t="s">
        <v>20</v>
      </c>
      <c r="O10" s="860" t="s">
        <v>16</v>
      </c>
      <c r="P10" s="843" t="s">
        <v>17</v>
      </c>
      <c r="Q10" s="860" t="s">
        <v>16</v>
      </c>
      <c r="R10" s="843" t="s">
        <v>17</v>
      </c>
      <c r="S10" s="858" t="s">
        <v>21</v>
      </c>
      <c r="T10" s="859" t="s">
        <v>22</v>
      </c>
      <c r="U10" s="860" t="s">
        <v>15</v>
      </c>
      <c r="V10" s="860" t="s">
        <v>16</v>
      </c>
      <c r="W10" s="843" t="s">
        <v>17</v>
      </c>
      <c r="X10" s="2407"/>
      <c r="Y10" s="2407"/>
      <c r="Z10" s="2407"/>
      <c r="AA10" s="2407"/>
      <c r="AB10" s="2407"/>
      <c r="AC10" s="319"/>
      <c r="AD10" s="319"/>
    </row>
    <row r="11" spans="1:31" s="320" customFormat="1" ht="8.25" customHeight="1">
      <c r="A11" s="848"/>
      <c r="B11" s="848"/>
      <c r="C11" s="849"/>
      <c r="D11" s="858" t="s">
        <v>23</v>
      </c>
      <c r="E11" s="858"/>
      <c r="F11" s="855" t="s">
        <v>23</v>
      </c>
      <c r="G11" s="843" t="s">
        <v>24</v>
      </c>
      <c r="H11" s="843" t="s">
        <v>25</v>
      </c>
      <c r="I11" s="843" t="s">
        <v>26</v>
      </c>
      <c r="J11" s="843" t="s">
        <v>27</v>
      </c>
      <c r="K11" s="855" t="s">
        <v>28</v>
      </c>
      <c r="L11" s="855" t="s">
        <v>29</v>
      </c>
      <c r="M11" s="855" t="s">
        <v>30</v>
      </c>
      <c r="N11" s="855" t="s">
        <v>31</v>
      </c>
      <c r="O11" s="858"/>
      <c r="P11" s="855" t="s">
        <v>23</v>
      </c>
      <c r="Q11" s="858"/>
      <c r="R11" s="855" t="s">
        <v>23</v>
      </c>
      <c r="S11" s="849"/>
      <c r="T11" s="859" t="s">
        <v>32</v>
      </c>
      <c r="U11" s="858" t="s">
        <v>23</v>
      </c>
      <c r="V11" s="858"/>
      <c r="W11" s="855" t="s">
        <v>23</v>
      </c>
      <c r="X11" s="2407"/>
      <c r="Y11" s="2407"/>
      <c r="Z11" s="2407"/>
      <c r="AA11" s="2407"/>
      <c r="AB11" s="2407"/>
      <c r="AC11" s="319"/>
      <c r="AD11" s="319"/>
    </row>
    <row r="12" spans="1:31" ht="8.25" customHeight="1">
      <c r="A12" s="848"/>
      <c r="B12" s="848"/>
      <c r="C12" s="849"/>
      <c r="D12" s="849"/>
      <c r="E12" s="849"/>
      <c r="F12" s="865"/>
      <c r="G12" s="865"/>
      <c r="H12" s="865"/>
      <c r="I12" s="865"/>
      <c r="J12" s="855" t="s">
        <v>33</v>
      </c>
      <c r="K12" s="855" t="s">
        <v>34</v>
      </c>
      <c r="L12" s="855"/>
      <c r="M12" s="855"/>
      <c r="N12" s="855"/>
      <c r="O12" s="849"/>
      <c r="P12" s="865"/>
      <c r="Q12" s="849"/>
      <c r="R12" s="865"/>
      <c r="S12" s="866"/>
      <c r="T12" s="867"/>
      <c r="U12" s="849"/>
      <c r="V12" s="849"/>
      <c r="W12" s="865"/>
      <c r="X12" s="2407"/>
      <c r="Y12" s="2407"/>
      <c r="Z12" s="2407"/>
      <c r="AA12" s="2407"/>
      <c r="AB12" s="2407"/>
    </row>
    <row r="13" spans="1:31">
      <c r="A13" s="871"/>
      <c r="B13" s="871" t="s">
        <v>35</v>
      </c>
      <c r="C13" s="872" t="s">
        <v>36</v>
      </c>
      <c r="D13" s="872"/>
      <c r="E13" s="872"/>
      <c r="F13" s="874" t="s">
        <v>37</v>
      </c>
      <c r="G13" s="874" t="s">
        <v>38</v>
      </c>
      <c r="H13" s="874" t="s">
        <v>39</v>
      </c>
      <c r="I13" s="874" t="s">
        <v>40</v>
      </c>
      <c r="J13" s="874" t="s">
        <v>41</v>
      </c>
      <c r="K13" s="874" t="s">
        <v>42</v>
      </c>
      <c r="L13" s="874" t="s">
        <v>43</v>
      </c>
      <c r="M13" s="874" t="s">
        <v>44</v>
      </c>
      <c r="N13" s="874" t="s">
        <v>45</v>
      </c>
      <c r="O13" s="872"/>
      <c r="P13" s="874" t="s">
        <v>37</v>
      </c>
      <c r="Q13" s="872" t="s">
        <v>46</v>
      </c>
      <c r="R13" s="872"/>
      <c r="S13" s="875" t="s">
        <v>47</v>
      </c>
      <c r="T13" s="876" t="s">
        <v>48</v>
      </c>
      <c r="U13" s="872"/>
      <c r="V13" s="872"/>
      <c r="W13" s="874" t="s">
        <v>37</v>
      </c>
      <c r="X13" s="328" t="s">
        <v>86</v>
      </c>
      <c r="Y13" s="328"/>
      <c r="Z13" s="328"/>
      <c r="AA13" s="328"/>
      <c r="AB13" s="328"/>
    </row>
    <row r="14" spans="1:31">
      <c r="A14" s="329"/>
      <c r="B14" s="330"/>
      <c r="C14" s="322"/>
      <c r="D14" s="331"/>
      <c r="E14" s="329"/>
      <c r="F14" s="321"/>
      <c r="G14" s="321"/>
      <c r="H14" s="321"/>
      <c r="I14" s="321"/>
      <c r="J14" s="321"/>
      <c r="K14" s="321"/>
      <c r="L14" s="321"/>
      <c r="M14" s="321"/>
      <c r="N14" s="321"/>
      <c r="O14" s="322"/>
      <c r="P14" s="321"/>
      <c r="Q14" s="322"/>
      <c r="R14" s="322"/>
      <c r="S14" s="332"/>
      <c r="T14" s="323"/>
      <c r="U14" s="322"/>
      <c r="V14" s="329"/>
      <c r="W14" s="321"/>
      <c r="X14" s="321"/>
      <c r="Y14" s="321"/>
      <c r="Z14" s="321"/>
      <c r="AA14" s="322"/>
      <c r="AB14" s="323"/>
    </row>
    <row r="15" spans="1:31" ht="13.5" customHeight="1">
      <c r="A15" s="126"/>
      <c r="B15" s="330"/>
      <c r="C15" s="124">
        <f>D15*E15</f>
        <v>0</v>
      </c>
      <c r="D15" s="331"/>
      <c r="E15" s="329"/>
      <c r="F15" s="124">
        <f>D15*E15</f>
        <v>0</v>
      </c>
      <c r="G15" s="321"/>
      <c r="H15" s="321"/>
      <c r="I15" s="321"/>
      <c r="J15" s="321"/>
      <c r="K15" s="321"/>
      <c r="L15" s="321"/>
      <c r="M15" s="321"/>
      <c r="N15" s="321"/>
      <c r="O15" s="322"/>
      <c r="P15" s="321"/>
      <c r="Q15" s="322"/>
      <c r="R15" s="322"/>
      <c r="S15" s="332"/>
      <c r="T15" s="323"/>
      <c r="U15" s="322"/>
      <c r="V15" s="329"/>
      <c r="W15" s="124">
        <f>U15*V15</f>
        <v>0</v>
      </c>
      <c r="X15" s="321"/>
      <c r="Y15" s="321"/>
      <c r="Z15" s="321"/>
      <c r="AA15" s="322"/>
      <c r="AB15" s="323"/>
    </row>
    <row r="16" spans="1:31" ht="36" customHeight="1">
      <c r="A16" s="132"/>
      <c r="B16" s="130" t="s">
        <v>89</v>
      </c>
      <c r="C16" s="124">
        <f>D16*E16</f>
        <v>228000</v>
      </c>
      <c r="D16" s="131">
        <f>190000*1.2</f>
        <v>228000</v>
      </c>
      <c r="E16" s="132">
        <v>1</v>
      </c>
      <c r="F16" s="124">
        <f>D16*E16</f>
        <v>228000</v>
      </c>
      <c r="G16" s="124">
        <v>100960</v>
      </c>
      <c r="H16" s="124" t="s">
        <v>230</v>
      </c>
      <c r="I16" s="124">
        <f>+W16</f>
        <v>228000</v>
      </c>
      <c r="J16" s="124"/>
      <c r="K16" s="124"/>
      <c r="L16" s="124">
        <f>+I16-J16+K16</f>
        <v>228000</v>
      </c>
      <c r="M16" s="124"/>
      <c r="N16" s="124">
        <v>100960</v>
      </c>
      <c r="O16" s="124">
        <v>1</v>
      </c>
      <c r="P16" s="124">
        <f>+O16*W16</f>
        <v>228000</v>
      </c>
      <c r="Q16" s="124">
        <v>1</v>
      </c>
      <c r="R16" s="191">
        <f>+Q16*D16</f>
        <v>228000</v>
      </c>
      <c r="S16" s="191">
        <f>+P16-R16</f>
        <v>0</v>
      </c>
      <c r="T16" s="895">
        <f>W16-L16</f>
        <v>0</v>
      </c>
      <c r="U16" s="131">
        <f>190000*1.2</f>
        <v>228000</v>
      </c>
      <c r="V16" s="132">
        <v>1</v>
      </c>
      <c r="W16" s="124">
        <f>U16*V16</f>
        <v>228000</v>
      </c>
      <c r="X16" s="124">
        <v>228000</v>
      </c>
      <c r="Y16" s="124">
        <v>100960</v>
      </c>
      <c r="Z16" s="124">
        <v>228000</v>
      </c>
      <c r="AA16" s="191"/>
      <c r="AB16" s="895">
        <v>228000</v>
      </c>
    </row>
    <row r="17" spans="1:28" ht="12.75" hidden="1" customHeight="1">
      <c r="A17" s="996"/>
      <c r="B17" s="333"/>
      <c r="C17" s="124"/>
      <c r="D17" s="1116"/>
      <c r="E17" s="132"/>
      <c r="F17" s="124"/>
      <c r="G17" s="124"/>
      <c r="H17" s="124" t="s">
        <v>230</v>
      </c>
      <c r="I17" s="124">
        <f>+W17</f>
        <v>0</v>
      </c>
      <c r="J17" s="124"/>
      <c r="K17" s="124"/>
      <c r="L17" s="124">
        <f>+I17-J17+K17</f>
        <v>0</v>
      </c>
      <c r="M17" s="124"/>
      <c r="N17" s="124"/>
      <c r="O17" s="124"/>
      <c r="P17" s="124">
        <f>+O17*W17</f>
        <v>0</v>
      </c>
      <c r="Q17" s="124"/>
      <c r="R17" s="191"/>
      <c r="S17" s="191">
        <f>+P17-R17</f>
        <v>0</v>
      </c>
      <c r="T17" s="895">
        <f>W17-L17</f>
        <v>0</v>
      </c>
      <c r="U17" s="1116"/>
      <c r="V17" s="132"/>
      <c r="W17" s="124"/>
      <c r="X17" s="124">
        <v>0</v>
      </c>
      <c r="Y17" s="124"/>
      <c r="Z17" s="124">
        <v>0</v>
      </c>
      <c r="AA17" s="191"/>
      <c r="AB17" s="877"/>
    </row>
    <row r="18" spans="1:28" ht="12.75" hidden="1" customHeight="1">
      <c r="A18" s="997"/>
      <c r="B18" s="333"/>
      <c r="C18" s="124"/>
      <c r="D18" s="1116"/>
      <c r="E18" s="132"/>
      <c r="F18" s="124"/>
      <c r="G18" s="124"/>
      <c r="H18" s="124" t="s">
        <v>230</v>
      </c>
      <c r="I18" s="124">
        <f>+W18</f>
        <v>0</v>
      </c>
      <c r="J18" s="124"/>
      <c r="K18" s="124"/>
      <c r="L18" s="124">
        <f>+I18-J18+K18</f>
        <v>0</v>
      </c>
      <c r="M18" s="124"/>
      <c r="N18" s="124"/>
      <c r="O18" s="124"/>
      <c r="P18" s="124">
        <f>+O18*W18</f>
        <v>0</v>
      </c>
      <c r="Q18" s="124"/>
      <c r="R18" s="191"/>
      <c r="S18" s="191">
        <f>+P18-R18</f>
        <v>0</v>
      </c>
      <c r="T18" s="895">
        <f>W18-L18</f>
        <v>0</v>
      </c>
      <c r="U18" s="1116"/>
      <c r="V18" s="132"/>
      <c r="W18" s="124"/>
      <c r="X18" s="124">
        <v>0</v>
      </c>
      <c r="Y18" s="124"/>
      <c r="Z18" s="124">
        <v>0</v>
      </c>
      <c r="AA18" s="191"/>
      <c r="AB18" s="877"/>
    </row>
    <row r="19" spans="1:28" ht="29.25" customHeight="1">
      <c r="A19" s="998"/>
      <c r="B19" s="130" t="s">
        <v>88</v>
      </c>
      <c r="C19" s="124">
        <f t="shared" ref="C19:C37" si="0">D19*E19</f>
        <v>252000</v>
      </c>
      <c r="D19" s="131">
        <f>210000*1.2</f>
        <v>252000</v>
      </c>
      <c r="E19" s="132">
        <v>1</v>
      </c>
      <c r="F19" s="124">
        <f t="shared" ref="F19:F37" si="1">D19*E19</f>
        <v>252000</v>
      </c>
      <c r="G19" s="124">
        <f>46000+20400+44100</f>
        <v>110500</v>
      </c>
      <c r="H19" s="124" t="s">
        <v>226</v>
      </c>
      <c r="I19" s="124">
        <f>+W19</f>
        <v>252000</v>
      </c>
      <c r="J19" s="143"/>
      <c r="K19" s="143"/>
      <c r="L19" s="124">
        <f>+I19-J19+K19</f>
        <v>252000</v>
      </c>
      <c r="M19" s="143"/>
      <c r="N19" s="124">
        <f>G19</f>
        <v>110500</v>
      </c>
      <c r="O19" s="143">
        <v>1</v>
      </c>
      <c r="P19" s="124">
        <f>+O19*W19</f>
        <v>252000</v>
      </c>
      <c r="Q19" s="141"/>
      <c r="R19" s="124"/>
      <c r="S19" s="191">
        <f>+P19-R19</f>
        <v>252000</v>
      </c>
      <c r="T19" s="895">
        <f>W19-L19</f>
        <v>0</v>
      </c>
      <c r="U19" s="131">
        <f>210000*1.2</f>
        <v>252000</v>
      </c>
      <c r="V19" s="132">
        <v>1</v>
      </c>
      <c r="W19" s="124">
        <f t="shared" ref="W19:W37" si="2">U19*V19</f>
        <v>252000</v>
      </c>
      <c r="X19" s="124">
        <v>252000</v>
      </c>
      <c r="Y19" s="143">
        <v>110500</v>
      </c>
      <c r="Z19" s="140">
        <v>252000</v>
      </c>
      <c r="AA19" s="124"/>
      <c r="AB19" s="143">
        <v>252000</v>
      </c>
    </row>
    <row r="20" spans="1:28" ht="19.5" customHeight="1">
      <c r="A20" s="146"/>
      <c r="B20" s="142" t="s">
        <v>90</v>
      </c>
      <c r="C20" s="124">
        <f t="shared" si="0"/>
        <v>156000</v>
      </c>
      <c r="D20" s="131">
        <f>130000*1.2</f>
        <v>156000</v>
      </c>
      <c r="E20" s="132">
        <v>1</v>
      </c>
      <c r="F20" s="124">
        <f t="shared" si="1"/>
        <v>156000</v>
      </c>
      <c r="G20" s="124">
        <f>27600+12240</f>
        <v>39840</v>
      </c>
      <c r="H20" s="124" t="s">
        <v>231</v>
      </c>
      <c r="I20" s="124">
        <f>+W20</f>
        <v>156000</v>
      </c>
      <c r="J20" s="143">
        <f>I20*0.4</f>
        <v>62400</v>
      </c>
      <c r="K20" s="143"/>
      <c r="L20" s="124">
        <f>+I20-J20+K20</f>
        <v>93600</v>
      </c>
      <c r="M20" s="143"/>
      <c r="N20" s="124">
        <f>G20*0.6</f>
        <v>23904</v>
      </c>
      <c r="O20" s="143">
        <v>0.6</v>
      </c>
      <c r="P20" s="124">
        <f>+O20*W20</f>
        <v>93600</v>
      </c>
      <c r="Q20" s="141"/>
      <c r="R20" s="143"/>
      <c r="S20" s="143"/>
      <c r="T20" s="895">
        <f>W20-L20</f>
        <v>62400</v>
      </c>
      <c r="U20" s="131">
        <f>130000*1.2</f>
        <v>156000</v>
      </c>
      <c r="V20" s="132">
        <v>1</v>
      </c>
      <c r="W20" s="124">
        <f t="shared" si="2"/>
        <v>156000</v>
      </c>
      <c r="X20" s="124">
        <v>93600</v>
      </c>
      <c r="Y20" s="124">
        <v>2857.14</v>
      </c>
      <c r="Z20" s="124">
        <v>93600</v>
      </c>
      <c r="AA20" s="143"/>
      <c r="AB20" s="143">
        <v>156000</v>
      </c>
    </row>
    <row r="21" spans="1:28">
      <c r="A21" s="146"/>
      <c r="B21" s="142"/>
      <c r="C21" s="124">
        <f t="shared" si="0"/>
        <v>0</v>
      </c>
      <c r="D21" s="131"/>
      <c r="E21" s="132"/>
      <c r="F21" s="124">
        <f t="shared" si="1"/>
        <v>0</v>
      </c>
      <c r="G21" s="143"/>
      <c r="H21" s="143"/>
      <c r="I21" s="143"/>
      <c r="J21" s="143"/>
      <c r="K21" s="143"/>
      <c r="L21" s="143"/>
      <c r="M21" s="143"/>
      <c r="N21" s="143"/>
      <c r="O21" s="143"/>
      <c r="P21" s="124"/>
      <c r="Q21" s="141"/>
      <c r="R21" s="143"/>
      <c r="S21" s="143"/>
      <c r="T21" s="143"/>
      <c r="U21" s="131"/>
      <c r="V21" s="132"/>
      <c r="W21" s="124">
        <f t="shared" si="2"/>
        <v>0</v>
      </c>
      <c r="X21" s="143"/>
      <c r="Y21" s="143"/>
      <c r="Z21" s="124"/>
      <c r="AA21" s="143"/>
      <c r="AB21" s="143"/>
    </row>
    <row r="22" spans="1:28">
      <c r="A22" s="132"/>
      <c r="B22" s="145"/>
      <c r="C22" s="124">
        <f t="shared" si="0"/>
        <v>0</v>
      </c>
      <c r="D22" s="131"/>
      <c r="E22" s="132"/>
      <c r="F22" s="124">
        <f t="shared" si="1"/>
        <v>0</v>
      </c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1"/>
      <c r="R22" s="143"/>
      <c r="S22" s="143"/>
      <c r="T22" s="143"/>
      <c r="U22" s="144"/>
      <c r="V22" s="132"/>
      <c r="W22" s="124">
        <f t="shared" si="2"/>
        <v>0</v>
      </c>
      <c r="X22" s="143"/>
      <c r="Y22" s="143"/>
      <c r="Z22" s="143"/>
      <c r="AA22" s="143"/>
      <c r="AB22" s="143"/>
    </row>
    <row r="23" spans="1:28" ht="12.75" hidden="1" customHeight="1">
      <c r="A23" s="132"/>
      <c r="B23" s="145"/>
      <c r="C23" s="124">
        <f t="shared" si="0"/>
        <v>0</v>
      </c>
      <c r="D23" s="131"/>
      <c r="E23" s="146"/>
      <c r="F23" s="124">
        <f t="shared" si="1"/>
        <v>0</v>
      </c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7"/>
      <c r="R23" s="124"/>
      <c r="S23" s="143"/>
      <c r="T23" s="143"/>
      <c r="U23" s="144"/>
      <c r="V23" s="146"/>
      <c r="W23" s="124">
        <f t="shared" si="2"/>
        <v>0</v>
      </c>
      <c r="X23" s="143"/>
      <c r="Y23" s="143"/>
      <c r="Z23" s="143"/>
      <c r="AA23" s="124"/>
      <c r="AB23" s="143"/>
    </row>
    <row r="24" spans="1:28" ht="0.75" hidden="1" customHeight="1">
      <c r="A24" s="996"/>
      <c r="B24" s="334"/>
      <c r="C24" s="124">
        <f t="shared" si="0"/>
        <v>0</v>
      </c>
      <c r="D24" s="131"/>
      <c r="E24" s="132"/>
      <c r="F24" s="124">
        <f t="shared" si="1"/>
        <v>0</v>
      </c>
      <c r="G24" s="143"/>
      <c r="H24" s="143"/>
      <c r="I24" s="143"/>
      <c r="J24" s="143"/>
      <c r="K24" s="143"/>
      <c r="L24" s="143"/>
      <c r="M24" s="143"/>
      <c r="N24" s="143"/>
      <c r="O24" s="143"/>
      <c r="P24" s="124"/>
      <c r="Q24" s="141"/>
      <c r="R24" s="124"/>
      <c r="S24" s="143">
        <f>+P24-R24</f>
        <v>0</v>
      </c>
      <c r="T24" s="143"/>
      <c r="U24" s="144"/>
      <c r="V24" s="132"/>
      <c r="W24" s="124">
        <f t="shared" si="2"/>
        <v>0</v>
      </c>
      <c r="X24" s="143"/>
      <c r="Y24" s="143"/>
      <c r="Z24" s="124"/>
      <c r="AA24" s="124"/>
      <c r="AB24" s="143"/>
    </row>
    <row r="25" spans="1:28" ht="12.75" hidden="1" customHeight="1">
      <c r="A25" s="996"/>
      <c r="B25" s="145"/>
      <c r="C25" s="124">
        <f t="shared" si="0"/>
        <v>0</v>
      </c>
      <c r="D25" s="131"/>
      <c r="E25" s="132"/>
      <c r="F25" s="124">
        <f t="shared" si="1"/>
        <v>0</v>
      </c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1"/>
      <c r="R25" s="124"/>
      <c r="S25" s="143">
        <f>+P25-R25</f>
        <v>0</v>
      </c>
      <c r="T25" s="143"/>
      <c r="U25" s="144"/>
      <c r="V25" s="132"/>
      <c r="W25" s="124">
        <f t="shared" si="2"/>
        <v>0</v>
      </c>
      <c r="X25" s="143"/>
      <c r="Y25" s="143"/>
      <c r="Z25" s="143"/>
      <c r="AA25" s="124"/>
      <c r="AB25" s="143"/>
    </row>
    <row r="26" spans="1:28">
      <c r="A26" s="132"/>
      <c r="B26" s="335"/>
      <c r="C26" s="124">
        <f t="shared" si="0"/>
        <v>0</v>
      </c>
      <c r="D26" s="131"/>
      <c r="E26" s="132"/>
      <c r="F26" s="124">
        <f t="shared" si="1"/>
        <v>0</v>
      </c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1"/>
      <c r="R26" s="124"/>
      <c r="S26" s="143"/>
      <c r="T26" s="143"/>
      <c r="U26" s="144"/>
      <c r="V26" s="132"/>
      <c r="W26" s="124">
        <f t="shared" si="2"/>
        <v>0</v>
      </c>
      <c r="X26" s="143"/>
      <c r="Y26" s="143"/>
      <c r="Z26" s="143"/>
      <c r="AA26" s="124"/>
      <c r="AB26" s="143"/>
    </row>
    <row r="27" spans="1:28" ht="12" customHeight="1">
      <c r="A27" s="146"/>
      <c r="B27" s="179"/>
      <c r="C27" s="124">
        <f t="shared" si="0"/>
        <v>0</v>
      </c>
      <c r="D27" s="131"/>
      <c r="E27" s="132"/>
      <c r="F27" s="124">
        <f t="shared" si="1"/>
        <v>0</v>
      </c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43"/>
      <c r="S27" s="143"/>
      <c r="T27" s="143"/>
      <c r="U27" s="144"/>
      <c r="V27" s="132"/>
      <c r="W27" s="124">
        <f t="shared" si="2"/>
        <v>0</v>
      </c>
      <c r="X27" s="143"/>
      <c r="Y27" s="143"/>
      <c r="Z27" s="143"/>
      <c r="AA27" s="143"/>
      <c r="AB27" s="143"/>
    </row>
    <row r="28" spans="1:28">
      <c r="A28" s="146"/>
      <c r="B28" s="179"/>
      <c r="C28" s="124">
        <f t="shared" si="0"/>
        <v>0</v>
      </c>
      <c r="D28" s="131"/>
      <c r="E28" s="132"/>
      <c r="F28" s="124">
        <f t="shared" si="1"/>
        <v>0</v>
      </c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43"/>
      <c r="S28" s="143"/>
      <c r="T28" s="143"/>
      <c r="U28" s="144"/>
      <c r="V28" s="132"/>
      <c r="W28" s="124">
        <f t="shared" si="2"/>
        <v>0</v>
      </c>
      <c r="X28" s="143"/>
      <c r="Y28" s="143"/>
      <c r="Z28" s="143"/>
      <c r="AA28" s="143"/>
      <c r="AB28" s="143"/>
    </row>
    <row r="29" spans="1:28">
      <c r="A29" s="146"/>
      <c r="B29" s="179"/>
      <c r="C29" s="124">
        <f t="shared" si="0"/>
        <v>0</v>
      </c>
      <c r="D29" s="131"/>
      <c r="E29" s="132"/>
      <c r="F29" s="124">
        <f t="shared" si="1"/>
        <v>0</v>
      </c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1"/>
      <c r="R29" s="143"/>
      <c r="S29" s="143"/>
      <c r="T29" s="143"/>
      <c r="U29" s="144"/>
      <c r="V29" s="132"/>
      <c r="W29" s="124">
        <f t="shared" si="2"/>
        <v>0</v>
      </c>
      <c r="X29" s="143"/>
      <c r="Y29" s="143"/>
      <c r="Z29" s="143"/>
      <c r="AA29" s="143"/>
      <c r="AB29" s="143"/>
    </row>
    <row r="30" spans="1:28">
      <c r="A30" s="146"/>
      <c r="B30" s="179"/>
      <c r="C30" s="124">
        <f t="shared" si="0"/>
        <v>0</v>
      </c>
      <c r="D30" s="131"/>
      <c r="E30" s="132"/>
      <c r="F30" s="124">
        <f t="shared" si="1"/>
        <v>0</v>
      </c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43"/>
      <c r="T30" s="143"/>
      <c r="U30" s="144"/>
      <c r="V30" s="132"/>
      <c r="W30" s="124">
        <f t="shared" si="2"/>
        <v>0</v>
      </c>
      <c r="X30" s="143"/>
      <c r="Y30" s="143"/>
      <c r="Z30" s="143"/>
      <c r="AA30" s="143"/>
      <c r="AB30" s="143"/>
    </row>
    <row r="31" spans="1:28">
      <c r="A31" s="146"/>
      <c r="B31" s="336"/>
      <c r="C31" s="124">
        <f t="shared" si="0"/>
        <v>0</v>
      </c>
      <c r="D31" s="131"/>
      <c r="E31" s="132"/>
      <c r="F31" s="124">
        <f t="shared" si="1"/>
        <v>0</v>
      </c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84"/>
      <c r="R31" s="143"/>
      <c r="S31" s="143"/>
      <c r="T31" s="143"/>
      <c r="U31" s="144"/>
      <c r="V31" s="132"/>
      <c r="W31" s="124">
        <f t="shared" si="2"/>
        <v>0</v>
      </c>
      <c r="X31" s="143"/>
      <c r="Y31" s="143"/>
      <c r="Z31" s="143"/>
      <c r="AA31" s="143"/>
      <c r="AB31" s="143"/>
    </row>
    <row r="32" spans="1:28">
      <c r="A32" s="132"/>
      <c r="B32" s="335"/>
      <c r="C32" s="124">
        <f t="shared" si="0"/>
        <v>0</v>
      </c>
      <c r="D32" s="131"/>
      <c r="E32" s="132"/>
      <c r="F32" s="124">
        <f t="shared" si="1"/>
        <v>0</v>
      </c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43"/>
      <c r="T32" s="143"/>
      <c r="U32" s="144"/>
      <c r="V32" s="132"/>
      <c r="W32" s="124">
        <f t="shared" si="2"/>
        <v>0</v>
      </c>
      <c r="X32" s="143"/>
      <c r="Y32" s="143"/>
      <c r="Z32" s="143"/>
      <c r="AA32" s="143"/>
      <c r="AB32" s="143">
        <v>0</v>
      </c>
    </row>
    <row r="33" spans="1:28" ht="0.75" hidden="1" customHeight="1">
      <c r="A33" s="146"/>
      <c r="B33" s="179"/>
      <c r="C33" s="124">
        <f t="shared" si="0"/>
        <v>0</v>
      </c>
      <c r="D33" s="131"/>
      <c r="E33" s="132"/>
      <c r="F33" s="124">
        <f t="shared" si="1"/>
        <v>0</v>
      </c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4"/>
      <c r="V33" s="132"/>
      <c r="W33" s="124">
        <f t="shared" si="2"/>
        <v>0</v>
      </c>
      <c r="X33" s="143"/>
      <c r="Y33" s="143"/>
      <c r="Z33" s="143"/>
      <c r="AA33" s="143"/>
      <c r="AB33" s="143">
        <v>0</v>
      </c>
    </row>
    <row r="34" spans="1:28" ht="0.75" hidden="1" customHeight="1">
      <c r="A34" s="146"/>
      <c r="B34" s="179"/>
      <c r="C34" s="124">
        <f t="shared" si="0"/>
        <v>0</v>
      </c>
      <c r="D34" s="131"/>
      <c r="E34" s="132"/>
      <c r="F34" s="124">
        <f t="shared" si="1"/>
        <v>0</v>
      </c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84"/>
      <c r="R34" s="143"/>
      <c r="S34" s="143"/>
      <c r="T34" s="877"/>
      <c r="U34" s="144"/>
      <c r="V34" s="132"/>
      <c r="W34" s="124">
        <f t="shared" si="2"/>
        <v>0</v>
      </c>
      <c r="X34" s="143"/>
      <c r="Y34" s="124"/>
      <c r="Z34" s="143"/>
      <c r="AA34" s="143"/>
      <c r="AB34" s="877"/>
    </row>
    <row r="35" spans="1:28">
      <c r="A35" s="146"/>
      <c r="B35" s="179"/>
      <c r="C35" s="124">
        <f t="shared" si="0"/>
        <v>0</v>
      </c>
      <c r="D35" s="131"/>
      <c r="E35" s="132"/>
      <c r="F35" s="124">
        <f t="shared" si="1"/>
        <v>0</v>
      </c>
      <c r="G35" s="124"/>
      <c r="H35" s="124"/>
      <c r="I35" s="191"/>
      <c r="J35" s="124"/>
      <c r="K35" s="124"/>
      <c r="L35" s="143"/>
      <c r="M35" s="124"/>
      <c r="N35" s="124"/>
      <c r="O35" s="124"/>
      <c r="P35" s="124"/>
      <c r="Q35" s="184"/>
      <c r="R35" s="143"/>
      <c r="S35" s="143"/>
      <c r="T35" s="877"/>
      <c r="U35" s="144"/>
      <c r="V35" s="132"/>
      <c r="W35" s="124">
        <f t="shared" si="2"/>
        <v>0</v>
      </c>
      <c r="X35" s="143"/>
      <c r="Y35" s="124"/>
      <c r="Z35" s="124"/>
      <c r="AA35" s="143"/>
      <c r="AB35" s="877"/>
    </row>
    <row r="36" spans="1:28">
      <c r="A36" s="146"/>
      <c r="B36" s="179"/>
      <c r="C36" s="124">
        <f t="shared" si="0"/>
        <v>0</v>
      </c>
      <c r="D36" s="131"/>
      <c r="E36" s="132"/>
      <c r="F36" s="124">
        <f t="shared" si="1"/>
        <v>0</v>
      </c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44"/>
      <c r="V36" s="132"/>
      <c r="W36" s="124">
        <f t="shared" si="2"/>
        <v>0</v>
      </c>
      <c r="X36" s="143"/>
      <c r="Y36" s="124"/>
      <c r="Z36" s="124"/>
      <c r="AA36" s="143"/>
      <c r="AB36" s="877"/>
    </row>
    <row r="37" spans="1:28">
      <c r="A37" s="146"/>
      <c r="B37" s="179"/>
      <c r="C37" s="124">
        <f t="shared" si="0"/>
        <v>0</v>
      </c>
      <c r="D37" s="131"/>
      <c r="E37" s="132"/>
      <c r="F37" s="124">
        <f t="shared" si="1"/>
        <v>0</v>
      </c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44"/>
      <c r="V37" s="132"/>
      <c r="W37" s="124">
        <f t="shared" si="2"/>
        <v>0</v>
      </c>
      <c r="X37" s="143"/>
      <c r="Y37" s="124"/>
      <c r="Z37" s="124"/>
      <c r="AA37" s="143"/>
      <c r="AB37" s="877"/>
    </row>
    <row r="38" spans="1:28">
      <c r="A38" s="146"/>
      <c r="B38" s="179"/>
      <c r="C38" s="124"/>
      <c r="D38" s="131"/>
      <c r="E38" s="132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44"/>
      <c r="V38" s="132"/>
      <c r="W38" s="124"/>
      <c r="X38" s="143"/>
      <c r="Y38" s="124"/>
      <c r="Z38" s="124"/>
      <c r="AA38" s="143"/>
      <c r="AB38" s="877"/>
    </row>
    <row r="39" spans="1:28">
      <c r="A39" s="146"/>
      <c r="B39" s="179"/>
      <c r="C39" s="124"/>
      <c r="D39" s="131"/>
      <c r="E39" s="132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44"/>
      <c r="V39" s="132"/>
      <c r="W39" s="124"/>
      <c r="X39" s="143"/>
      <c r="Y39" s="124"/>
      <c r="Z39" s="124"/>
      <c r="AA39" s="143"/>
      <c r="AB39" s="877"/>
    </row>
    <row r="40" spans="1:28">
      <c r="A40" s="146"/>
      <c r="B40" s="179"/>
      <c r="C40" s="124"/>
      <c r="D40" s="131"/>
      <c r="E40" s="132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24"/>
      <c r="Q40" s="184"/>
      <c r="R40" s="143"/>
      <c r="S40" s="143"/>
      <c r="T40" s="877"/>
      <c r="U40" s="144"/>
      <c r="V40" s="132"/>
      <c r="W40" s="124"/>
      <c r="X40" s="143"/>
      <c r="Y40" s="124"/>
      <c r="Z40" s="124"/>
      <c r="AA40" s="143"/>
      <c r="AB40" s="877"/>
    </row>
    <row r="41" spans="1:28">
      <c r="A41" s="146"/>
      <c r="B41" s="179"/>
      <c r="C41" s="124"/>
      <c r="D41" s="131"/>
      <c r="E41" s="132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24"/>
      <c r="Q41" s="184"/>
      <c r="R41" s="143"/>
      <c r="S41" s="143"/>
      <c r="T41" s="877"/>
      <c r="U41" s="144"/>
      <c r="V41" s="132"/>
      <c r="W41" s="124"/>
      <c r="X41" s="143"/>
      <c r="Y41" s="124"/>
      <c r="Z41" s="124"/>
      <c r="AA41" s="143"/>
      <c r="AB41" s="877"/>
    </row>
    <row r="42" spans="1:28">
      <c r="A42" s="146"/>
      <c r="B42" s="179"/>
      <c r="C42" s="124"/>
      <c r="D42" s="131"/>
      <c r="E42" s="132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24"/>
      <c r="Q42" s="184"/>
      <c r="R42" s="143"/>
      <c r="S42" s="143"/>
      <c r="T42" s="877"/>
      <c r="U42" s="144"/>
      <c r="V42" s="132"/>
      <c r="W42" s="124"/>
      <c r="X42" s="143"/>
      <c r="Y42" s="124"/>
      <c r="Z42" s="124"/>
      <c r="AA42" s="143"/>
      <c r="AB42" s="877"/>
    </row>
    <row r="43" spans="1:28">
      <c r="A43" s="146"/>
      <c r="B43" s="179"/>
      <c r="C43" s="124"/>
      <c r="D43" s="131"/>
      <c r="E43" s="132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24"/>
      <c r="Q43" s="184"/>
      <c r="R43" s="143"/>
      <c r="S43" s="143"/>
      <c r="T43" s="877"/>
      <c r="U43" s="144"/>
      <c r="V43" s="132"/>
      <c r="W43" s="124"/>
      <c r="X43" s="143"/>
      <c r="Y43" s="124"/>
      <c r="Z43" s="124"/>
      <c r="AA43" s="143"/>
      <c r="AB43" s="877"/>
    </row>
    <row r="44" spans="1:28">
      <c r="A44" s="146"/>
      <c r="B44" s="179"/>
      <c r="C44" s="124"/>
      <c r="D44" s="131"/>
      <c r="E44" s="132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24"/>
      <c r="Q44" s="184"/>
      <c r="R44" s="143"/>
      <c r="S44" s="143"/>
      <c r="T44" s="877"/>
      <c r="U44" s="144"/>
      <c r="V44" s="132"/>
      <c r="W44" s="124"/>
      <c r="X44" s="143"/>
      <c r="Y44" s="124"/>
      <c r="Z44" s="124"/>
      <c r="AA44" s="143"/>
      <c r="AB44" s="877"/>
    </row>
    <row r="45" spans="1:28">
      <c r="A45" s="146"/>
      <c r="B45" s="179"/>
      <c r="C45" s="124"/>
      <c r="D45" s="131"/>
      <c r="E45" s="132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24"/>
      <c r="Q45" s="184"/>
      <c r="R45" s="143"/>
      <c r="S45" s="143"/>
      <c r="T45" s="877"/>
      <c r="U45" s="144"/>
      <c r="V45" s="132"/>
      <c r="W45" s="124"/>
      <c r="X45" s="143"/>
      <c r="Y45" s="124"/>
      <c r="Z45" s="124"/>
      <c r="AA45" s="143"/>
      <c r="AB45" s="877"/>
    </row>
    <row r="46" spans="1:28">
      <c r="A46" s="146"/>
      <c r="B46" s="179"/>
      <c r="C46" s="124">
        <f t="shared" ref="C46:C56" si="3">D46*E46</f>
        <v>0</v>
      </c>
      <c r="D46" s="131"/>
      <c r="E46" s="132"/>
      <c r="F46" s="124">
        <f t="shared" ref="F46:F56" si="4">D46*E46</f>
        <v>0</v>
      </c>
      <c r="G46" s="124"/>
      <c r="H46" s="124"/>
      <c r="I46" s="191"/>
      <c r="J46" s="124"/>
      <c r="K46" s="124"/>
      <c r="L46" s="143"/>
      <c r="M46" s="124"/>
      <c r="N46" s="124"/>
      <c r="O46" s="124"/>
      <c r="P46" s="124"/>
      <c r="Q46" s="184"/>
      <c r="R46" s="143"/>
      <c r="S46" s="143"/>
      <c r="T46" s="877"/>
      <c r="U46" s="144"/>
      <c r="V46" s="132"/>
      <c r="W46" s="124">
        <f t="shared" ref="W46:W56" si="5">U46*V46</f>
        <v>0</v>
      </c>
      <c r="X46" s="143"/>
      <c r="Y46" s="124"/>
      <c r="Z46" s="124"/>
      <c r="AA46" s="143"/>
      <c r="AB46" s="877"/>
    </row>
    <row r="47" spans="1:28">
      <c r="A47" s="146"/>
      <c r="B47" s="179"/>
      <c r="C47" s="124">
        <f t="shared" si="3"/>
        <v>0</v>
      </c>
      <c r="D47" s="131"/>
      <c r="E47" s="132"/>
      <c r="F47" s="124">
        <f t="shared" si="4"/>
        <v>0</v>
      </c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44"/>
      <c r="V47" s="132"/>
      <c r="W47" s="124">
        <f t="shared" si="5"/>
        <v>0</v>
      </c>
      <c r="X47" s="143"/>
      <c r="Y47" s="124"/>
      <c r="Z47" s="143"/>
      <c r="AA47" s="143"/>
      <c r="AB47" s="877"/>
    </row>
    <row r="48" spans="1:28">
      <c r="A48" s="146"/>
      <c r="B48" s="179"/>
      <c r="C48" s="124">
        <f t="shared" si="3"/>
        <v>0</v>
      </c>
      <c r="D48" s="131"/>
      <c r="E48" s="132"/>
      <c r="F48" s="124">
        <f t="shared" si="4"/>
        <v>0</v>
      </c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44"/>
      <c r="V48" s="132"/>
      <c r="W48" s="124">
        <f t="shared" si="5"/>
        <v>0</v>
      </c>
      <c r="X48" s="143"/>
      <c r="Y48" s="124"/>
      <c r="Z48" s="143"/>
      <c r="AA48" s="143"/>
      <c r="AB48" s="877"/>
    </row>
    <row r="49" spans="1:28">
      <c r="A49" s="146"/>
      <c r="B49" s="179"/>
      <c r="C49" s="124">
        <f t="shared" si="3"/>
        <v>0</v>
      </c>
      <c r="D49" s="131"/>
      <c r="E49" s="132"/>
      <c r="F49" s="124">
        <f t="shared" si="4"/>
        <v>0</v>
      </c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32"/>
      <c r="W49" s="124">
        <f t="shared" si="5"/>
        <v>0</v>
      </c>
      <c r="X49" s="143"/>
      <c r="Y49" s="124"/>
      <c r="Z49" s="143"/>
      <c r="AA49" s="143"/>
      <c r="AB49" s="877"/>
    </row>
    <row r="50" spans="1:28">
      <c r="A50" s="146"/>
      <c r="B50" s="179"/>
      <c r="C50" s="124">
        <f t="shared" si="3"/>
        <v>0</v>
      </c>
      <c r="D50" s="131"/>
      <c r="E50" s="146"/>
      <c r="F50" s="124">
        <f t="shared" si="4"/>
        <v>0</v>
      </c>
      <c r="G50" s="124"/>
      <c r="H50" s="124"/>
      <c r="I50" s="191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44"/>
      <c r="V50" s="146"/>
      <c r="W50" s="124">
        <f t="shared" si="5"/>
        <v>0</v>
      </c>
      <c r="X50" s="143"/>
      <c r="Y50" s="124"/>
      <c r="Z50" s="143"/>
      <c r="AA50" s="143"/>
      <c r="AB50" s="877"/>
    </row>
    <row r="51" spans="1:28">
      <c r="A51" s="146"/>
      <c r="B51" s="179"/>
      <c r="C51" s="124">
        <f t="shared" si="3"/>
        <v>0</v>
      </c>
      <c r="D51" s="131"/>
      <c r="E51" s="146"/>
      <c r="F51" s="124">
        <f t="shared" si="4"/>
        <v>0</v>
      </c>
      <c r="G51" s="124"/>
      <c r="H51" s="124"/>
      <c r="I51" s="191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44"/>
      <c r="V51" s="146"/>
      <c r="W51" s="124">
        <f t="shared" si="5"/>
        <v>0</v>
      </c>
      <c r="X51" s="143"/>
      <c r="Y51" s="124"/>
      <c r="Z51" s="143"/>
      <c r="AA51" s="143"/>
      <c r="AB51" s="877"/>
    </row>
    <row r="52" spans="1:28">
      <c r="A52" s="146"/>
      <c r="B52" s="179"/>
      <c r="C52" s="124">
        <f t="shared" si="3"/>
        <v>0</v>
      </c>
      <c r="D52" s="131"/>
      <c r="E52" s="146"/>
      <c r="F52" s="124">
        <f t="shared" si="4"/>
        <v>0</v>
      </c>
      <c r="G52" s="124"/>
      <c r="H52" s="124"/>
      <c r="I52" s="191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44"/>
      <c r="V52" s="146"/>
      <c r="W52" s="124">
        <f t="shared" si="5"/>
        <v>0</v>
      </c>
      <c r="X52" s="143"/>
      <c r="Y52" s="124"/>
      <c r="Z52" s="143"/>
      <c r="AA52" s="143"/>
      <c r="AB52" s="877"/>
    </row>
    <row r="53" spans="1:28">
      <c r="A53" s="146"/>
      <c r="B53" s="179"/>
      <c r="C53" s="124">
        <f t="shared" si="3"/>
        <v>0</v>
      </c>
      <c r="D53" s="131"/>
      <c r="E53" s="146"/>
      <c r="F53" s="124">
        <f t="shared" si="4"/>
        <v>0</v>
      </c>
      <c r="G53" s="124"/>
      <c r="H53" s="124"/>
      <c r="I53" s="191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44"/>
      <c r="V53" s="146"/>
      <c r="W53" s="124">
        <f t="shared" si="5"/>
        <v>0</v>
      </c>
      <c r="X53" s="143"/>
      <c r="Y53" s="124"/>
      <c r="Z53" s="143"/>
      <c r="AA53" s="143"/>
      <c r="AB53" s="877"/>
    </row>
    <row r="54" spans="1:28">
      <c r="A54" s="146"/>
      <c r="B54" s="179"/>
      <c r="C54" s="124">
        <f t="shared" si="3"/>
        <v>0</v>
      </c>
      <c r="D54" s="131"/>
      <c r="E54" s="146"/>
      <c r="F54" s="124">
        <f t="shared" si="4"/>
        <v>0</v>
      </c>
      <c r="G54" s="124"/>
      <c r="H54" s="124"/>
      <c r="I54" s="191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44"/>
      <c r="V54" s="146"/>
      <c r="W54" s="124">
        <f t="shared" si="5"/>
        <v>0</v>
      </c>
      <c r="X54" s="143"/>
      <c r="Y54" s="124"/>
      <c r="Z54" s="143"/>
      <c r="AA54" s="143"/>
      <c r="AB54" s="877"/>
    </row>
    <row r="55" spans="1:28">
      <c r="A55" s="146"/>
      <c r="B55" s="179"/>
      <c r="C55" s="124">
        <f t="shared" si="3"/>
        <v>0</v>
      </c>
      <c r="D55" s="131"/>
      <c r="E55" s="146"/>
      <c r="F55" s="124">
        <f t="shared" si="4"/>
        <v>0</v>
      </c>
      <c r="G55" s="124"/>
      <c r="H55" s="124"/>
      <c r="I55" s="191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44"/>
      <c r="V55" s="146"/>
      <c r="W55" s="124">
        <f t="shared" si="5"/>
        <v>0</v>
      </c>
      <c r="X55" s="143"/>
      <c r="Y55" s="124"/>
      <c r="Z55" s="143"/>
      <c r="AA55" s="143"/>
      <c r="AB55" s="877"/>
    </row>
    <row r="56" spans="1:28">
      <c r="A56" s="146"/>
      <c r="B56" s="179"/>
      <c r="C56" s="124">
        <f t="shared" si="3"/>
        <v>0</v>
      </c>
      <c r="D56" s="131"/>
      <c r="E56" s="132"/>
      <c r="F56" s="124">
        <f t="shared" si="4"/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44"/>
      <c r="V56" s="132"/>
      <c r="W56" s="124">
        <f t="shared" si="5"/>
        <v>0</v>
      </c>
      <c r="X56" s="143"/>
      <c r="Y56" s="124"/>
      <c r="Z56" s="143"/>
      <c r="AA56" s="143"/>
      <c r="AB56" s="877"/>
    </row>
    <row r="57" spans="1:28">
      <c r="A57" s="339"/>
      <c r="B57" s="340" t="s">
        <v>17</v>
      </c>
      <c r="C57" s="892">
        <f t="shared" ref="C57:Y57" si="6">SUM(C15:C56)</f>
        <v>636000</v>
      </c>
      <c r="D57" s="892">
        <f t="shared" si="6"/>
        <v>636000</v>
      </c>
      <c r="E57" s="892">
        <f t="shared" si="6"/>
        <v>3</v>
      </c>
      <c r="F57" s="892">
        <f t="shared" si="6"/>
        <v>636000</v>
      </c>
      <c r="G57" s="892">
        <f t="shared" si="6"/>
        <v>251300</v>
      </c>
      <c r="H57" s="892">
        <f t="shared" si="6"/>
        <v>0</v>
      </c>
      <c r="I57" s="892">
        <f t="shared" si="6"/>
        <v>636000</v>
      </c>
      <c r="J57" s="892">
        <f t="shared" si="6"/>
        <v>62400</v>
      </c>
      <c r="K57" s="892">
        <f t="shared" si="6"/>
        <v>0</v>
      </c>
      <c r="L57" s="892">
        <f t="shared" si="6"/>
        <v>573600</v>
      </c>
      <c r="M57" s="892">
        <f t="shared" si="6"/>
        <v>0</v>
      </c>
      <c r="N57" s="892">
        <f t="shared" si="6"/>
        <v>235364</v>
      </c>
      <c r="O57" s="892">
        <f t="shared" si="6"/>
        <v>2.6</v>
      </c>
      <c r="P57" s="892">
        <f t="shared" si="6"/>
        <v>573600</v>
      </c>
      <c r="Q57" s="892">
        <f t="shared" si="6"/>
        <v>1</v>
      </c>
      <c r="R57" s="892">
        <f t="shared" si="6"/>
        <v>228000</v>
      </c>
      <c r="S57" s="892">
        <f t="shared" si="6"/>
        <v>252000</v>
      </c>
      <c r="T57" s="893">
        <f>W57-L57</f>
        <v>62400</v>
      </c>
      <c r="U57" s="892">
        <f t="shared" si="6"/>
        <v>636000</v>
      </c>
      <c r="V57" s="892">
        <f t="shared" si="6"/>
        <v>3</v>
      </c>
      <c r="W57" s="892">
        <f t="shared" si="6"/>
        <v>636000</v>
      </c>
      <c r="X57" s="892">
        <f t="shared" si="6"/>
        <v>573600</v>
      </c>
      <c r="Y57" s="892">
        <f t="shared" si="6"/>
        <v>214317.14</v>
      </c>
      <c r="Z57" s="892">
        <v>228000</v>
      </c>
      <c r="AA57" s="892">
        <f>SUM(AA15:AA56)</f>
        <v>0</v>
      </c>
      <c r="AB57" s="892">
        <f>SUM(AB15:AB56)</f>
        <v>636000</v>
      </c>
    </row>
    <row r="58" spans="1:28">
      <c r="A58" s="341"/>
      <c r="B58" s="342"/>
      <c r="F58" s="343"/>
      <c r="G58" s="343"/>
      <c r="H58" s="343"/>
      <c r="I58" s="343"/>
      <c r="J58" s="343"/>
      <c r="K58" s="343"/>
      <c r="L58" s="343"/>
      <c r="M58" s="343"/>
      <c r="N58" s="343"/>
      <c r="P58" s="343"/>
      <c r="Q58" s="304"/>
      <c r="R58" s="304"/>
      <c r="W58" s="343"/>
    </row>
    <row r="59" spans="1:28">
      <c r="A59" s="344"/>
      <c r="B59" s="342"/>
      <c r="F59" s="343"/>
      <c r="G59" s="343"/>
      <c r="H59" s="343"/>
      <c r="I59" s="343"/>
      <c r="J59" s="343"/>
      <c r="K59" s="343"/>
      <c r="L59" s="343"/>
      <c r="M59" s="343"/>
      <c r="N59" s="343"/>
      <c r="P59" s="343"/>
      <c r="Q59" s="304"/>
      <c r="R59" s="304"/>
      <c r="W59" s="343"/>
    </row>
    <row r="60" spans="1:28">
      <c r="F60" s="343"/>
      <c r="P60" s="304">
        <v>480000</v>
      </c>
      <c r="Q60" s="192">
        <v>228000</v>
      </c>
      <c r="R60" s="304"/>
      <c r="W60" s="343"/>
    </row>
    <row r="61" spans="1:28">
      <c r="F61" s="343"/>
      <c r="R61" s="304"/>
      <c r="W61" s="343"/>
    </row>
    <row r="62" spans="1:28">
      <c r="R62" s="304"/>
    </row>
    <row r="63" spans="1:28">
      <c r="A63" s="304" t="s">
        <v>59</v>
      </c>
      <c r="F63" s="343"/>
      <c r="W63" s="343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phoneticPr fontId="2" type="noConversion"/>
  <conditionalFormatting sqref="U8:W9 X8:AC12">
    <cfRule type="cellIs" dxfId="19" priority="1" stopIfTrue="1" operator="equal">
      <formula>0</formula>
    </cfRule>
  </conditionalFormatting>
  <pageMargins left="0.2" right="0.25" top="0.51" bottom="0.59" header="0.27" footer="0.26"/>
  <pageSetup paperSize="9" scale="57" orientation="landscape" r:id="rId1"/>
  <headerFooter alignWithMargins="0"/>
  <colBreaks count="1" manualBreakCount="1">
    <brk id="20" max="1048575" man="1"/>
  </colBreaks>
  <drawing r:id="rId2"/>
  <legacy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9">
    <pageSetUpPr fitToPage="1"/>
  </sheetPr>
  <dimension ref="A1:AE63"/>
  <sheetViews>
    <sheetView showGridLines="0" showZeros="0" topLeftCell="K1" workbookViewId="0">
      <selection activeCell="Z26" sqref="Z26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7" width="10.25" style="67" customWidth="1"/>
    <col min="8" max="8" width="11.5" style="67" bestFit="1" customWidth="1"/>
    <col min="9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65" t="s">
        <v>232</v>
      </c>
      <c r="C2" s="65"/>
      <c r="D2" s="65"/>
      <c r="E2" s="65"/>
      <c r="F2" s="65"/>
      <c r="G2" s="65"/>
      <c r="H2" s="66"/>
      <c r="I2" s="66"/>
      <c r="J2" s="1079"/>
      <c r="K2" s="1079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228</v>
      </c>
      <c r="H3" s="1076"/>
      <c r="I3" s="1076"/>
      <c r="J3" s="1076"/>
      <c r="K3" s="1076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>
      <c r="A4" s="1225" t="s">
        <v>61</v>
      </c>
      <c r="B4" s="66" t="s">
        <v>116</v>
      </c>
      <c r="C4" s="1947" t="s">
        <v>81</v>
      </c>
      <c r="D4" s="216"/>
      <c r="E4" s="216"/>
      <c r="F4" s="217"/>
      <c r="G4" s="1075"/>
      <c r="H4" s="1075"/>
      <c r="I4" s="1075"/>
      <c r="J4" s="1075"/>
      <c r="K4" s="1075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 ht="12.75" customHeight="1">
      <c r="A5" s="1078" t="s">
        <v>62</v>
      </c>
      <c r="B5" s="73">
        <v>201000951</v>
      </c>
      <c r="C5" s="1076"/>
      <c r="D5" s="1076"/>
      <c r="E5" s="1076"/>
      <c r="F5" s="1075"/>
      <c r="G5" s="1075"/>
      <c r="H5" s="1079"/>
      <c r="I5" s="1079"/>
      <c r="J5" s="1075"/>
      <c r="K5" s="1226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1078" t="s">
        <v>51</v>
      </c>
      <c r="B6" s="74" t="s">
        <v>233</v>
      </c>
      <c r="C6" s="1076"/>
      <c r="D6" s="2433"/>
      <c r="E6" s="2433"/>
      <c r="F6" s="1075"/>
      <c r="G6" s="1075"/>
      <c r="H6" s="1209"/>
      <c r="I6" s="1227"/>
      <c r="J6" s="1228"/>
      <c r="K6" s="1225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8.25" customHeight="1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107"/>
      <c r="V9" s="108"/>
      <c r="W9" s="109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 ht="8.25" customHeight="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110" t="s">
        <v>86</v>
      </c>
      <c r="Y13" s="1110"/>
      <c r="Z13" s="1110"/>
      <c r="AA13" s="1110"/>
      <c r="AB13" s="1110"/>
    </row>
    <row r="14" spans="1:3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31" ht="13.5" customHeight="1">
      <c r="A15" s="1111"/>
      <c r="B15" s="121"/>
      <c r="C15" s="124">
        <f>D15*E15</f>
        <v>0</v>
      </c>
      <c r="D15" s="519"/>
      <c r="E15" s="520"/>
      <c r="F15" s="124">
        <f>D15*E15</f>
        <v>0</v>
      </c>
      <c r="G15" s="124"/>
      <c r="H15" s="124"/>
      <c r="I15" s="124"/>
      <c r="J15" s="124"/>
      <c r="K15" s="124"/>
      <c r="L15" s="124"/>
      <c r="M15" s="124"/>
      <c r="N15" s="124"/>
      <c r="O15" s="191"/>
      <c r="P15" s="124"/>
      <c r="Q15" s="191"/>
      <c r="R15" s="191"/>
      <c r="S15" s="995"/>
      <c r="T15" s="894"/>
      <c r="U15" s="191"/>
      <c r="V15" s="520"/>
      <c r="W15" s="124">
        <f>U15*V15</f>
        <v>0</v>
      </c>
      <c r="X15" s="124"/>
      <c r="Y15" s="124"/>
      <c r="Z15" s="124"/>
      <c r="AA15" s="191"/>
      <c r="AB15" s="894"/>
    </row>
    <row r="16" spans="1:31" ht="33.75">
      <c r="A16" s="999">
        <v>1</v>
      </c>
      <c r="B16" s="165" t="s">
        <v>89</v>
      </c>
      <c r="C16" s="124">
        <f>D16*E16</f>
        <v>228000</v>
      </c>
      <c r="D16" s="131">
        <f>190000*1.2</f>
        <v>228000</v>
      </c>
      <c r="E16" s="132">
        <v>1</v>
      </c>
      <c r="F16" s="124">
        <f>D16*E16</f>
        <v>228000</v>
      </c>
      <c r="G16" s="124">
        <f>41400+20400</f>
        <v>61800</v>
      </c>
      <c r="H16" s="124" t="s">
        <v>404</v>
      </c>
      <c r="I16" s="124">
        <f>+W16</f>
        <v>228000</v>
      </c>
      <c r="J16" s="124"/>
      <c r="K16" s="124"/>
      <c r="L16" s="124">
        <f>+I16-J16+K16</f>
        <v>228000</v>
      </c>
      <c r="M16" s="124"/>
      <c r="N16" s="124">
        <f>+G16</f>
        <v>61800</v>
      </c>
      <c r="O16" s="124">
        <v>1</v>
      </c>
      <c r="P16" s="124">
        <f>+O16*D16</f>
        <v>228000</v>
      </c>
      <c r="Q16" s="124">
        <v>1</v>
      </c>
      <c r="R16" s="191">
        <f>+Q16*D16</f>
        <v>228000</v>
      </c>
      <c r="S16" s="191">
        <f>+P16-R16</f>
        <v>0</v>
      </c>
      <c r="T16" s="895">
        <f>W16-L16</f>
        <v>0</v>
      </c>
      <c r="U16" s="131">
        <f>190000*1.2</f>
        <v>228000</v>
      </c>
      <c r="V16" s="132">
        <v>1</v>
      </c>
      <c r="W16" s="124">
        <f>U16*V16</f>
        <v>228000</v>
      </c>
      <c r="X16" s="124">
        <v>228000</v>
      </c>
      <c r="Y16" s="124">
        <v>61800</v>
      </c>
      <c r="Z16" s="124">
        <v>228000</v>
      </c>
      <c r="AA16" s="191"/>
      <c r="AB16" s="895">
        <v>228000</v>
      </c>
    </row>
    <row r="17" spans="1:28">
      <c r="A17" s="1115"/>
      <c r="B17" s="794"/>
      <c r="C17" s="124"/>
      <c r="D17" s="1116"/>
      <c r="E17" s="132"/>
      <c r="F17" s="124"/>
      <c r="G17" s="124"/>
      <c r="H17" s="124" t="s">
        <v>234</v>
      </c>
      <c r="I17" s="124">
        <f>+W17</f>
        <v>0</v>
      </c>
      <c r="J17" s="124"/>
      <c r="K17" s="124"/>
      <c r="L17" s="124">
        <f>+I17-J17+K17</f>
        <v>0</v>
      </c>
      <c r="M17" s="124"/>
      <c r="N17" s="124">
        <f>+G17</f>
        <v>0</v>
      </c>
      <c r="O17" s="124"/>
      <c r="P17" s="124">
        <f>+O17*D17</f>
        <v>0</v>
      </c>
      <c r="Q17" s="124"/>
      <c r="R17" s="191"/>
      <c r="S17" s="191">
        <f>+P17-R17</f>
        <v>0</v>
      </c>
      <c r="T17" s="895">
        <f>W17-L17</f>
        <v>0</v>
      </c>
      <c r="U17" s="1116"/>
      <c r="V17" s="132"/>
      <c r="W17" s="124"/>
      <c r="X17" s="124">
        <v>0</v>
      </c>
      <c r="Y17" s="124"/>
      <c r="Z17" s="124">
        <v>0</v>
      </c>
      <c r="AA17" s="191"/>
      <c r="AB17" s="877"/>
    </row>
    <row r="18" spans="1:28">
      <c r="A18" s="1229"/>
      <c r="B18" s="166"/>
      <c r="C18" s="124"/>
      <c r="D18" s="1116"/>
      <c r="E18" s="132"/>
      <c r="F18" s="124"/>
      <c r="G18" s="124"/>
      <c r="H18" s="124" t="s">
        <v>234</v>
      </c>
      <c r="I18" s="124">
        <f>+W18</f>
        <v>0</v>
      </c>
      <c r="J18" s="124"/>
      <c r="K18" s="124"/>
      <c r="L18" s="124">
        <f>+I18-J18+K18</f>
        <v>0</v>
      </c>
      <c r="M18" s="124"/>
      <c r="N18" s="124">
        <f>+G18</f>
        <v>0</v>
      </c>
      <c r="O18" s="124"/>
      <c r="P18" s="124">
        <f>+O18*D18</f>
        <v>0</v>
      </c>
      <c r="Q18" s="124"/>
      <c r="R18" s="191"/>
      <c r="S18" s="191">
        <f>+P18-R18</f>
        <v>0</v>
      </c>
      <c r="T18" s="895">
        <f>W18-L18</f>
        <v>0</v>
      </c>
      <c r="U18" s="1116"/>
      <c r="V18" s="132"/>
      <c r="W18" s="124"/>
      <c r="X18" s="124">
        <v>0</v>
      </c>
      <c r="Y18" s="124"/>
      <c r="Z18" s="124">
        <v>0</v>
      </c>
      <c r="AA18" s="191"/>
      <c r="AB18" s="877"/>
    </row>
    <row r="19" spans="1:28" ht="27.75" customHeight="1">
      <c r="A19" s="1230">
        <v>2</v>
      </c>
      <c r="B19" s="130" t="s">
        <v>88</v>
      </c>
      <c r="C19" s="124">
        <f t="shared" ref="C19:C37" si="0">D19*E19</f>
        <v>252000</v>
      </c>
      <c r="D19" s="131">
        <f>210000*1.2</f>
        <v>252000</v>
      </c>
      <c r="E19" s="132">
        <v>1</v>
      </c>
      <c r="F19" s="124">
        <f t="shared" ref="F19:F37" si="1">D19*E19</f>
        <v>252000</v>
      </c>
      <c r="G19" s="124">
        <f>46000+20400+52920</f>
        <v>119320</v>
      </c>
      <c r="H19" s="124" t="s">
        <v>404</v>
      </c>
      <c r="I19" s="124">
        <f>+W19</f>
        <v>252000</v>
      </c>
      <c r="J19" s="124"/>
      <c r="K19" s="124"/>
      <c r="L19" s="124">
        <f>+I19-J19+K19</f>
        <v>252000</v>
      </c>
      <c r="M19" s="124"/>
      <c r="N19" s="2372">
        <v>98152</v>
      </c>
      <c r="O19" s="124">
        <v>1</v>
      </c>
      <c r="P19" s="124">
        <f>+O19*D19</f>
        <v>252000</v>
      </c>
      <c r="Q19" s="141"/>
      <c r="R19" s="124">
        <v>252000</v>
      </c>
      <c r="S19" s="191">
        <f>+P19-R19</f>
        <v>0</v>
      </c>
      <c r="T19" s="895">
        <f>W19-L19</f>
        <v>0</v>
      </c>
      <c r="U19" s="131">
        <f>210000*1.2</f>
        <v>252000</v>
      </c>
      <c r="V19" s="132">
        <v>1</v>
      </c>
      <c r="W19" s="124">
        <f t="shared" ref="W19:W37" si="2">U19*V19</f>
        <v>252000</v>
      </c>
      <c r="X19" s="124">
        <v>252000</v>
      </c>
      <c r="Y19" s="143">
        <v>98152</v>
      </c>
      <c r="Z19" s="140">
        <v>252000</v>
      </c>
      <c r="AA19" s="124"/>
      <c r="AB19" s="143">
        <v>252000</v>
      </c>
    </row>
    <row r="20" spans="1:28" ht="23.25" customHeight="1">
      <c r="A20" s="146">
        <v>3</v>
      </c>
      <c r="B20" s="142" t="s">
        <v>90</v>
      </c>
      <c r="C20" s="124">
        <f t="shared" si="0"/>
        <v>156000</v>
      </c>
      <c r="D20" s="131">
        <f>130000*1.2</f>
        <v>156000</v>
      </c>
      <c r="E20" s="132">
        <v>1</v>
      </c>
      <c r="F20" s="124">
        <f t="shared" si="1"/>
        <v>156000</v>
      </c>
      <c r="G20" s="124">
        <v>52920</v>
      </c>
      <c r="H20" s="124" t="s">
        <v>404</v>
      </c>
      <c r="I20" s="124">
        <f>+W20</f>
        <v>156000</v>
      </c>
      <c r="J20" s="124">
        <f>I20*0.4</f>
        <v>62400</v>
      </c>
      <c r="K20" s="124"/>
      <c r="L20" s="124">
        <f>+I20-J20+K20</f>
        <v>93600</v>
      </c>
      <c r="M20" s="124"/>
      <c r="N20" s="124">
        <v>52920</v>
      </c>
      <c r="O20" s="124">
        <v>1</v>
      </c>
      <c r="P20" s="124">
        <f>+O20*D20</f>
        <v>156000</v>
      </c>
      <c r="Q20" s="141"/>
      <c r="R20" s="143"/>
      <c r="S20" s="191">
        <f>+P20-R20</f>
        <v>156000</v>
      </c>
      <c r="T20" s="895">
        <f>W20-L20</f>
        <v>62400</v>
      </c>
      <c r="U20" s="131">
        <f>130000*1.2</f>
        <v>156000</v>
      </c>
      <c r="V20" s="132">
        <v>1</v>
      </c>
      <c r="W20" s="124">
        <f t="shared" si="2"/>
        <v>156000</v>
      </c>
      <c r="X20" s="124">
        <v>93600</v>
      </c>
      <c r="Y20" s="124">
        <v>52920</v>
      </c>
      <c r="Z20" s="2377">
        <v>93600</v>
      </c>
      <c r="AA20" s="143"/>
      <c r="AB20" s="143">
        <v>156000</v>
      </c>
    </row>
    <row r="21" spans="1:28">
      <c r="A21" s="146"/>
      <c r="B21" s="142"/>
      <c r="C21" s="124">
        <f t="shared" si="0"/>
        <v>0</v>
      </c>
      <c r="D21" s="131"/>
      <c r="E21" s="132"/>
      <c r="F21" s="124">
        <f t="shared" si="1"/>
        <v>0</v>
      </c>
      <c r="G21" s="143"/>
      <c r="H21" s="143"/>
      <c r="I21" s="124"/>
      <c r="J21" s="124"/>
      <c r="K21" s="124"/>
      <c r="L21" s="124"/>
      <c r="M21" s="124"/>
      <c r="N21" s="124"/>
      <c r="O21" s="124"/>
      <c r="P21" s="124"/>
      <c r="Q21" s="141"/>
      <c r="R21" s="143"/>
      <c r="S21" s="143"/>
      <c r="T21" s="143"/>
      <c r="U21" s="144"/>
      <c r="V21" s="132"/>
      <c r="W21" s="124">
        <f t="shared" si="2"/>
        <v>0</v>
      </c>
      <c r="X21" s="143"/>
      <c r="Y21" s="143"/>
      <c r="Z21" s="124"/>
      <c r="AA21" s="143"/>
      <c r="AB21" s="143"/>
    </row>
    <row r="22" spans="1:28">
      <c r="A22" s="132"/>
      <c r="B22" s="145"/>
      <c r="C22" s="124">
        <f t="shared" si="0"/>
        <v>0</v>
      </c>
      <c r="D22" s="131"/>
      <c r="E22" s="132"/>
      <c r="F22" s="124">
        <f t="shared" si="1"/>
        <v>0</v>
      </c>
      <c r="G22" s="143"/>
      <c r="H22" s="143"/>
      <c r="I22" s="124"/>
      <c r="J22" s="124"/>
      <c r="K22" s="124"/>
      <c r="L22" s="124"/>
      <c r="M22" s="124"/>
      <c r="N22" s="124"/>
      <c r="O22" s="124"/>
      <c r="P22" s="143"/>
      <c r="Q22" s="141"/>
      <c r="R22" s="143"/>
      <c r="S22" s="143"/>
      <c r="T22" s="143"/>
      <c r="U22" s="144"/>
      <c r="V22" s="132"/>
      <c r="W22" s="124">
        <f t="shared" si="2"/>
        <v>0</v>
      </c>
      <c r="X22" s="143"/>
      <c r="Y22" s="143"/>
      <c r="Z22" s="143"/>
      <c r="AA22" s="143"/>
      <c r="AB22" s="143"/>
    </row>
    <row r="23" spans="1:28" ht="12.75" hidden="1" customHeight="1">
      <c r="A23" s="132"/>
      <c r="B23" s="145"/>
      <c r="C23" s="124">
        <f t="shared" si="0"/>
        <v>0</v>
      </c>
      <c r="D23" s="131"/>
      <c r="E23" s="146"/>
      <c r="F23" s="124">
        <f t="shared" si="1"/>
        <v>0</v>
      </c>
      <c r="G23" s="143"/>
      <c r="H23" s="143"/>
      <c r="I23" s="124"/>
      <c r="J23" s="124"/>
      <c r="K23" s="124"/>
      <c r="L23" s="124"/>
      <c r="M23" s="124"/>
      <c r="N23" s="124"/>
      <c r="O23" s="124"/>
      <c r="P23" s="143"/>
      <c r="Q23" s="147"/>
      <c r="R23" s="124"/>
      <c r="S23" s="143"/>
      <c r="T23" s="143"/>
      <c r="U23" s="144"/>
      <c r="V23" s="146"/>
      <c r="W23" s="124">
        <f t="shared" si="2"/>
        <v>0</v>
      </c>
      <c r="X23" s="143"/>
      <c r="Y23" s="143"/>
      <c r="Z23" s="143"/>
      <c r="AA23" s="124"/>
      <c r="AB23" s="143"/>
    </row>
    <row r="24" spans="1:28" ht="0.75" hidden="1" customHeight="1">
      <c r="A24" s="1115"/>
      <c r="B24" s="148"/>
      <c r="C24" s="124">
        <f t="shared" si="0"/>
        <v>0</v>
      </c>
      <c r="D24" s="131"/>
      <c r="E24" s="132"/>
      <c r="F24" s="124">
        <f t="shared" si="1"/>
        <v>0</v>
      </c>
      <c r="G24" s="143"/>
      <c r="H24" s="143"/>
      <c r="I24" s="124"/>
      <c r="J24" s="124"/>
      <c r="K24" s="124"/>
      <c r="L24" s="124"/>
      <c r="M24" s="124"/>
      <c r="N24" s="124"/>
      <c r="O24" s="124"/>
      <c r="P24" s="124"/>
      <c r="Q24" s="141"/>
      <c r="R24" s="124"/>
      <c r="S24" s="143">
        <f>+P24-R24</f>
        <v>0</v>
      </c>
      <c r="T24" s="143"/>
      <c r="U24" s="144"/>
      <c r="V24" s="132"/>
      <c r="W24" s="124">
        <f t="shared" si="2"/>
        <v>0</v>
      </c>
      <c r="X24" s="143"/>
      <c r="Y24" s="143"/>
      <c r="Z24" s="124"/>
      <c r="AA24" s="124"/>
      <c r="AB24" s="143"/>
    </row>
    <row r="25" spans="1:28" ht="12.75" hidden="1" customHeight="1">
      <c r="A25" s="1115"/>
      <c r="B25" s="150"/>
      <c r="C25" s="124">
        <f t="shared" si="0"/>
        <v>0</v>
      </c>
      <c r="D25" s="131"/>
      <c r="E25" s="132"/>
      <c r="F25" s="124">
        <f t="shared" si="1"/>
        <v>0</v>
      </c>
      <c r="G25" s="143"/>
      <c r="H25" s="143"/>
      <c r="I25" s="124"/>
      <c r="J25" s="124"/>
      <c r="K25" s="124"/>
      <c r="L25" s="124"/>
      <c r="M25" s="124"/>
      <c r="N25" s="124"/>
      <c r="O25" s="124"/>
      <c r="P25" s="143"/>
      <c r="Q25" s="141"/>
      <c r="R25" s="124"/>
      <c r="S25" s="143">
        <f>+P25-R25</f>
        <v>0</v>
      </c>
      <c r="T25" s="143"/>
      <c r="U25" s="144"/>
      <c r="V25" s="132"/>
      <c r="W25" s="124">
        <f t="shared" si="2"/>
        <v>0</v>
      </c>
      <c r="X25" s="143"/>
      <c r="Y25" s="143"/>
      <c r="Z25" s="143"/>
      <c r="AA25" s="124"/>
      <c r="AB25" s="143"/>
    </row>
    <row r="26" spans="1:28">
      <c r="A26" s="999"/>
      <c r="B26" s="151"/>
      <c r="C26" s="124">
        <f t="shared" si="0"/>
        <v>0</v>
      </c>
      <c r="D26" s="131"/>
      <c r="E26" s="132"/>
      <c r="F26" s="124">
        <f t="shared" si="1"/>
        <v>0</v>
      </c>
      <c r="G26" s="143"/>
      <c r="H26" s="143"/>
      <c r="I26" s="124"/>
      <c r="J26" s="124"/>
      <c r="K26" s="124"/>
      <c r="L26" s="124"/>
      <c r="M26" s="124"/>
      <c r="N26" s="124"/>
      <c r="O26" s="124"/>
      <c r="P26" s="143"/>
      <c r="Q26" s="141"/>
      <c r="R26" s="124"/>
      <c r="S26" s="143"/>
      <c r="T26" s="143"/>
      <c r="U26" s="144"/>
      <c r="V26" s="132"/>
      <c r="W26" s="124">
        <f t="shared" si="2"/>
        <v>0</v>
      </c>
      <c r="X26" s="143"/>
      <c r="Y26" s="143"/>
      <c r="Z26" s="143"/>
      <c r="AA26" s="124"/>
      <c r="AB26" s="143"/>
    </row>
    <row r="27" spans="1:28" ht="12" customHeight="1">
      <c r="A27" s="157"/>
      <c r="B27" s="152"/>
      <c r="C27" s="124">
        <f t="shared" si="0"/>
        <v>0</v>
      </c>
      <c r="D27" s="131"/>
      <c r="E27" s="132"/>
      <c r="F27" s="124">
        <f t="shared" si="1"/>
        <v>0</v>
      </c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43"/>
      <c r="S27" s="143"/>
      <c r="T27" s="143"/>
      <c r="U27" s="144"/>
      <c r="V27" s="132"/>
      <c r="W27" s="124">
        <f t="shared" si="2"/>
        <v>0</v>
      </c>
      <c r="X27" s="143"/>
      <c r="Y27" s="143"/>
      <c r="Z27" s="143"/>
      <c r="AA27" s="143"/>
      <c r="AB27" s="143"/>
    </row>
    <row r="28" spans="1:28">
      <c r="A28" s="146"/>
      <c r="B28" s="152"/>
      <c r="C28" s="124">
        <f t="shared" si="0"/>
        <v>0</v>
      </c>
      <c r="D28" s="131"/>
      <c r="E28" s="132"/>
      <c r="F28" s="124">
        <f t="shared" si="1"/>
        <v>0</v>
      </c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43"/>
      <c r="S28" s="143"/>
      <c r="T28" s="143"/>
      <c r="U28" s="144"/>
      <c r="V28" s="132"/>
      <c r="W28" s="124">
        <f t="shared" si="2"/>
        <v>0</v>
      </c>
      <c r="X28" s="143"/>
      <c r="Y28" s="143"/>
      <c r="Z28" s="143"/>
      <c r="AA28" s="143"/>
      <c r="AB28" s="143"/>
    </row>
    <row r="29" spans="1:28">
      <c r="A29" s="157"/>
      <c r="B29" s="152"/>
      <c r="C29" s="124">
        <f t="shared" si="0"/>
        <v>0</v>
      </c>
      <c r="D29" s="131"/>
      <c r="E29" s="132"/>
      <c r="F29" s="124">
        <f t="shared" si="1"/>
        <v>0</v>
      </c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1"/>
      <c r="R29" s="143"/>
      <c r="S29" s="143"/>
      <c r="T29" s="143"/>
      <c r="U29" s="144"/>
      <c r="V29" s="132"/>
      <c r="W29" s="124">
        <f t="shared" si="2"/>
        <v>0</v>
      </c>
      <c r="X29" s="143"/>
      <c r="Y29" s="143"/>
      <c r="Z29" s="143"/>
      <c r="AA29" s="143"/>
      <c r="AB29" s="143"/>
    </row>
    <row r="30" spans="1:28">
      <c r="A30" s="157"/>
      <c r="B30" s="152"/>
      <c r="C30" s="124">
        <f t="shared" si="0"/>
        <v>0</v>
      </c>
      <c r="D30" s="131"/>
      <c r="E30" s="132"/>
      <c r="F30" s="124">
        <f t="shared" si="1"/>
        <v>0</v>
      </c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43"/>
      <c r="T30" s="143"/>
      <c r="U30" s="144"/>
      <c r="V30" s="132"/>
      <c r="W30" s="124">
        <f t="shared" si="2"/>
        <v>0</v>
      </c>
      <c r="X30" s="143"/>
      <c r="Y30" s="143"/>
      <c r="Z30" s="143"/>
      <c r="AA30" s="143"/>
      <c r="AB30" s="143"/>
    </row>
    <row r="31" spans="1:28">
      <c r="A31" s="157"/>
      <c r="B31" s="154"/>
      <c r="C31" s="124">
        <f t="shared" si="0"/>
        <v>0</v>
      </c>
      <c r="D31" s="131"/>
      <c r="E31" s="132"/>
      <c r="F31" s="124">
        <f t="shared" si="1"/>
        <v>0</v>
      </c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84"/>
      <c r="R31" s="143"/>
      <c r="S31" s="143"/>
      <c r="T31" s="143"/>
      <c r="U31" s="144"/>
      <c r="V31" s="132"/>
      <c r="W31" s="124">
        <f t="shared" si="2"/>
        <v>0</v>
      </c>
      <c r="X31" s="143"/>
      <c r="Y31" s="143"/>
      <c r="Z31" s="143"/>
      <c r="AA31" s="143"/>
      <c r="AB31" s="143"/>
    </row>
    <row r="32" spans="1:28">
      <c r="A32" s="999"/>
      <c r="B32" s="151"/>
      <c r="C32" s="124">
        <f t="shared" si="0"/>
        <v>0</v>
      </c>
      <c r="D32" s="131"/>
      <c r="E32" s="132"/>
      <c r="F32" s="124">
        <f t="shared" si="1"/>
        <v>0</v>
      </c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43"/>
      <c r="T32" s="143"/>
      <c r="U32" s="144"/>
      <c r="V32" s="132"/>
      <c r="W32" s="124">
        <f t="shared" si="2"/>
        <v>0</v>
      </c>
      <c r="X32" s="143"/>
      <c r="Y32" s="143"/>
      <c r="Z32" s="143"/>
      <c r="AA32" s="143"/>
      <c r="AB32" s="143">
        <v>0</v>
      </c>
    </row>
    <row r="33" spans="1:28" ht="0.75" hidden="1" customHeight="1">
      <c r="A33" s="157"/>
      <c r="B33" s="152"/>
      <c r="C33" s="124">
        <f t="shared" si="0"/>
        <v>0</v>
      </c>
      <c r="D33" s="131"/>
      <c r="E33" s="132"/>
      <c r="F33" s="124">
        <f t="shared" si="1"/>
        <v>0</v>
      </c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4"/>
      <c r="V33" s="132"/>
      <c r="W33" s="124">
        <f t="shared" si="2"/>
        <v>0</v>
      </c>
      <c r="X33" s="143"/>
      <c r="Y33" s="143"/>
      <c r="Z33" s="143"/>
      <c r="AA33" s="143"/>
      <c r="AB33" s="143">
        <v>0</v>
      </c>
    </row>
    <row r="34" spans="1:28" ht="0.75" hidden="1" customHeight="1">
      <c r="A34" s="146"/>
      <c r="B34" s="152"/>
      <c r="C34" s="124">
        <f t="shared" si="0"/>
        <v>0</v>
      </c>
      <c r="D34" s="131"/>
      <c r="E34" s="132"/>
      <c r="F34" s="124">
        <f t="shared" si="1"/>
        <v>0</v>
      </c>
      <c r="G34" s="124"/>
      <c r="H34" s="124"/>
      <c r="I34" s="191"/>
      <c r="J34" s="124"/>
      <c r="K34" s="124"/>
      <c r="L34" s="143"/>
      <c r="M34" s="124"/>
      <c r="N34" s="124"/>
      <c r="O34" s="124"/>
      <c r="P34" s="143"/>
      <c r="Q34" s="184"/>
      <c r="R34" s="143"/>
      <c r="S34" s="143"/>
      <c r="T34" s="877"/>
      <c r="U34" s="144"/>
      <c r="V34" s="132"/>
      <c r="W34" s="124">
        <f t="shared" si="2"/>
        <v>0</v>
      </c>
      <c r="X34" s="143"/>
      <c r="Y34" s="124"/>
      <c r="Z34" s="143"/>
      <c r="AA34" s="143"/>
      <c r="AB34" s="877"/>
    </row>
    <row r="35" spans="1:28">
      <c r="A35" s="157"/>
      <c r="B35" s="152"/>
      <c r="C35" s="124">
        <f t="shared" si="0"/>
        <v>0</v>
      </c>
      <c r="D35" s="131"/>
      <c r="E35" s="132"/>
      <c r="F35" s="124">
        <f t="shared" si="1"/>
        <v>0</v>
      </c>
      <c r="G35" s="124"/>
      <c r="H35" s="124"/>
      <c r="I35" s="191"/>
      <c r="J35" s="124"/>
      <c r="K35" s="124"/>
      <c r="L35" s="143"/>
      <c r="M35" s="124"/>
      <c r="N35" s="124"/>
      <c r="O35" s="124"/>
      <c r="P35" s="124"/>
      <c r="Q35" s="184"/>
      <c r="R35" s="143"/>
      <c r="S35" s="143"/>
      <c r="T35" s="877"/>
      <c r="U35" s="144"/>
      <c r="V35" s="132"/>
      <c r="W35" s="124">
        <f t="shared" si="2"/>
        <v>0</v>
      </c>
      <c r="X35" s="143"/>
      <c r="Y35" s="124"/>
      <c r="Z35" s="124"/>
      <c r="AA35" s="143"/>
      <c r="AB35" s="877"/>
    </row>
    <row r="36" spans="1:28">
      <c r="A36" s="157"/>
      <c r="B36" s="152"/>
      <c r="C36" s="124">
        <f t="shared" si="0"/>
        <v>0</v>
      </c>
      <c r="D36" s="131"/>
      <c r="E36" s="132"/>
      <c r="F36" s="124">
        <f t="shared" si="1"/>
        <v>0</v>
      </c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44"/>
      <c r="V36" s="132"/>
      <c r="W36" s="124">
        <f t="shared" si="2"/>
        <v>0</v>
      </c>
      <c r="X36" s="143"/>
      <c r="Y36" s="124"/>
      <c r="Z36" s="124"/>
      <c r="AA36" s="143"/>
      <c r="AB36" s="877"/>
    </row>
    <row r="37" spans="1:28">
      <c r="A37" s="157"/>
      <c r="B37" s="152"/>
      <c r="C37" s="124">
        <f t="shared" si="0"/>
        <v>0</v>
      </c>
      <c r="D37" s="131"/>
      <c r="E37" s="132"/>
      <c r="F37" s="124">
        <f t="shared" si="1"/>
        <v>0</v>
      </c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44"/>
      <c r="V37" s="132"/>
      <c r="W37" s="124">
        <f t="shared" si="2"/>
        <v>0</v>
      </c>
      <c r="X37" s="143"/>
      <c r="Y37" s="124"/>
      <c r="Z37" s="124"/>
      <c r="AA37" s="143"/>
      <c r="AB37" s="877"/>
    </row>
    <row r="38" spans="1:28">
      <c r="A38" s="157"/>
      <c r="B38" s="152"/>
      <c r="C38" s="124"/>
      <c r="D38" s="131"/>
      <c r="E38" s="132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44"/>
      <c r="V38" s="132"/>
      <c r="W38" s="124"/>
      <c r="X38" s="143"/>
      <c r="Y38" s="124"/>
      <c r="Z38" s="124"/>
      <c r="AA38" s="143"/>
      <c r="AB38" s="877"/>
    </row>
    <row r="39" spans="1:28">
      <c r="A39" s="157"/>
      <c r="B39" s="152"/>
      <c r="C39" s="124"/>
      <c r="D39" s="131"/>
      <c r="E39" s="132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44"/>
      <c r="V39" s="132"/>
      <c r="W39" s="124"/>
      <c r="X39" s="143"/>
      <c r="Y39" s="124"/>
      <c r="Z39" s="124"/>
      <c r="AA39" s="143"/>
      <c r="AB39" s="877"/>
    </row>
    <row r="40" spans="1:28">
      <c r="A40" s="157"/>
      <c r="B40" s="152"/>
      <c r="C40" s="124"/>
      <c r="D40" s="131"/>
      <c r="E40" s="132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24"/>
      <c r="Q40" s="184"/>
      <c r="R40" s="143"/>
      <c r="S40" s="143"/>
      <c r="T40" s="877"/>
      <c r="U40" s="144"/>
      <c r="V40" s="132"/>
      <c r="W40" s="124"/>
      <c r="X40" s="143"/>
      <c r="Y40" s="124"/>
      <c r="Z40" s="124"/>
      <c r="AA40" s="143"/>
      <c r="AB40" s="877"/>
    </row>
    <row r="41" spans="1:28">
      <c r="A41" s="157"/>
      <c r="B41" s="152"/>
      <c r="C41" s="124"/>
      <c r="D41" s="131"/>
      <c r="E41" s="132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24"/>
      <c r="Q41" s="184"/>
      <c r="R41" s="143"/>
      <c r="S41" s="143"/>
      <c r="T41" s="877"/>
      <c r="U41" s="144"/>
      <c r="V41" s="132"/>
      <c r="W41" s="124"/>
      <c r="X41" s="143"/>
      <c r="Y41" s="124"/>
      <c r="Z41" s="124"/>
      <c r="AA41" s="143"/>
      <c r="AB41" s="877"/>
    </row>
    <row r="42" spans="1:28">
      <c r="A42" s="157"/>
      <c r="B42" s="152"/>
      <c r="C42" s="124"/>
      <c r="D42" s="131"/>
      <c r="E42" s="132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24"/>
      <c r="Q42" s="184"/>
      <c r="R42" s="143"/>
      <c r="S42" s="143"/>
      <c r="T42" s="877"/>
      <c r="U42" s="144"/>
      <c r="V42" s="132"/>
      <c r="W42" s="124"/>
      <c r="X42" s="143"/>
      <c r="Y42" s="124"/>
      <c r="Z42" s="124"/>
      <c r="AA42" s="143"/>
      <c r="AB42" s="877"/>
    </row>
    <row r="43" spans="1:28">
      <c r="A43" s="157"/>
      <c r="B43" s="152"/>
      <c r="C43" s="124"/>
      <c r="D43" s="131"/>
      <c r="E43" s="132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24"/>
      <c r="Q43" s="184"/>
      <c r="R43" s="143"/>
      <c r="S43" s="143"/>
      <c r="T43" s="877"/>
      <c r="U43" s="144"/>
      <c r="V43" s="132"/>
      <c r="W43" s="124"/>
      <c r="X43" s="143"/>
      <c r="Y43" s="124"/>
      <c r="Z43" s="124"/>
      <c r="AA43" s="143"/>
      <c r="AB43" s="877"/>
    </row>
    <row r="44" spans="1:28">
      <c r="A44" s="157"/>
      <c r="B44" s="152"/>
      <c r="C44" s="124"/>
      <c r="D44" s="131"/>
      <c r="E44" s="132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24"/>
      <c r="Q44" s="184"/>
      <c r="R44" s="143"/>
      <c r="S44" s="143"/>
      <c r="T44" s="877"/>
      <c r="U44" s="144"/>
      <c r="V44" s="132"/>
      <c r="W44" s="124"/>
      <c r="X44" s="143"/>
      <c r="Y44" s="124"/>
      <c r="Z44" s="124"/>
      <c r="AA44" s="143"/>
      <c r="AB44" s="877"/>
    </row>
    <row r="45" spans="1:28">
      <c r="A45" s="157"/>
      <c r="B45" s="152"/>
      <c r="C45" s="124">
        <f t="shared" ref="C45:C53" si="3">D45*E45</f>
        <v>0</v>
      </c>
      <c r="D45" s="131"/>
      <c r="E45" s="132"/>
      <c r="F45" s="124">
        <f t="shared" ref="F45:F53" si="4">D45*E45</f>
        <v>0</v>
      </c>
      <c r="G45" s="124"/>
      <c r="H45" s="124"/>
      <c r="I45" s="191"/>
      <c r="J45" s="124"/>
      <c r="K45" s="124"/>
      <c r="L45" s="143"/>
      <c r="M45" s="124"/>
      <c r="N45" s="124"/>
      <c r="O45" s="124"/>
      <c r="P45" s="124"/>
      <c r="Q45" s="184"/>
      <c r="R45" s="143"/>
      <c r="S45" s="143"/>
      <c r="T45" s="877"/>
      <c r="U45" s="144"/>
      <c r="V45" s="132"/>
      <c r="W45" s="124">
        <f t="shared" ref="W45:W53" si="5">U45*V45</f>
        <v>0</v>
      </c>
      <c r="X45" s="143"/>
      <c r="Y45" s="124"/>
      <c r="Z45" s="124"/>
      <c r="AA45" s="143"/>
      <c r="AB45" s="877"/>
    </row>
    <row r="46" spans="1:28">
      <c r="A46" s="157"/>
      <c r="B46" s="152"/>
      <c r="C46" s="124">
        <f t="shared" si="3"/>
        <v>0</v>
      </c>
      <c r="D46" s="131"/>
      <c r="E46" s="132"/>
      <c r="F46" s="124">
        <f t="shared" si="4"/>
        <v>0</v>
      </c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44"/>
      <c r="V46" s="132"/>
      <c r="W46" s="124">
        <f t="shared" si="5"/>
        <v>0</v>
      </c>
      <c r="X46" s="143"/>
      <c r="Y46" s="124"/>
      <c r="Z46" s="143"/>
      <c r="AA46" s="143"/>
      <c r="AB46" s="877"/>
    </row>
    <row r="47" spans="1:28">
      <c r="A47" s="157"/>
      <c r="B47" s="152"/>
      <c r="C47" s="124">
        <f t="shared" si="3"/>
        <v>0</v>
      </c>
      <c r="D47" s="131"/>
      <c r="E47" s="132"/>
      <c r="F47" s="124">
        <f t="shared" si="4"/>
        <v>0</v>
      </c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44"/>
      <c r="V47" s="132"/>
      <c r="W47" s="124">
        <f t="shared" si="5"/>
        <v>0</v>
      </c>
      <c r="X47" s="143"/>
      <c r="Y47" s="124"/>
      <c r="Z47" s="143"/>
      <c r="AA47" s="143"/>
      <c r="AB47" s="877"/>
    </row>
    <row r="48" spans="1:28">
      <c r="A48" s="157"/>
      <c r="B48" s="152"/>
      <c r="C48" s="124">
        <f t="shared" si="3"/>
        <v>0</v>
      </c>
      <c r="D48" s="131"/>
      <c r="E48" s="132"/>
      <c r="F48" s="124">
        <f t="shared" si="4"/>
        <v>0</v>
      </c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44"/>
      <c r="V48" s="132"/>
      <c r="W48" s="124">
        <f t="shared" si="5"/>
        <v>0</v>
      </c>
      <c r="X48" s="143"/>
      <c r="Y48" s="124"/>
      <c r="Z48" s="143"/>
      <c r="AA48" s="143"/>
      <c r="AB48" s="877"/>
    </row>
    <row r="49" spans="1:28">
      <c r="A49" s="157"/>
      <c r="B49" s="152"/>
      <c r="C49" s="124">
        <f t="shared" si="3"/>
        <v>0</v>
      </c>
      <c r="D49" s="131"/>
      <c r="E49" s="146"/>
      <c r="F49" s="124">
        <f t="shared" si="4"/>
        <v>0</v>
      </c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46"/>
      <c r="W49" s="124">
        <f t="shared" si="5"/>
        <v>0</v>
      </c>
      <c r="X49" s="143"/>
      <c r="Y49" s="124"/>
      <c r="Z49" s="143"/>
      <c r="AA49" s="143"/>
      <c r="AB49" s="877"/>
    </row>
    <row r="50" spans="1:28">
      <c r="A50" s="157"/>
      <c r="B50" s="152"/>
      <c r="C50" s="124">
        <f t="shared" si="3"/>
        <v>0</v>
      </c>
      <c r="D50" s="131"/>
      <c r="E50" s="146"/>
      <c r="F50" s="124">
        <f t="shared" si="4"/>
        <v>0</v>
      </c>
      <c r="G50" s="124"/>
      <c r="H50" s="124"/>
      <c r="I50" s="191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44"/>
      <c r="V50" s="146"/>
      <c r="W50" s="124">
        <f t="shared" si="5"/>
        <v>0</v>
      </c>
      <c r="X50" s="143"/>
      <c r="Y50" s="124"/>
      <c r="Z50" s="143"/>
      <c r="AA50" s="143"/>
      <c r="AB50" s="877"/>
    </row>
    <row r="51" spans="1:28">
      <c r="A51" s="157"/>
      <c r="B51" s="152"/>
      <c r="C51" s="124">
        <f t="shared" si="3"/>
        <v>0</v>
      </c>
      <c r="D51" s="131"/>
      <c r="E51" s="146"/>
      <c r="F51" s="124">
        <f t="shared" si="4"/>
        <v>0</v>
      </c>
      <c r="G51" s="124"/>
      <c r="H51" s="124"/>
      <c r="I51" s="191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44"/>
      <c r="V51" s="146"/>
      <c r="W51" s="124">
        <f t="shared" si="5"/>
        <v>0</v>
      </c>
      <c r="X51" s="143"/>
      <c r="Y51" s="124"/>
      <c r="Z51" s="143"/>
      <c r="AA51" s="143"/>
      <c r="AB51" s="877"/>
    </row>
    <row r="52" spans="1:28">
      <c r="A52" s="157"/>
      <c r="B52" s="152"/>
      <c r="C52" s="124">
        <f t="shared" si="3"/>
        <v>0</v>
      </c>
      <c r="D52" s="131"/>
      <c r="E52" s="146"/>
      <c r="F52" s="124">
        <f t="shared" si="4"/>
        <v>0</v>
      </c>
      <c r="G52" s="124"/>
      <c r="H52" s="124"/>
      <c r="I52" s="191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44"/>
      <c r="V52" s="146"/>
      <c r="W52" s="124">
        <f t="shared" si="5"/>
        <v>0</v>
      </c>
      <c r="X52" s="143"/>
      <c r="Y52" s="124"/>
      <c r="Z52" s="143"/>
      <c r="AA52" s="143"/>
      <c r="AB52" s="877"/>
    </row>
    <row r="53" spans="1:28">
      <c r="A53" s="157"/>
      <c r="B53" s="152"/>
      <c r="C53" s="124">
        <f t="shared" si="3"/>
        <v>0</v>
      </c>
      <c r="D53" s="131"/>
      <c r="E53" s="146"/>
      <c r="F53" s="124">
        <f t="shared" si="4"/>
        <v>0</v>
      </c>
      <c r="G53" s="124"/>
      <c r="H53" s="124"/>
      <c r="I53" s="191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44"/>
      <c r="V53" s="146"/>
      <c r="W53" s="124">
        <f t="shared" si="5"/>
        <v>0</v>
      </c>
      <c r="X53" s="143"/>
      <c r="Y53" s="124"/>
      <c r="Z53" s="143"/>
      <c r="AA53" s="143"/>
      <c r="AB53" s="877"/>
    </row>
    <row r="54" spans="1:28">
      <c r="A54" s="157"/>
      <c r="B54" s="152"/>
      <c r="C54" s="124"/>
      <c r="D54" s="131"/>
      <c r="E54" s="146"/>
      <c r="F54" s="124"/>
      <c r="G54" s="124"/>
      <c r="H54" s="124"/>
      <c r="I54" s="191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44"/>
      <c r="V54" s="146"/>
      <c r="W54" s="124"/>
      <c r="X54" s="143"/>
      <c r="Y54" s="124"/>
      <c r="Z54" s="143"/>
      <c r="AA54" s="143"/>
      <c r="AB54" s="877"/>
    </row>
    <row r="55" spans="1:28">
      <c r="A55" s="157"/>
      <c r="B55" s="152"/>
      <c r="C55" s="124">
        <f>D55*E55</f>
        <v>0</v>
      </c>
      <c r="D55" s="131"/>
      <c r="E55" s="146"/>
      <c r="F55" s="124">
        <f>D55*E55</f>
        <v>0</v>
      </c>
      <c r="G55" s="124"/>
      <c r="H55" s="124"/>
      <c r="I55" s="191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44"/>
      <c r="V55" s="146"/>
      <c r="W55" s="124">
        <f>U55*V55</f>
        <v>0</v>
      </c>
      <c r="X55" s="143"/>
      <c r="Y55" s="124"/>
      <c r="Z55" s="143"/>
      <c r="AA55" s="143"/>
      <c r="AB55" s="877"/>
    </row>
    <row r="56" spans="1:28">
      <c r="A56" s="157"/>
      <c r="B56" s="158"/>
      <c r="C56" s="124">
        <f>D56*E56</f>
        <v>0</v>
      </c>
      <c r="D56" s="131"/>
      <c r="E56" s="132"/>
      <c r="F56" s="124">
        <f>D56*E56</f>
        <v>0</v>
      </c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44"/>
      <c r="V56" s="132"/>
      <c r="W56" s="124">
        <f>U56*V56</f>
        <v>0</v>
      </c>
      <c r="X56" s="143"/>
      <c r="Y56" s="124"/>
      <c r="Z56" s="143"/>
      <c r="AA56" s="143"/>
      <c r="AB56" s="877"/>
    </row>
    <row r="57" spans="1:28">
      <c r="A57" s="159"/>
      <c r="B57" s="160" t="s">
        <v>17</v>
      </c>
      <c r="C57" s="892">
        <f t="shared" ref="C57:Z57" si="6">SUM(C15:C56)</f>
        <v>636000</v>
      </c>
      <c r="D57" s="892">
        <f t="shared" si="6"/>
        <v>636000</v>
      </c>
      <c r="E57" s="892">
        <f t="shared" si="6"/>
        <v>3</v>
      </c>
      <c r="F57" s="892">
        <f t="shared" si="6"/>
        <v>636000</v>
      </c>
      <c r="G57" s="892">
        <f t="shared" si="6"/>
        <v>234040</v>
      </c>
      <c r="H57" s="892">
        <f t="shared" si="6"/>
        <v>0</v>
      </c>
      <c r="I57" s="892">
        <f t="shared" si="6"/>
        <v>636000</v>
      </c>
      <c r="J57" s="892">
        <f t="shared" si="6"/>
        <v>62400</v>
      </c>
      <c r="K57" s="892">
        <f t="shared" si="6"/>
        <v>0</v>
      </c>
      <c r="L57" s="892">
        <f t="shared" si="6"/>
        <v>573600</v>
      </c>
      <c r="M57" s="892">
        <f t="shared" si="6"/>
        <v>0</v>
      </c>
      <c r="N57" s="892">
        <f t="shared" si="6"/>
        <v>212872</v>
      </c>
      <c r="O57" s="892">
        <f t="shared" si="6"/>
        <v>3</v>
      </c>
      <c r="P57" s="892">
        <f t="shared" si="6"/>
        <v>636000</v>
      </c>
      <c r="Q57" s="892">
        <f t="shared" si="6"/>
        <v>1</v>
      </c>
      <c r="R57" s="892">
        <f t="shared" si="6"/>
        <v>480000</v>
      </c>
      <c r="S57" s="892">
        <f t="shared" si="6"/>
        <v>156000</v>
      </c>
      <c r="T57" s="893">
        <f>W57-L57</f>
        <v>62400</v>
      </c>
      <c r="U57" s="892">
        <f t="shared" si="6"/>
        <v>636000</v>
      </c>
      <c r="V57" s="892">
        <f t="shared" si="6"/>
        <v>3</v>
      </c>
      <c r="W57" s="892">
        <f t="shared" si="6"/>
        <v>636000</v>
      </c>
      <c r="X57" s="892">
        <f t="shared" si="6"/>
        <v>573600</v>
      </c>
      <c r="Y57" s="892">
        <f t="shared" si="6"/>
        <v>212872</v>
      </c>
      <c r="Z57" s="892">
        <f t="shared" si="6"/>
        <v>573600</v>
      </c>
      <c r="AA57" s="892">
        <f>SUM(AA15:AA56)</f>
        <v>0</v>
      </c>
      <c r="AB57" s="892">
        <f>SUM(AB15:AB56)</f>
        <v>636000</v>
      </c>
    </row>
    <row r="58" spans="1:28">
      <c r="A58" s="161"/>
      <c r="B58" s="162"/>
      <c r="F58" s="163"/>
      <c r="G58" s="163"/>
      <c r="H58" s="163"/>
      <c r="I58" s="163"/>
      <c r="J58" s="163"/>
      <c r="K58" s="163"/>
      <c r="L58" s="163"/>
      <c r="M58" s="163"/>
      <c r="N58" s="163"/>
      <c r="P58" s="163"/>
      <c r="Q58" s="67"/>
      <c r="R58" s="67"/>
      <c r="W58" s="163"/>
    </row>
    <row r="59" spans="1:28">
      <c r="A59" s="164"/>
      <c r="B59" s="162"/>
      <c r="F59" s="163"/>
      <c r="G59" s="163"/>
      <c r="H59" s="163"/>
      <c r="I59" s="163"/>
      <c r="J59" s="163"/>
      <c r="K59" s="163"/>
      <c r="L59" s="163"/>
      <c r="M59" s="163"/>
      <c r="N59" s="163"/>
      <c r="P59" s="163"/>
      <c r="Q59" s="67"/>
      <c r="R59" s="67"/>
      <c r="W59" s="163"/>
    </row>
    <row r="60" spans="1:28">
      <c r="F60" s="163"/>
      <c r="R60" s="67"/>
      <c r="W60" s="163"/>
    </row>
    <row r="61" spans="1:28">
      <c r="F61" s="163"/>
      <c r="R61" s="67"/>
      <c r="W61" s="163"/>
    </row>
    <row r="62" spans="1:28">
      <c r="R62" s="67"/>
    </row>
    <row r="63" spans="1:28">
      <c r="A63" s="67" t="s">
        <v>59</v>
      </c>
      <c r="F63" s="163"/>
      <c r="W63" s="163"/>
    </row>
  </sheetData>
  <mergeCells count="7">
    <mergeCell ref="E1:F1"/>
    <mergeCell ref="Z8:Z12"/>
    <mergeCell ref="AA8:AA12"/>
    <mergeCell ref="AB8:AB12"/>
    <mergeCell ref="D6:E6"/>
    <mergeCell ref="X8:X12"/>
    <mergeCell ref="Y8:Y12"/>
  </mergeCells>
  <phoneticPr fontId="0" type="noConversion"/>
  <conditionalFormatting sqref="U8:W9 X8:AC12">
    <cfRule type="cellIs" dxfId="18" priority="1" stopIfTrue="1" operator="equal">
      <formula>0</formula>
    </cfRule>
  </conditionalFormatting>
  <pageMargins left="0.23" right="0.19" top="0.984251969" bottom="0.63" header="0.4921259845" footer="0.4921259845"/>
  <pageSetup paperSize="9" scale="47" orientation="landscape" r:id="rId1"/>
  <headerFooter alignWithMargins="0"/>
  <drawing r:id="rId2"/>
  <legacy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0">
    <pageSetUpPr fitToPage="1"/>
  </sheetPr>
  <dimension ref="A1:AE56"/>
  <sheetViews>
    <sheetView showGridLines="0" showZeros="0" topLeftCell="M1" workbookViewId="0">
      <selection activeCell="Z17" sqref="Z17:Z21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9.62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65" t="s">
        <v>559</v>
      </c>
      <c r="C2" s="65"/>
      <c r="D2" s="65"/>
      <c r="E2" s="65"/>
      <c r="F2" s="65"/>
      <c r="G2" s="65"/>
      <c r="H2" s="66"/>
      <c r="I2" s="66"/>
      <c r="J2" s="1079"/>
      <c r="K2" s="1079"/>
      <c r="L2" s="1079"/>
      <c r="M2" s="1079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72</v>
      </c>
      <c r="E3" s="65"/>
      <c r="F3" s="65" t="s">
        <v>84</v>
      </c>
      <c r="G3" s="65" t="s">
        <v>499</v>
      </c>
      <c r="H3" s="1127"/>
      <c r="I3" s="1076"/>
      <c r="J3" s="1076"/>
      <c r="K3" s="1076"/>
      <c r="L3" s="1076"/>
      <c r="M3" s="1076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>
      <c r="A4" s="1225" t="s">
        <v>61</v>
      </c>
      <c r="B4" s="66" t="s">
        <v>558</v>
      </c>
      <c r="C4" s="216" t="s">
        <v>81</v>
      </c>
      <c r="D4" s="216"/>
      <c r="E4" s="216"/>
      <c r="F4" s="217"/>
      <c r="G4" s="217"/>
      <c r="H4" s="1075"/>
      <c r="I4" s="1075"/>
      <c r="J4" s="1075"/>
      <c r="K4" s="1075"/>
      <c r="L4" s="1075"/>
      <c r="M4" s="1075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3">
        <v>201000949</v>
      </c>
      <c r="C5" s="1076"/>
      <c r="D5" s="1076"/>
      <c r="E5" s="1076"/>
      <c r="F5" s="1075"/>
      <c r="G5" s="1075"/>
      <c r="H5" s="1079"/>
      <c r="I5" s="1079"/>
      <c r="J5" s="1075"/>
      <c r="K5" s="1226"/>
      <c r="L5" s="1075"/>
      <c r="M5" s="1075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1078" t="s">
        <v>51</v>
      </c>
      <c r="B6" s="74" t="s">
        <v>557</v>
      </c>
      <c r="C6" s="1076"/>
      <c r="D6" s="2433"/>
      <c r="E6" s="2433"/>
      <c r="F6" s="1075"/>
      <c r="G6" s="1075"/>
      <c r="H6" s="1209"/>
      <c r="I6" s="1227"/>
      <c r="J6" s="1228"/>
      <c r="K6" s="1225"/>
      <c r="L6" s="1225"/>
      <c r="M6" s="1231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8.25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903"/>
      <c r="V9" s="904"/>
      <c r="W9" s="905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232" t="s">
        <v>86</v>
      </c>
      <c r="Y13" s="1232"/>
      <c r="Z13" s="1232"/>
      <c r="AA13" s="1232"/>
      <c r="AB13" s="1232"/>
    </row>
    <row r="14" spans="1:31">
      <c r="A14" s="1111"/>
      <c r="B14" s="121"/>
      <c r="C14" s="135"/>
      <c r="D14" s="522"/>
      <c r="E14" s="1111"/>
      <c r="F14" s="134"/>
      <c r="G14" s="134"/>
      <c r="H14" s="134"/>
      <c r="I14" s="134"/>
      <c r="J14" s="134"/>
      <c r="K14" s="134"/>
      <c r="L14" s="134"/>
      <c r="M14" s="134"/>
      <c r="N14" s="134"/>
      <c r="O14" s="135"/>
      <c r="P14" s="134"/>
      <c r="Q14" s="135"/>
      <c r="R14" s="135"/>
      <c r="S14" s="521"/>
      <c r="T14" s="1112"/>
      <c r="U14" s="135"/>
      <c r="V14" s="1111"/>
      <c r="W14" s="134"/>
      <c r="X14" s="134"/>
      <c r="Y14" s="134"/>
      <c r="Z14" s="134"/>
      <c r="AA14" s="135"/>
      <c r="AB14" s="1112"/>
    </row>
    <row r="15" spans="1:31" ht="13.5" customHeight="1">
      <c r="A15" s="1111"/>
      <c r="B15" s="121"/>
      <c r="C15" s="124">
        <f>D15*E15</f>
        <v>0</v>
      </c>
      <c r="D15" s="522"/>
      <c r="E15" s="1111"/>
      <c r="F15" s="124">
        <f>D15*E15</f>
        <v>0</v>
      </c>
      <c r="G15" s="134"/>
      <c r="H15" s="134"/>
      <c r="I15" s="134"/>
      <c r="J15" s="134"/>
      <c r="K15" s="134"/>
      <c r="L15" s="134"/>
      <c r="M15" s="134"/>
      <c r="N15" s="134"/>
      <c r="O15" s="135"/>
      <c r="P15" s="134"/>
      <c r="Q15" s="135"/>
      <c r="R15" s="135"/>
      <c r="S15" s="521"/>
      <c r="T15" s="1112"/>
      <c r="U15" s="135"/>
      <c r="V15" s="1111"/>
      <c r="W15" s="124">
        <f>U15*V15</f>
        <v>0</v>
      </c>
      <c r="X15" s="134"/>
      <c r="Y15" s="134"/>
      <c r="Z15" s="134"/>
      <c r="AA15" s="135"/>
      <c r="AB15" s="1112"/>
    </row>
    <row r="16" spans="1:31" ht="12.75" customHeight="1">
      <c r="A16" s="1233"/>
      <c r="B16" s="1114"/>
      <c r="C16" s="124">
        <f>D16*E16</f>
        <v>0</v>
      </c>
      <c r="D16" s="519"/>
      <c r="E16" s="520"/>
      <c r="F16" s="124">
        <f>D16*E16</f>
        <v>0</v>
      </c>
      <c r="G16" s="134"/>
      <c r="H16" s="134"/>
      <c r="I16" s="134"/>
      <c r="J16" s="134"/>
      <c r="K16" s="134"/>
      <c r="L16" s="134"/>
      <c r="M16" s="134"/>
      <c r="N16" s="134"/>
      <c r="O16" s="135"/>
      <c r="P16" s="134">
        <v>0</v>
      </c>
      <c r="Q16" s="135"/>
      <c r="R16" s="135">
        <v>0</v>
      </c>
      <c r="S16" s="135"/>
      <c r="T16" s="1112"/>
      <c r="U16" s="519"/>
      <c r="V16" s="520"/>
      <c r="W16" s="124">
        <f>U16*V16</f>
        <v>0</v>
      </c>
      <c r="X16" s="134"/>
      <c r="Y16" s="134"/>
      <c r="Z16" s="134">
        <v>0</v>
      </c>
      <c r="AA16" s="135">
        <v>0</v>
      </c>
      <c r="AB16" s="1112"/>
    </row>
    <row r="17" spans="1:30" ht="37.5" customHeight="1">
      <c r="A17" s="999">
        <v>1</v>
      </c>
      <c r="B17" s="165" t="s">
        <v>556</v>
      </c>
      <c r="C17" s="124">
        <f>D17*E17</f>
        <v>684000</v>
      </c>
      <c r="D17" s="131">
        <f>570000*1.2</f>
        <v>684000</v>
      </c>
      <c r="E17" s="132">
        <v>1</v>
      </c>
      <c r="F17" s="124">
        <f>D17*E17</f>
        <v>684000</v>
      </c>
      <c r="G17" s="124">
        <v>540000</v>
      </c>
      <c r="H17" s="124" t="s">
        <v>96</v>
      </c>
      <c r="I17" s="124">
        <f>+W17</f>
        <v>684000</v>
      </c>
      <c r="J17" s="124"/>
      <c r="K17" s="124"/>
      <c r="L17" s="1496">
        <f>+I17-J17+K17</f>
        <v>684000</v>
      </c>
      <c r="M17" s="124"/>
      <c r="N17" s="124">
        <f>450000*1.2</f>
        <v>540000</v>
      </c>
      <c r="O17" s="124">
        <v>1</v>
      </c>
      <c r="P17" s="124">
        <f>O17*U17</f>
        <v>684000</v>
      </c>
      <c r="Q17" s="124"/>
      <c r="R17" s="124">
        <v>684000</v>
      </c>
      <c r="S17" s="124"/>
      <c r="T17" s="895"/>
      <c r="U17" s="131">
        <f>570000*1.2</f>
        <v>684000</v>
      </c>
      <c r="V17" s="132">
        <v>1</v>
      </c>
      <c r="W17" s="124">
        <f>U17*V17</f>
        <v>684000</v>
      </c>
      <c r="X17" s="124">
        <v>684000</v>
      </c>
      <c r="Y17" s="124">
        <v>540000</v>
      </c>
      <c r="Z17" s="124">
        <v>684000</v>
      </c>
      <c r="AA17" s="191">
        <v>684000</v>
      </c>
      <c r="AB17" s="895">
        <v>684000</v>
      </c>
      <c r="AC17" s="68">
        <f>X17/1.2</f>
        <v>570000</v>
      </c>
      <c r="AD17" s="384"/>
    </row>
    <row r="18" spans="1:30" ht="12.75" hidden="1" customHeight="1">
      <c r="A18" s="1115"/>
      <c r="B18" s="166"/>
      <c r="C18" s="124"/>
      <c r="D18" s="1116"/>
      <c r="E18" s="132"/>
      <c r="F18" s="124"/>
      <c r="G18" s="124"/>
      <c r="H18" s="124" t="s">
        <v>96</v>
      </c>
      <c r="I18" s="124"/>
      <c r="J18" s="124"/>
      <c r="K18" s="124"/>
      <c r="L18" s="124">
        <f>+I18-J18+K18</f>
        <v>0</v>
      </c>
      <c r="M18" s="124"/>
      <c r="N18" s="124"/>
      <c r="O18" s="124"/>
      <c r="P18" s="124"/>
      <c r="Q18" s="124"/>
      <c r="R18" s="124"/>
      <c r="S18" s="124"/>
      <c r="T18" s="877"/>
      <c r="U18" s="1116"/>
      <c r="V18" s="132"/>
      <c r="W18" s="124"/>
      <c r="X18" s="124">
        <v>0</v>
      </c>
      <c r="Y18" s="124"/>
      <c r="Z18" s="124"/>
      <c r="AA18" s="191"/>
      <c r="AB18" s="877"/>
      <c r="AD18" s="384"/>
    </row>
    <row r="19" spans="1:30" ht="12.75" hidden="1" customHeight="1">
      <c r="A19" s="1229"/>
      <c r="B19" s="166"/>
      <c r="C19" s="124"/>
      <c r="D19" s="1116"/>
      <c r="E19" s="132"/>
      <c r="F19" s="124"/>
      <c r="G19" s="124"/>
      <c r="H19" s="124" t="s">
        <v>96</v>
      </c>
      <c r="I19" s="124"/>
      <c r="J19" s="124"/>
      <c r="K19" s="124"/>
      <c r="L19" s="124">
        <f>+I19-J19+K19</f>
        <v>0</v>
      </c>
      <c r="M19" s="124"/>
      <c r="N19" s="124"/>
      <c r="O19" s="124"/>
      <c r="P19" s="124"/>
      <c r="Q19" s="124"/>
      <c r="R19" s="124"/>
      <c r="S19" s="124"/>
      <c r="T19" s="877"/>
      <c r="U19" s="1116"/>
      <c r="V19" s="132"/>
      <c r="W19" s="124"/>
      <c r="X19" s="124">
        <v>0</v>
      </c>
      <c r="Y19" s="124"/>
      <c r="Z19" s="124"/>
      <c r="AA19" s="191"/>
      <c r="AB19" s="877"/>
      <c r="AD19" s="384"/>
    </row>
    <row r="20" spans="1:30" ht="27.75" customHeight="1">
      <c r="A20" s="998">
        <v>2</v>
      </c>
      <c r="B20" s="130" t="s">
        <v>88</v>
      </c>
      <c r="C20" s="124">
        <f t="shared" ref="C20:C49" si="0">D20*E20</f>
        <v>756000</v>
      </c>
      <c r="D20" s="131">
        <f>630000*1.2</f>
        <v>756000</v>
      </c>
      <c r="E20" s="132">
        <v>1</v>
      </c>
      <c r="F20" s="124">
        <f t="shared" ref="F20:F29" si="1">D20*E20</f>
        <v>756000</v>
      </c>
      <c r="G20" s="124">
        <v>612000</v>
      </c>
      <c r="H20" s="124" t="s">
        <v>96</v>
      </c>
      <c r="I20" s="124">
        <f>W20</f>
        <v>756000</v>
      </c>
      <c r="J20" s="124"/>
      <c r="K20" s="124"/>
      <c r="L20" s="124">
        <f>+I20-J20+K20</f>
        <v>756000</v>
      </c>
      <c r="M20" s="124"/>
      <c r="N20" s="124">
        <f>+G20</f>
        <v>612000</v>
      </c>
      <c r="O20" s="124">
        <v>1</v>
      </c>
      <c r="P20" s="124">
        <f>O20*U20</f>
        <v>756000</v>
      </c>
      <c r="Q20" s="124"/>
      <c r="R20" s="124">
        <v>756000</v>
      </c>
      <c r="S20" s="124"/>
      <c r="T20" s="143"/>
      <c r="U20" s="131">
        <f>630000*1.2</f>
        <v>756000</v>
      </c>
      <c r="V20" s="132">
        <v>1</v>
      </c>
      <c r="W20" s="124">
        <f t="shared" ref="W20:W49" si="2">U20*V20</f>
        <v>756000</v>
      </c>
      <c r="X20" s="124">
        <v>756000</v>
      </c>
      <c r="Y20" s="124">
        <v>612000</v>
      </c>
      <c r="Z20" s="140">
        <v>756000</v>
      </c>
      <c r="AA20" s="124">
        <v>756000</v>
      </c>
      <c r="AB20" s="143">
        <v>756000</v>
      </c>
      <c r="AC20" s="68">
        <f>1288800/1.2</f>
        <v>1074000</v>
      </c>
      <c r="AD20" s="384"/>
    </row>
    <row r="21" spans="1:30" ht="19.5" customHeight="1">
      <c r="A21" s="146">
        <v>0</v>
      </c>
      <c r="B21" s="142" t="s">
        <v>555</v>
      </c>
      <c r="C21" s="124">
        <f t="shared" si="0"/>
        <v>360000</v>
      </c>
      <c r="D21" s="131">
        <f>300000*1.2</f>
        <v>360000</v>
      </c>
      <c r="E21" s="132">
        <v>1</v>
      </c>
      <c r="F21" s="124">
        <f t="shared" si="1"/>
        <v>360000</v>
      </c>
      <c r="G21" s="124">
        <v>288000</v>
      </c>
      <c r="H21" s="124" t="s">
        <v>96</v>
      </c>
      <c r="I21" s="124">
        <f>W21</f>
        <v>360000</v>
      </c>
      <c r="J21" s="124"/>
      <c r="K21" s="124"/>
      <c r="L21" s="124">
        <f>+I21-J21+K21</f>
        <v>360000</v>
      </c>
      <c r="M21" s="124"/>
      <c r="N21" s="124">
        <f>G21</f>
        <v>288000</v>
      </c>
      <c r="O21" s="124">
        <v>1</v>
      </c>
      <c r="P21" s="124">
        <f>O21*U21</f>
        <v>360000</v>
      </c>
      <c r="Q21" s="124"/>
      <c r="R21" s="124"/>
      <c r="S21" s="124"/>
      <c r="T21" s="143"/>
      <c r="U21" s="131">
        <f>300000*1.2</f>
        <v>360000</v>
      </c>
      <c r="V21" s="132">
        <v>1</v>
      </c>
      <c r="W21" s="124">
        <f t="shared" si="2"/>
        <v>360000</v>
      </c>
      <c r="X21" s="124">
        <v>360000</v>
      </c>
      <c r="Y21" s="124">
        <v>288000</v>
      </c>
      <c r="Z21" s="124">
        <v>360000</v>
      </c>
      <c r="AA21" s="143"/>
      <c r="AB21" s="143">
        <v>360000</v>
      </c>
      <c r="AD21" s="384"/>
    </row>
    <row r="22" spans="1:30">
      <c r="A22" s="146"/>
      <c r="B22" s="142"/>
      <c r="C22" s="124">
        <f t="shared" si="0"/>
        <v>0</v>
      </c>
      <c r="D22" s="131"/>
      <c r="E22" s="132"/>
      <c r="F22" s="124">
        <f t="shared" si="1"/>
        <v>0</v>
      </c>
      <c r="G22" s="143"/>
      <c r="H22" s="143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43"/>
      <c r="U22" s="144"/>
      <c r="V22" s="132"/>
      <c r="W22" s="124">
        <f t="shared" si="2"/>
        <v>0</v>
      </c>
      <c r="X22" s="143"/>
      <c r="Y22" s="143"/>
      <c r="Z22" s="124"/>
      <c r="AA22" s="143"/>
      <c r="AB22" s="143"/>
      <c r="AD22" s="384"/>
    </row>
    <row r="23" spans="1:30">
      <c r="A23" s="132"/>
      <c r="B23" s="145"/>
      <c r="C23" s="124">
        <f t="shared" si="0"/>
        <v>0</v>
      </c>
      <c r="D23" s="131"/>
      <c r="E23" s="132"/>
      <c r="F23" s="124">
        <f t="shared" si="1"/>
        <v>0</v>
      </c>
      <c r="G23" s="143"/>
      <c r="H23" s="143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43"/>
      <c r="U23" s="144"/>
      <c r="V23" s="132"/>
      <c r="W23" s="124">
        <f t="shared" si="2"/>
        <v>0</v>
      </c>
      <c r="X23" s="143"/>
      <c r="Y23" s="143"/>
      <c r="Z23" s="143"/>
      <c r="AA23" s="143"/>
      <c r="AB23" s="143"/>
      <c r="AD23" s="384"/>
    </row>
    <row r="24" spans="1:30" ht="12.75" hidden="1" customHeight="1">
      <c r="A24" s="132"/>
      <c r="B24" s="145"/>
      <c r="C24" s="124">
        <f t="shared" si="0"/>
        <v>0</v>
      </c>
      <c r="D24" s="131"/>
      <c r="E24" s="146"/>
      <c r="F24" s="124">
        <f t="shared" si="1"/>
        <v>0</v>
      </c>
      <c r="G24" s="143"/>
      <c r="H24" s="143"/>
      <c r="I24" s="143"/>
      <c r="J24" s="143"/>
      <c r="K24" s="124"/>
      <c r="L24" s="143"/>
      <c r="M24" s="143"/>
      <c r="N24" s="143"/>
      <c r="O24" s="143"/>
      <c r="P24" s="143"/>
      <c r="Q24" s="147"/>
      <c r="R24" s="124"/>
      <c r="S24" s="143"/>
      <c r="T24" s="143"/>
      <c r="U24" s="144"/>
      <c r="V24" s="146"/>
      <c r="W24" s="124">
        <f t="shared" si="2"/>
        <v>0</v>
      </c>
      <c r="X24" s="143"/>
      <c r="Y24" s="143"/>
      <c r="Z24" s="143"/>
      <c r="AA24" s="124"/>
      <c r="AB24" s="143"/>
      <c r="AD24" s="384"/>
    </row>
    <row r="25" spans="1:30" ht="0.75" hidden="1" customHeight="1">
      <c r="A25" s="1115"/>
      <c r="B25" s="148"/>
      <c r="C25" s="124">
        <f t="shared" si="0"/>
        <v>0</v>
      </c>
      <c r="D25" s="131"/>
      <c r="E25" s="132"/>
      <c r="F25" s="124">
        <f t="shared" si="1"/>
        <v>0</v>
      </c>
      <c r="G25" s="143"/>
      <c r="H25" s="143"/>
      <c r="I25" s="143"/>
      <c r="J25" s="143"/>
      <c r="K25" s="124"/>
      <c r="L25" s="143"/>
      <c r="M25" s="143"/>
      <c r="N25" s="143"/>
      <c r="O25" s="143"/>
      <c r="P25" s="124"/>
      <c r="Q25" s="141"/>
      <c r="R25" s="124"/>
      <c r="S25" s="143">
        <f>+P25-R25</f>
        <v>0</v>
      </c>
      <c r="T25" s="143"/>
      <c r="U25" s="144"/>
      <c r="V25" s="132"/>
      <c r="W25" s="124">
        <f t="shared" si="2"/>
        <v>0</v>
      </c>
      <c r="X25" s="143"/>
      <c r="Y25" s="143"/>
      <c r="Z25" s="124"/>
      <c r="AA25" s="124"/>
      <c r="AB25" s="143"/>
      <c r="AD25" s="384"/>
    </row>
    <row r="26" spans="1:30" ht="12.75" hidden="1" customHeight="1">
      <c r="A26" s="1115"/>
      <c r="B26" s="150"/>
      <c r="C26" s="124">
        <f t="shared" si="0"/>
        <v>0</v>
      </c>
      <c r="D26" s="131"/>
      <c r="E26" s="132"/>
      <c r="F26" s="124">
        <f t="shared" si="1"/>
        <v>0</v>
      </c>
      <c r="G26" s="143"/>
      <c r="H26" s="143"/>
      <c r="I26" s="143"/>
      <c r="J26" s="143"/>
      <c r="K26" s="124"/>
      <c r="L26" s="143"/>
      <c r="M26" s="143"/>
      <c r="N26" s="143"/>
      <c r="O26" s="143"/>
      <c r="P26" s="143"/>
      <c r="Q26" s="141"/>
      <c r="R26" s="124"/>
      <c r="S26" s="143">
        <f>+P26-R26</f>
        <v>0</v>
      </c>
      <c r="T26" s="143"/>
      <c r="U26" s="144"/>
      <c r="V26" s="132"/>
      <c r="W26" s="124">
        <f t="shared" si="2"/>
        <v>0</v>
      </c>
      <c r="X26" s="143"/>
      <c r="Y26" s="143"/>
      <c r="Z26" s="143"/>
      <c r="AA26" s="124"/>
      <c r="AB26" s="143"/>
      <c r="AD26" s="384"/>
    </row>
    <row r="27" spans="1:30">
      <c r="A27" s="999"/>
      <c r="B27" s="151"/>
      <c r="C27" s="124">
        <f t="shared" si="0"/>
        <v>0</v>
      </c>
      <c r="D27" s="131"/>
      <c r="E27" s="132"/>
      <c r="F27" s="124">
        <f t="shared" si="1"/>
        <v>0</v>
      </c>
      <c r="G27" s="143"/>
      <c r="H27" s="143"/>
      <c r="I27" s="143"/>
      <c r="J27" s="143"/>
      <c r="K27" s="124"/>
      <c r="L27" s="143"/>
      <c r="M27" s="143"/>
      <c r="N27" s="143"/>
      <c r="O27" s="143"/>
      <c r="P27" s="143"/>
      <c r="Q27" s="141"/>
      <c r="R27" s="124"/>
      <c r="S27" s="143"/>
      <c r="T27" s="143"/>
      <c r="U27" s="144"/>
      <c r="V27" s="132"/>
      <c r="W27" s="124">
        <f t="shared" si="2"/>
        <v>0</v>
      </c>
      <c r="X27" s="143"/>
      <c r="Y27" s="143"/>
      <c r="Z27" s="143"/>
      <c r="AA27" s="124"/>
      <c r="AB27" s="143"/>
      <c r="AD27" s="384"/>
    </row>
    <row r="28" spans="1:30" ht="12" customHeight="1">
      <c r="A28" s="157"/>
      <c r="B28" s="152"/>
      <c r="C28" s="124">
        <f t="shared" si="0"/>
        <v>0</v>
      </c>
      <c r="D28" s="131"/>
      <c r="E28" s="132"/>
      <c r="F28" s="124">
        <f t="shared" si="1"/>
        <v>0</v>
      </c>
      <c r="G28" s="143"/>
      <c r="H28" s="143"/>
      <c r="I28" s="143"/>
      <c r="J28" s="143"/>
      <c r="K28" s="124"/>
      <c r="L28" s="143"/>
      <c r="M28" s="143"/>
      <c r="N28" s="143"/>
      <c r="O28" s="143"/>
      <c r="P28" s="143"/>
      <c r="Q28" s="141"/>
      <c r="R28" s="143"/>
      <c r="S28" s="143"/>
      <c r="T28" s="143"/>
      <c r="U28" s="144"/>
      <c r="V28" s="132"/>
      <c r="W28" s="124">
        <f t="shared" si="2"/>
        <v>0</v>
      </c>
      <c r="X28" s="143"/>
      <c r="Y28" s="143"/>
      <c r="Z28" s="143"/>
      <c r="AA28" s="143"/>
      <c r="AB28" s="143"/>
      <c r="AD28" s="384"/>
    </row>
    <row r="29" spans="1:30">
      <c r="A29" s="146"/>
      <c r="B29" s="152"/>
      <c r="C29" s="124">
        <f t="shared" si="0"/>
        <v>0</v>
      </c>
      <c r="D29" s="131"/>
      <c r="E29" s="132"/>
      <c r="F29" s="124">
        <f t="shared" si="1"/>
        <v>0</v>
      </c>
      <c r="G29" s="143"/>
      <c r="H29" s="143"/>
      <c r="I29" s="143"/>
      <c r="J29" s="143"/>
      <c r="K29" s="124"/>
      <c r="L29" s="143"/>
      <c r="M29" s="143"/>
      <c r="N29" s="143"/>
      <c r="O29" s="143"/>
      <c r="P29" s="143"/>
      <c r="Q29" s="141"/>
      <c r="R29" s="143"/>
      <c r="S29" s="143"/>
      <c r="T29" s="143"/>
      <c r="U29" s="144"/>
      <c r="V29" s="132"/>
      <c r="W29" s="124">
        <f t="shared" si="2"/>
        <v>0</v>
      </c>
      <c r="X29" s="143"/>
      <c r="Y29" s="143"/>
      <c r="Z29" s="143"/>
      <c r="AA29" s="143"/>
      <c r="AB29" s="143"/>
      <c r="AD29" s="384"/>
    </row>
    <row r="30" spans="1:30">
      <c r="A30" s="157"/>
      <c r="B30" s="152"/>
      <c r="C30" s="124">
        <f t="shared" si="0"/>
        <v>0</v>
      </c>
      <c r="D30" s="131"/>
      <c r="E30" s="132"/>
      <c r="F30" s="124"/>
      <c r="G30" s="143"/>
      <c r="H30" s="143"/>
      <c r="I30" s="143"/>
      <c r="J30" s="143"/>
      <c r="K30" s="124"/>
      <c r="L30" s="143"/>
      <c r="M30" s="143"/>
      <c r="N30" s="143"/>
      <c r="O30" s="143"/>
      <c r="P30" s="143"/>
      <c r="Q30" s="141"/>
      <c r="R30" s="143"/>
      <c r="S30" s="143"/>
      <c r="T30" s="143"/>
      <c r="U30" s="144"/>
      <c r="V30" s="132"/>
      <c r="W30" s="124">
        <f t="shared" si="2"/>
        <v>0</v>
      </c>
      <c r="X30" s="143"/>
      <c r="Y30" s="143"/>
      <c r="Z30" s="143"/>
      <c r="AA30" s="143"/>
      <c r="AB30" s="143"/>
      <c r="AD30" s="384"/>
    </row>
    <row r="31" spans="1:30">
      <c r="A31" s="157"/>
      <c r="B31" s="152"/>
      <c r="C31" s="124">
        <f t="shared" si="0"/>
        <v>0</v>
      </c>
      <c r="D31" s="131"/>
      <c r="E31" s="132"/>
      <c r="F31" s="124">
        <f t="shared" ref="F31:F49" si="3">D31*E31</f>
        <v>0</v>
      </c>
      <c r="G31" s="143"/>
      <c r="H31" s="143"/>
      <c r="I31" s="143"/>
      <c r="J31" s="143"/>
      <c r="K31" s="124"/>
      <c r="L31" s="143"/>
      <c r="M31" s="143"/>
      <c r="N31" s="143"/>
      <c r="O31" s="143"/>
      <c r="P31" s="143"/>
      <c r="Q31" s="141"/>
      <c r="R31" s="143"/>
      <c r="S31" s="143"/>
      <c r="T31" s="143"/>
      <c r="U31" s="144"/>
      <c r="V31" s="132"/>
      <c r="W31" s="124">
        <f t="shared" si="2"/>
        <v>0</v>
      </c>
      <c r="X31" s="143"/>
      <c r="Y31" s="143"/>
      <c r="Z31" s="143"/>
      <c r="AA31" s="143"/>
      <c r="AB31" s="143"/>
      <c r="AD31" s="384"/>
    </row>
    <row r="32" spans="1:30">
      <c r="A32" s="157"/>
      <c r="B32" s="154"/>
      <c r="C32" s="124">
        <f t="shared" si="0"/>
        <v>0</v>
      </c>
      <c r="D32" s="131"/>
      <c r="E32" s="132"/>
      <c r="F32" s="124">
        <f t="shared" si="3"/>
        <v>0</v>
      </c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43"/>
      <c r="T32" s="143"/>
      <c r="U32" s="144"/>
      <c r="V32" s="132"/>
      <c r="W32" s="124">
        <f t="shared" si="2"/>
        <v>0</v>
      </c>
      <c r="X32" s="143"/>
      <c r="Y32" s="143"/>
      <c r="Z32" s="143"/>
      <c r="AA32" s="143"/>
      <c r="AB32" s="143"/>
      <c r="AD32" s="384"/>
    </row>
    <row r="33" spans="1:30">
      <c r="A33" s="999"/>
      <c r="B33" s="151"/>
      <c r="C33" s="124">
        <f t="shared" si="0"/>
        <v>0</v>
      </c>
      <c r="D33" s="131"/>
      <c r="E33" s="132"/>
      <c r="F33" s="124">
        <f t="shared" si="3"/>
        <v>0</v>
      </c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4"/>
      <c r="V33" s="132"/>
      <c r="W33" s="124">
        <f t="shared" si="2"/>
        <v>0</v>
      </c>
      <c r="X33" s="143"/>
      <c r="Y33" s="143"/>
      <c r="Z33" s="143"/>
      <c r="AA33" s="143"/>
      <c r="AB33" s="143">
        <v>0</v>
      </c>
      <c r="AC33" s="384"/>
      <c r="AD33" s="384"/>
    </row>
    <row r="34" spans="1:30" ht="0.75" hidden="1" customHeight="1">
      <c r="A34" s="157"/>
      <c r="B34" s="152"/>
      <c r="C34" s="124">
        <f t="shared" si="0"/>
        <v>0</v>
      </c>
      <c r="D34" s="131"/>
      <c r="E34" s="132"/>
      <c r="F34" s="124">
        <f t="shared" si="3"/>
        <v>0</v>
      </c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84"/>
      <c r="R34" s="143"/>
      <c r="S34" s="143"/>
      <c r="T34" s="143"/>
      <c r="U34" s="144"/>
      <c r="V34" s="132"/>
      <c r="W34" s="124">
        <f t="shared" si="2"/>
        <v>0</v>
      </c>
      <c r="X34" s="143"/>
      <c r="Y34" s="143"/>
      <c r="Z34" s="143"/>
      <c r="AA34" s="143"/>
      <c r="AB34" s="143">
        <v>0</v>
      </c>
      <c r="AC34" s="384"/>
      <c r="AD34" s="384"/>
    </row>
    <row r="35" spans="1:30" ht="0.75" hidden="1" customHeight="1">
      <c r="A35" s="146"/>
      <c r="B35" s="152"/>
      <c r="C35" s="124">
        <f t="shared" si="0"/>
        <v>0</v>
      </c>
      <c r="D35" s="131"/>
      <c r="E35" s="132"/>
      <c r="F35" s="124">
        <f t="shared" si="3"/>
        <v>0</v>
      </c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84"/>
      <c r="R35" s="143"/>
      <c r="S35" s="143"/>
      <c r="T35" s="877"/>
      <c r="U35" s="144"/>
      <c r="V35" s="132"/>
      <c r="W35" s="124">
        <f t="shared" si="2"/>
        <v>0</v>
      </c>
      <c r="X35" s="143"/>
      <c r="Y35" s="124"/>
      <c r="Z35" s="143"/>
      <c r="AA35" s="143"/>
      <c r="AB35" s="877"/>
      <c r="AC35" s="384"/>
      <c r="AD35" s="384"/>
    </row>
    <row r="36" spans="1:30">
      <c r="A36" s="157"/>
      <c r="B36" s="152"/>
      <c r="C36" s="124">
        <f t="shared" si="0"/>
        <v>0</v>
      </c>
      <c r="D36" s="131"/>
      <c r="E36" s="132"/>
      <c r="F36" s="124">
        <f t="shared" si="3"/>
        <v>0</v>
      </c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44"/>
      <c r="V36" s="132"/>
      <c r="W36" s="124">
        <f t="shared" si="2"/>
        <v>0</v>
      </c>
      <c r="X36" s="143"/>
      <c r="Y36" s="124"/>
      <c r="Z36" s="124"/>
      <c r="AA36" s="143"/>
      <c r="AB36" s="877"/>
      <c r="AC36" s="384"/>
      <c r="AD36" s="384"/>
    </row>
    <row r="37" spans="1:30">
      <c r="A37" s="157"/>
      <c r="B37" s="152"/>
      <c r="C37" s="124">
        <f t="shared" si="0"/>
        <v>0</v>
      </c>
      <c r="D37" s="131"/>
      <c r="E37" s="132"/>
      <c r="F37" s="124">
        <f t="shared" si="3"/>
        <v>0</v>
      </c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44"/>
      <c r="V37" s="132"/>
      <c r="W37" s="124"/>
      <c r="X37" s="143"/>
      <c r="Y37" s="124"/>
      <c r="Z37" s="124"/>
      <c r="AA37" s="143"/>
      <c r="AB37" s="877"/>
      <c r="AC37" s="384"/>
      <c r="AD37" s="384"/>
    </row>
    <row r="38" spans="1:30">
      <c r="A38" s="157"/>
      <c r="B38" s="152"/>
      <c r="C38" s="124">
        <f t="shared" si="0"/>
        <v>0</v>
      </c>
      <c r="D38" s="131"/>
      <c r="E38" s="132"/>
      <c r="F38" s="124">
        <f t="shared" si="3"/>
        <v>0</v>
      </c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44"/>
      <c r="V38" s="132"/>
      <c r="W38" s="124">
        <f t="shared" si="2"/>
        <v>0</v>
      </c>
      <c r="X38" s="143"/>
      <c r="Y38" s="124"/>
      <c r="Z38" s="124"/>
      <c r="AA38" s="143"/>
      <c r="AB38" s="877"/>
      <c r="AC38" s="384"/>
      <c r="AD38" s="384"/>
    </row>
    <row r="39" spans="1:30">
      <c r="A39" s="157"/>
      <c r="B39" s="152"/>
      <c r="C39" s="124">
        <f t="shared" si="0"/>
        <v>0</v>
      </c>
      <c r="D39" s="131"/>
      <c r="E39" s="132"/>
      <c r="F39" s="124">
        <f t="shared" si="3"/>
        <v>0</v>
      </c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44"/>
      <c r="V39" s="132"/>
      <c r="W39" s="124">
        <f t="shared" si="2"/>
        <v>0</v>
      </c>
      <c r="X39" s="143"/>
      <c r="Y39" s="124"/>
      <c r="Z39" s="124"/>
      <c r="AA39" s="143"/>
      <c r="AB39" s="877"/>
      <c r="AC39" s="384"/>
      <c r="AD39" s="384"/>
    </row>
    <row r="40" spans="1:30">
      <c r="A40" s="157"/>
      <c r="B40" s="152"/>
      <c r="C40" s="124">
        <f t="shared" si="0"/>
        <v>0</v>
      </c>
      <c r="D40" s="131"/>
      <c r="E40" s="132"/>
      <c r="F40" s="124">
        <f t="shared" si="3"/>
        <v>0</v>
      </c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44"/>
      <c r="V40" s="132"/>
      <c r="W40" s="124">
        <f t="shared" si="2"/>
        <v>0</v>
      </c>
      <c r="X40" s="143"/>
      <c r="Y40" s="124"/>
      <c r="Z40" s="143"/>
      <c r="AA40" s="143"/>
      <c r="AB40" s="877"/>
      <c r="AC40" s="384"/>
      <c r="AD40" s="384"/>
    </row>
    <row r="41" spans="1:30">
      <c r="A41" s="157"/>
      <c r="B41" s="152"/>
      <c r="C41" s="124">
        <f t="shared" si="0"/>
        <v>0</v>
      </c>
      <c r="D41" s="131"/>
      <c r="E41" s="132"/>
      <c r="F41" s="124">
        <f t="shared" si="3"/>
        <v>0</v>
      </c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44"/>
      <c r="V41" s="132"/>
      <c r="W41" s="124">
        <f t="shared" si="2"/>
        <v>0</v>
      </c>
      <c r="X41" s="143"/>
      <c r="Y41" s="124"/>
      <c r="Z41" s="143"/>
      <c r="AA41" s="143"/>
      <c r="AB41" s="877"/>
      <c r="AC41" s="384"/>
      <c r="AD41" s="384"/>
    </row>
    <row r="42" spans="1:30">
      <c r="A42" s="157"/>
      <c r="B42" s="152"/>
      <c r="C42" s="124">
        <f t="shared" si="0"/>
        <v>0</v>
      </c>
      <c r="D42" s="131"/>
      <c r="E42" s="132"/>
      <c r="F42" s="124">
        <f t="shared" si="3"/>
        <v>0</v>
      </c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44"/>
      <c r="V42" s="132"/>
      <c r="W42" s="124">
        <f t="shared" si="2"/>
        <v>0</v>
      </c>
      <c r="X42" s="143"/>
      <c r="Y42" s="124"/>
      <c r="Z42" s="143"/>
      <c r="AA42" s="143"/>
      <c r="AB42" s="877"/>
      <c r="AC42" s="384"/>
      <c r="AD42" s="384"/>
    </row>
    <row r="43" spans="1:30">
      <c r="A43" s="157"/>
      <c r="B43" s="152"/>
      <c r="C43" s="124">
        <f t="shared" si="0"/>
        <v>0</v>
      </c>
      <c r="D43" s="131"/>
      <c r="E43" s="146"/>
      <c r="F43" s="124">
        <f t="shared" si="3"/>
        <v>0</v>
      </c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44"/>
      <c r="V43" s="146"/>
      <c r="W43" s="124">
        <f t="shared" si="2"/>
        <v>0</v>
      </c>
      <c r="X43" s="143"/>
      <c r="Y43" s="124"/>
      <c r="Z43" s="143"/>
      <c r="AA43" s="143"/>
      <c r="AB43" s="877"/>
      <c r="AC43" s="384"/>
      <c r="AD43" s="384"/>
    </row>
    <row r="44" spans="1:30">
      <c r="A44" s="157"/>
      <c r="B44" s="152"/>
      <c r="C44" s="124">
        <f t="shared" si="0"/>
        <v>0</v>
      </c>
      <c r="D44" s="131"/>
      <c r="E44" s="146"/>
      <c r="F44" s="124">
        <f t="shared" si="3"/>
        <v>0</v>
      </c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44"/>
      <c r="V44" s="146"/>
      <c r="W44" s="124">
        <f t="shared" si="2"/>
        <v>0</v>
      </c>
      <c r="X44" s="143"/>
      <c r="Y44" s="124"/>
      <c r="Z44" s="143"/>
      <c r="AA44" s="143"/>
      <c r="AB44" s="877"/>
      <c r="AC44" s="384"/>
      <c r="AD44" s="384"/>
    </row>
    <row r="45" spans="1:30">
      <c r="A45" s="157"/>
      <c r="B45" s="152"/>
      <c r="C45" s="124">
        <f t="shared" si="0"/>
        <v>0</v>
      </c>
      <c r="D45" s="131"/>
      <c r="E45" s="146"/>
      <c r="F45" s="124">
        <f t="shared" si="3"/>
        <v>0</v>
      </c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44"/>
      <c r="V45" s="146"/>
      <c r="W45" s="124">
        <f t="shared" si="2"/>
        <v>0</v>
      </c>
      <c r="X45" s="143"/>
      <c r="Y45" s="124"/>
      <c r="Z45" s="143"/>
      <c r="AA45" s="143"/>
      <c r="AB45" s="877"/>
      <c r="AC45" s="384"/>
      <c r="AD45" s="384"/>
    </row>
    <row r="46" spans="1:30">
      <c r="A46" s="157"/>
      <c r="B46" s="152"/>
      <c r="C46" s="124">
        <f t="shared" si="0"/>
        <v>0</v>
      </c>
      <c r="D46" s="131"/>
      <c r="E46" s="146"/>
      <c r="F46" s="124">
        <f t="shared" si="3"/>
        <v>0</v>
      </c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44"/>
      <c r="V46" s="146"/>
      <c r="W46" s="124">
        <f t="shared" si="2"/>
        <v>0</v>
      </c>
      <c r="X46" s="143"/>
      <c r="Y46" s="124"/>
      <c r="Z46" s="143"/>
      <c r="AA46" s="143"/>
      <c r="AB46" s="877"/>
      <c r="AC46" s="384"/>
      <c r="AD46" s="384"/>
    </row>
    <row r="47" spans="1:30">
      <c r="A47" s="157"/>
      <c r="B47" s="152"/>
      <c r="C47" s="124">
        <f t="shared" si="0"/>
        <v>0</v>
      </c>
      <c r="D47" s="131"/>
      <c r="E47" s="146"/>
      <c r="F47" s="124">
        <f t="shared" si="3"/>
        <v>0</v>
      </c>
      <c r="G47" s="124"/>
      <c r="H47" s="124"/>
      <c r="I47" s="191"/>
      <c r="J47" s="124"/>
      <c r="K47" s="124"/>
      <c r="L47" s="143"/>
      <c r="M47" s="124"/>
      <c r="N47" s="124"/>
      <c r="O47" s="124"/>
      <c r="P47" s="143">
        <v>3240</v>
      </c>
      <c r="Q47" s="124"/>
      <c r="R47" s="143">
        <v>3240</v>
      </c>
      <c r="S47" s="143"/>
      <c r="T47" s="877"/>
      <c r="U47" s="144"/>
      <c r="V47" s="146"/>
      <c r="W47" s="124">
        <f t="shared" si="2"/>
        <v>0</v>
      </c>
      <c r="X47" s="143"/>
      <c r="Y47" s="124"/>
      <c r="Z47" s="143">
        <v>3240</v>
      </c>
      <c r="AA47" s="143">
        <v>3240</v>
      </c>
      <c r="AB47" s="877"/>
      <c r="AC47" s="384"/>
      <c r="AD47" s="384"/>
    </row>
    <row r="48" spans="1:30">
      <c r="A48" s="157"/>
      <c r="B48" s="152"/>
      <c r="C48" s="124">
        <f t="shared" si="0"/>
        <v>0</v>
      </c>
      <c r="D48" s="131"/>
      <c r="E48" s="146"/>
      <c r="F48" s="124">
        <f t="shared" si="3"/>
        <v>0</v>
      </c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44"/>
      <c r="V48" s="146"/>
      <c r="W48" s="124">
        <f t="shared" si="2"/>
        <v>0</v>
      </c>
      <c r="X48" s="143"/>
      <c r="Y48" s="124"/>
      <c r="Z48" s="143"/>
      <c r="AA48" s="143"/>
      <c r="AB48" s="877"/>
      <c r="AC48" s="384"/>
      <c r="AD48" s="384"/>
    </row>
    <row r="49" spans="1:30">
      <c r="A49" s="157"/>
      <c r="B49" s="158"/>
      <c r="C49" s="124">
        <f t="shared" si="0"/>
        <v>0</v>
      </c>
      <c r="D49" s="131"/>
      <c r="E49" s="132"/>
      <c r="F49" s="124">
        <f t="shared" si="3"/>
        <v>0</v>
      </c>
      <c r="G49" s="124"/>
      <c r="H49" s="124"/>
      <c r="I49" s="124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32"/>
      <c r="W49" s="124">
        <f t="shared" si="2"/>
        <v>0</v>
      </c>
      <c r="X49" s="143"/>
      <c r="Y49" s="124"/>
      <c r="Z49" s="143"/>
      <c r="AA49" s="143"/>
      <c r="AB49" s="877"/>
      <c r="AC49" s="384"/>
      <c r="AD49" s="384"/>
    </row>
    <row r="50" spans="1:30">
      <c r="A50" s="159" t="s">
        <v>97</v>
      </c>
      <c r="B50" s="160" t="s">
        <v>17</v>
      </c>
      <c r="C50" s="1117">
        <f>SUM(C15:C49)</f>
        <v>1800000</v>
      </c>
      <c r="D50" s="900"/>
      <c r="E50" s="900"/>
      <c r="F50" s="900">
        <f>SUM(F15:F49)</f>
        <v>1800000</v>
      </c>
      <c r="G50" s="900">
        <f t="shared" ref="G50:N50" si="4">SUM(G17:G49)</f>
        <v>1440000</v>
      </c>
      <c r="H50" s="900">
        <f t="shared" si="4"/>
        <v>0</v>
      </c>
      <c r="I50" s="900">
        <f t="shared" si="4"/>
        <v>1800000</v>
      </c>
      <c r="J50" s="900">
        <f t="shared" si="4"/>
        <v>0</v>
      </c>
      <c r="K50" s="900">
        <f t="shared" si="4"/>
        <v>0</v>
      </c>
      <c r="L50" s="900">
        <f t="shared" si="4"/>
        <v>1800000</v>
      </c>
      <c r="M50" s="900">
        <f t="shared" si="4"/>
        <v>0</v>
      </c>
      <c r="N50" s="900">
        <f t="shared" si="4"/>
        <v>1440000</v>
      </c>
      <c r="O50" s="900">
        <f>SUM(O14:O49)</f>
        <v>3</v>
      </c>
      <c r="P50" s="900">
        <f>SUM(P14:P49)</f>
        <v>1803240</v>
      </c>
      <c r="Q50" s="900">
        <f>SUM(Q14:Q49)</f>
        <v>0</v>
      </c>
      <c r="R50" s="900">
        <f>SUM(R14:R49)</f>
        <v>1443240</v>
      </c>
      <c r="S50" s="900">
        <f>SUM(S17:S49)</f>
        <v>0</v>
      </c>
      <c r="T50" s="893">
        <f>W50-L50</f>
        <v>0</v>
      </c>
      <c r="U50" s="900"/>
      <c r="V50" s="900"/>
      <c r="W50" s="900">
        <f>SUM(W14:W49)</f>
        <v>1800000</v>
      </c>
      <c r="X50" s="900">
        <f>SUM(X14:X49)</f>
        <v>1800000</v>
      </c>
      <c r="Y50" s="900">
        <f>SUM(Y14:Y49)</f>
        <v>1440000</v>
      </c>
      <c r="Z50" s="900">
        <f>SUM(Z14:Z49)</f>
        <v>1803240</v>
      </c>
      <c r="AA50" s="900">
        <f>SUM(AA14:AA49)</f>
        <v>1443240</v>
      </c>
      <c r="AB50" s="900">
        <f>SUM(AB17:AB49)</f>
        <v>1800000</v>
      </c>
      <c r="AC50" s="384"/>
      <c r="AD50" s="384"/>
    </row>
    <row r="51" spans="1:30">
      <c r="A51" s="161"/>
      <c r="B51" s="162"/>
      <c r="F51" s="163"/>
      <c r="G51" s="163"/>
      <c r="H51" s="163"/>
      <c r="I51" s="163"/>
      <c r="J51" s="163"/>
      <c r="K51" s="163"/>
      <c r="L51" s="163"/>
      <c r="M51" s="163"/>
      <c r="N51" s="163"/>
      <c r="P51" s="163"/>
      <c r="Q51" s="67"/>
      <c r="R51" s="67"/>
      <c r="W51" s="163"/>
      <c r="AC51" s="384"/>
      <c r="AD51" s="384"/>
    </row>
    <row r="52" spans="1:30">
      <c r="A52" s="164"/>
      <c r="B52" s="162"/>
      <c r="F52" s="163"/>
      <c r="G52" s="163"/>
      <c r="H52" s="163"/>
      <c r="I52" s="163"/>
      <c r="J52" s="163"/>
      <c r="K52" s="163"/>
      <c r="L52" s="163"/>
      <c r="M52" s="163"/>
      <c r="N52" s="163"/>
      <c r="P52" s="163"/>
      <c r="Q52" s="67"/>
      <c r="R52" s="67"/>
      <c r="W52" s="163"/>
      <c r="AC52" s="384"/>
      <c r="AD52" s="384"/>
    </row>
    <row r="53" spans="1:30">
      <c r="F53" s="163"/>
      <c r="P53" s="67">
        <v>1440000</v>
      </c>
      <c r="Q53" s="68">
        <v>1443240</v>
      </c>
      <c r="R53" s="67"/>
      <c r="W53" s="163"/>
      <c r="AC53" s="384"/>
      <c r="AD53" s="384"/>
    </row>
    <row r="54" spans="1:30">
      <c r="F54" s="163"/>
      <c r="R54" s="67"/>
      <c r="W54" s="163"/>
      <c r="AC54" s="384"/>
      <c r="AD54" s="384"/>
    </row>
    <row r="55" spans="1:30">
      <c r="R55" s="67"/>
      <c r="AC55" s="384"/>
      <c r="AD55" s="384"/>
    </row>
    <row r="56" spans="1:30">
      <c r="A56" s="67" t="s">
        <v>59</v>
      </c>
      <c r="F56" s="163"/>
      <c r="P56" s="67">
        <f>+P53-Q53</f>
        <v>-3240</v>
      </c>
      <c r="W56" s="163"/>
      <c r="AC56" s="384"/>
      <c r="AD56" s="384"/>
    </row>
  </sheetData>
  <mergeCells count="7">
    <mergeCell ref="E1:F1"/>
    <mergeCell ref="Z8:Z12"/>
    <mergeCell ref="AA8:AA12"/>
    <mergeCell ref="AB8:AB12"/>
    <mergeCell ref="D6:E6"/>
    <mergeCell ref="X8:X12"/>
    <mergeCell ref="Y8:Y12"/>
  </mergeCells>
  <conditionalFormatting sqref="U8:W9 X8:AC12">
    <cfRule type="cellIs" dxfId="17" priority="1" stopIfTrue="1" operator="equal">
      <formula>0</formula>
    </cfRule>
  </conditionalFormatting>
  <pageMargins left="0.24" right="0.51" top="0.984251969" bottom="0.984251969" header="0.4921259845" footer="0.4921259845"/>
  <pageSetup paperSize="9" scale="42" orientation="landscape" r:id="rId1"/>
  <headerFooter alignWithMargins="0"/>
  <drawing r:id="rId2"/>
  <legacy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5"/>
  <dimension ref="A1:AE55"/>
  <sheetViews>
    <sheetView showGridLines="0" showZeros="0" topLeftCell="K1" zoomScaleNormal="100" workbookViewId="0">
      <selection activeCell="Z16" sqref="Z16:Z19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65" t="s">
        <v>563</v>
      </c>
      <c r="C2" s="65"/>
      <c r="D2" s="65"/>
      <c r="E2" s="65"/>
      <c r="F2" s="65"/>
      <c r="G2" s="65"/>
      <c r="H2" s="66"/>
      <c r="I2" s="66"/>
      <c r="J2" s="1079"/>
      <c r="K2" s="1079"/>
      <c r="L2" s="1079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076"/>
      <c r="I3" s="1076"/>
      <c r="J3" s="1076"/>
      <c r="K3" s="1076"/>
      <c r="L3" s="1076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>
      <c r="A4" s="1225" t="s">
        <v>61</v>
      </c>
      <c r="B4" s="66" t="s">
        <v>562</v>
      </c>
      <c r="C4" s="216" t="s">
        <v>81</v>
      </c>
      <c r="D4" s="216"/>
      <c r="E4" s="216"/>
      <c r="F4" s="217"/>
      <c r="G4" s="217"/>
      <c r="H4" s="1075"/>
      <c r="I4" s="1075"/>
      <c r="J4" s="1075"/>
      <c r="K4" s="1075"/>
      <c r="L4" s="1075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3">
        <v>201000941</v>
      </c>
      <c r="C5" s="1076"/>
      <c r="D5" s="1076"/>
      <c r="E5" s="1076"/>
      <c r="F5" s="1075"/>
      <c r="G5" s="1075"/>
      <c r="H5" s="1079"/>
      <c r="I5" s="1079"/>
      <c r="J5" s="1075"/>
      <c r="K5" s="1226"/>
      <c r="L5" s="1075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1078" t="s">
        <v>51</v>
      </c>
      <c r="B6" s="74" t="s">
        <v>561</v>
      </c>
      <c r="C6" s="1076"/>
      <c r="D6" s="2433"/>
      <c r="E6" s="2433"/>
      <c r="F6" s="1075"/>
      <c r="G6" s="1075"/>
      <c r="H6" s="1209"/>
      <c r="I6" s="1227"/>
      <c r="J6" s="1228"/>
      <c r="K6" s="1225"/>
      <c r="L6" s="1225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10.5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107"/>
      <c r="V9" s="108"/>
      <c r="W9" s="109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110" t="s">
        <v>86</v>
      </c>
      <c r="Y13" s="1110"/>
      <c r="Z13" s="1110"/>
      <c r="AA13" s="1110"/>
      <c r="AB13" s="1110"/>
    </row>
    <row r="14" spans="1:31">
      <c r="A14" s="1260"/>
      <c r="B14" s="1234"/>
      <c r="C14" s="1240"/>
      <c r="D14" s="1261"/>
      <c r="E14" s="1260"/>
      <c r="F14" s="1239"/>
      <c r="G14" s="1239"/>
      <c r="H14" s="1239"/>
      <c r="I14" s="1239"/>
      <c r="J14" s="1239"/>
      <c r="K14" s="1239"/>
      <c r="L14" s="1239"/>
      <c r="M14" s="1239"/>
      <c r="N14" s="1239"/>
      <c r="O14" s="1240"/>
      <c r="P14" s="1239"/>
      <c r="Q14" s="1240"/>
      <c r="R14" s="1240"/>
      <c r="S14" s="1262"/>
      <c r="T14" s="1263"/>
      <c r="U14" s="1240"/>
      <c r="V14" s="1260"/>
      <c r="W14" s="1239"/>
      <c r="X14" s="1239"/>
      <c r="Y14" s="1239"/>
      <c r="Z14" s="1239"/>
      <c r="AA14" s="1240"/>
      <c r="AB14" s="1263"/>
    </row>
    <row r="15" spans="1:31" ht="13.5" customHeight="1">
      <c r="A15" s="1260"/>
      <c r="B15" s="1234"/>
      <c r="C15" s="1235">
        <f>D15*E15</f>
        <v>0</v>
      </c>
      <c r="D15" s="1261"/>
      <c r="E15" s="1260"/>
      <c r="F15" s="1235">
        <f>D15*E15</f>
        <v>0</v>
      </c>
      <c r="G15" s="1239"/>
      <c r="H15" s="1239"/>
      <c r="I15" s="1239"/>
      <c r="J15" s="1239"/>
      <c r="K15" s="1239"/>
      <c r="L15" s="1239"/>
      <c r="M15" s="1239"/>
      <c r="N15" s="1239"/>
      <c r="O15" s="1240"/>
      <c r="P15" s="1239"/>
      <c r="Q15" s="1240"/>
      <c r="R15" s="1240"/>
      <c r="S15" s="1262"/>
      <c r="T15" s="1263"/>
      <c r="U15" s="1240"/>
      <c r="V15" s="1260"/>
      <c r="W15" s="1235">
        <f>U15*V15</f>
        <v>0</v>
      </c>
      <c r="X15" s="1239"/>
      <c r="Y15" s="1239"/>
      <c r="Z15" s="1239"/>
      <c r="AA15" s="1240"/>
      <c r="AB15" s="1263"/>
    </row>
    <row r="16" spans="1:31" s="305" customFormat="1" ht="37.5" customHeight="1">
      <c r="A16" s="1238">
        <v>1</v>
      </c>
      <c r="B16" s="1236" t="s">
        <v>89</v>
      </c>
      <c r="C16" s="1235">
        <f>D16*E16</f>
        <v>228000</v>
      </c>
      <c r="D16" s="1237">
        <f>190000*1.2</f>
        <v>228000</v>
      </c>
      <c r="E16" s="1238">
        <v>1</v>
      </c>
      <c r="F16" s="1235">
        <f>D16*E16</f>
        <v>228000</v>
      </c>
      <c r="G16" s="1235">
        <f>12012.79+39*1.2*500</f>
        <v>35412.79</v>
      </c>
      <c r="H16" s="1235" t="s">
        <v>560</v>
      </c>
      <c r="I16" s="1235">
        <f>U16</f>
        <v>228000</v>
      </c>
      <c r="J16" s="1235"/>
      <c r="K16" s="1235"/>
      <c r="L16" s="1235">
        <f>+I16-J16+K16</f>
        <v>228000</v>
      </c>
      <c r="M16" s="1235"/>
      <c r="N16" s="1235">
        <f>G16</f>
        <v>35412.79</v>
      </c>
      <c r="O16" s="1235">
        <v>1</v>
      </c>
      <c r="P16" s="1235">
        <f>O16*U16</f>
        <v>228000</v>
      </c>
      <c r="Q16" s="1235"/>
      <c r="R16" s="1241">
        <v>164400</v>
      </c>
      <c r="S16" s="1241">
        <f>P16-R16</f>
        <v>63600</v>
      </c>
      <c r="T16" s="1246">
        <f>W16-L16</f>
        <v>0</v>
      </c>
      <c r="U16" s="1237">
        <f>190000*1.2</f>
        <v>228000</v>
      </c>
      <c r="V16" s="1238">
        <v>1</v>
      </c>
      <c r="W16" s="1235">
        <f>U16*V16</f>
        <v>228000</v>
      </c>
      <c r="X16" s="1235">
        <v>228000</v>
      </c>
      <c r="Y16" s="1235">
        <v>35412.79</v>
      </c>
      <c r="Z16" s="1235">
        <v>228000</v>
      </c>
      <c r="AA16" s="1235">
        <v>164400</v>
      </c>
      <c r="AB16" s="1269">
        <v>228000</v>
      </c>
      <c r="AC16" s="192"/>
      <c r="AD16" s="192"/>
    </row>
    <row r="17" spans="1:30" ht="12.75" hidden="1" customHeight="1">
      <c r="A17" s="1264"/>
      <c r="B17" s="1242"/>
      <c r="C17" s="1235"/>
      <c r="D17" s="1270"/>
      <c r="E17" s="1238"/>
      <c r="F17" s="1235"/>
      <c r="G17" s="1235"/>
      <c r="H17" s="1235"/>
      <c r="I17" s="1235"/>
      <c r="J17" s="1235"/>
      <c r="K17" s="1235"/>
      <c r="L17" s="1235">
        <f>+I17-J17+K17</f>
        <v>0</v>
      </c>
      <c r="M17" s="1235"/>
      <c r="N17" s="1235"/>
      <c r="O17" s="1235">
        <v>1</v>
      </c>
      <c r="P17" s="1235">
        <f t="shared" ref="P17:P19" si="0">O17*U17</f>
        <v>0</v>
      </c>
      <c r="Q17" s="1235">
        <v>0.4</v>
      </c>
      <c r="R17" s="1241">
        <f>+Q17*D17</f>
        <v>0</v>
      </c>
      <c r="S17" s="1241"/>
      <c r="T17" s="1246">
        <f>W17-L17</f>
        <v>0</v>
      </c>
      <c r="U17" s="1270"/>
      <c r="V17" s="1238"/>
      <c r="W17" s="1235"/>
      <c r="X17" s="1235">
        <v>0</v>
      </c>
      <c r="Y17" s="1235"/>
      <c r="Z17" s="1235">
        <v>0</v>
      </c>
      <c r="AA17" s="1241"/>
      <c r="AB17" s="1271"/>
      <c r="AC17" s="384"/>
      <c r="AD17" s="384"/>
    </row>
    <row r="18" spans="1:30" ht="12.75" hidden="1" customHeight="1">
      <c r="A18" s="1265"/>
      <c r="B18" s="1242"/>
      <c r="C18" s="1235"/>
      <c r="D18" s="1270"/>
      <c r="E18" s="1238"/>
      <c r="F18" s="1235"/>
      <c r="G18" s="1235"/>
      <c r="H18" s="1235"/>
      <c r="I18" s="1235"/>
      <c r="J18" s="1235"/>
      <c r="K18" s="1235"/>
      <c r="L18" s="1235">
        <f>+I18-J18+K18</f>
        <v>0</v>
      </c>
      <c r="M18" s="1235"/>
      <c r="N18" s="1235"/>
      <c r="O18" s="1235">
        <v>1</v>
      </c>
      <c r="P18" s="1235">
        <f t="shared" si="0"/>
        <v>0</v>
      </c>
      <c r="Q18" s="1235">
        <v>0.4</v>
      </c>
      <c r="R18" s="1241">
        <f>+Q18*D18</f>
        <v>0</v>
      </c>
      <c r="S18" s="1241"/>
      <c r="T18" s="1246">
        <f>W18-L18</f>
        <v>0</v>
      </c>
      <c r="U18" s="1270"/>
      <c r="V18" s="1238"/>
      <c r="W18" s="1235"/>
      <c r="X18" s="1235">
        <v>0</v>
      </c>
      <c r="Y18" s="1235"/>
      <c r="Z18" s="1235">
        <v>0</v>
      </c>
      <c r="AA18" s="1241"/>
      <c r="AB18" s="1271"/>
      <c r="AC18" s="384"/>
      <c r="AD18" s="384"/>
    </row>
    <row r="19" spans="1:30" ht="29.25" customHeight="1">
      <c r="A19" s="1266">
        <v>2</v>
      </c>
      <c r="B19" s="1236" t="s">
        <v>88</v>
      </c>
      <c r="C19" s="1235">
        <f t="shared" ref="C19:C48" si="1">D19*E19</f>
        <v>252000</v>
      </c>
      <c r="D19" s="1237">
        <f>210000*1.2</f>
        <v>252000</v>
      </c>
      <c r="E19" s="1238">
        <v>1</v>
      </c>
      <c r="F19" s="1235">
        <f t="shared" ref="F19:F48" si="2">D19*E19</f>
        <v>252000</v>
      </c>
      <c r="G19" s="1246">
        <v>81000</v>
      </c>
      <c r="H19" s="1246" t="s">
        <v>104</v>
      </c>
      <c r="I19" s="1235">
        <f>U19</f>
        <v>252000</v>
      </c>
      <c r="J19" s="1235"/>
      <c r="K19" s="1246"/>
      <c r="L19" s="1235">
        <f>+I19-J19+K19</f>
        <v>252000</v>
      </c>
      <c r="M19" s="1246"/>
      <c r="N19" s="1246">
        <f>G19</f>
        <v>81000</v>
      </c>
      <c r="O19" s="1235">
        <v>1</v>
      </c>
      <c r="P19" s="1235">
        <f t="shared" si="0"/>
        <v>252000</v>
      </c>
      <c r="Q19" s="1235"/>
      <c r="R19" s="1241">
        <f>+Q19*D19</f>
        <v>0</v>
      </c>
      <c r="S19" s="1246"/>
      <c r="T19" s="1246">
        <f>W19-L19</f>
        <v>0</v>
      </c>
      <c r="U19" s="1237">
        <f>210000*1.2</f>
        <v>252000</v>
      </c>
      <c r="V19" s="1238">
        <v>1</v>
      </c>
      <c r="W19" s="1235">
        <f t="shared" ref="W19:W48" si="3">U19*V19</f>
        <v>252000</v>
      </c>
      <c r="X19" s="1235">
        <v>252000</v>
      </c>
      <c r="Y19" s="1246">
        <v>81000</v>
      </c>
      <c r="Z19" s="1243">
        <v>252000</v>
      </c>
      <c r="AA19" s="1235"/>
      <c r="AB19" s="1246">
        <v>252000</v>
      </c>
      <c r="AC19" s="384"/>
      <c r="AD19" s="384"/>
    </row>
    <row r="20" spans="1:30" ht="21.75" customHeight="1">
      <c r="A20" s="1249">
        <v>3</v>
      </c>
      <c r="B20" s="1244" t="s">
        <v>90</v>
      </c>
      <c r="C20" s="1235">
        <f t="shared" si="1"/>
        <v>156000</v>
      </c>
      <c r="D20" s="1237">
        <f>130000*1.2</f>
        <v>156000</v>
      </c>
      <c r="E20" s="1238">
        <v>1</v>
      </c>
      <c r="F20" s="1235">
        <f t="shared" si="2"/>
        <v>156000</v>
      </c>
      <c r="G20" s="1246">
        <v>23400</v>
      </c>
      <c r="H20" s="1246" t="s">
        <v>96</v>
      </c>
      <c r="I20" s="1246"/>
      <c r="J20" s="1246"/>
      <c r="K20" s="1246"/>
      <c r="L20" s="1235">
        <f>+I20-J20+K20</f>
        <v>0</v>
      </c>
      <c r="M20" s="1246"/>
      <c r="N20" s="1246">
        <v>23400</v>
      </c>
      <c r="O20" s="1246"/>
      <c r="P20" s="1235"/>
      <c r="Q20" s="1245"/>
      <c r="R20" s="1246"/>
      <c r="S20" s="1246"/>
      <c r="T20" s="1246">
        <f>W20-L20</f>
        <v>156000</v>
      </c>
      <c r="U20" s="1237">
        <f>130000*1.2</f>
        <v>156000</v>
      </c>
      <c r="V20" s="1238">
        <v>1</v>
      </c>
      <c r="W20" s="1235">
        <f t="shared" si="3"/>
        <v>156000</v>
      </c>
      <c r="X20" s="1235">
        <v>0</v>
      </c>
      <c r="Y20" s="1246">
        <v>23400</v>
      </c>
      <c r="Z20" s="1235"/>
      <c r="AA20" s="1246"/>
      <c r="AB20" s="1246">
        <v>156000</v>
      </c>
      <c r="AC20" s="384"/>
      <c r="AD20" s="384"/>
    </row>
    <row r="21" spans="1:30">
      <c r="A21" s="1249"/>
      <c r="B21" s="1244"/>
      <c r="C21" s="1235">
        <f t="shared" si="1"/>
        <v>0</v>
      </c>
      <c r="D21" s="1237"/>
      <c r="E21" s="1238"/>
      <c r="F21" s="1235">
        <f t="shared" si="2"/>
        <v>0</v>
      </c>
      <c r="G21" s="1246"/>
      <c r="H21" s="1246"/>
      <c r="I21" s="1246"/>
      <c r="J21" s="1246"/>
      <c r="K21" s="1246"/>
      <c r="L21" s="1246"/>
      <c r="M21" s="1246"/>
      <c r="N21" s="1246"/>
      <c r="O21" s="1246"/>
      <c r="P21" s="1235"/>
      <c r="Q21" s="1245"/>
      <c r="R21" s="1246"/>
      <c r="S21" s="1246"/>
      <c r="T21" s="1246"/>
      <c r="U21" s="1237"/>
      <c r="V21" s="1238"/>
      <c r="W21" s="1235">
        <f t="shared" si="3"/>
        <v>0</v>
      </c>
      <c r="X21" s="1246"/>
      <c r="Y21" s="1246"/>
      <c r="Z21" s="1235"/>
      <c r="AA21" s="1246"/>
      <c r="AB21" s="1246"/>
      <c r="AC21" s="384"/>
      <c r="AD21" s="384"/>
    </row>
    <row r="22" spans="1:30">
      <c r="A22" s="1238"/>
      <c r="B22" s="1247"/>
      <c r="C22" s="1235">
        <f t="shared" si="1"/>
        <v>0</v>
      </c>
      <c r="D22" s="1237"/>
      <c r="E22" s="1238"/>
      <c r="F22" s="1235">
        <f t="shared" si="2"/>
        <v>0</v>
      </c>
      <c r="G22" s="1246"/>
      <c r="H22" s="1246"/>
      <c r="I22" s="1246"/>
      <c r="J22" s="1246"/>
      <c r="K22" s="1246"/>
      <c r="L22" s="1246"/>
      <c r="M22" s="1246"/>
      <c r="N22" s="1246"/>
      <c r="O22" s="1246"/>
      <c r="P22" s="1246"/>
      <c r="Q22" s="1245"/>
      <c r="R22" s="1246"/>
      <c r="S22" s="1246"/>
      <c r="T22" s="1246"/>
      <c r="U22" s="1248"/>
      <c r="V22" s="1238"/>
      <c r="W22" s="1235">
        <f t="shared" si="3"/>
        <v>0</v>
      </c>
      <c r="X22" s="1246"/>
      <c r="Y22" s="1246"/>
      <c r="Z22" s="1246"/>
      <c r="AA22" s="1246"/>
      <c r="AB22" s="1246"/>
      <c r="AC22" s="384"/>
      <c r="AD22" s="384"/>
    </row>
    <row r="23" spans="1:30" ht="12.75" hidden="1" customHeight="1">
      <c r="A23" s="1238"/>
      <c r="B23" s="1247"/>
      <c r="C23" s="1235">
        <f t="shared" si="1"/>
        <v>0</v>
      </c>
      <c r="D23" s="1237"/>
      <c r="E23" s="1249"/>
      <c r="F23" s="1235">
        <f t="shared" si="2"/>
        <v>0</v>
      </c>
      <c r="G23" s="1246"/>
      <c r="H23" s="1246"/>
      <c r="I23" s="1246"/>
      <c r="J23" s="1246"/>
      <c r="K23" s="1246"/>
      <c r="L23" s="1246"/>
      <c r="M23" s="1246"/>
      <c r="N23" s="1246"/>
      <c r="O23" s="1246"/>
      <c r="P23" s="1246"/>
      <c r="Q23" s="1250"/>
      <c r="R23" s="1235"/>
      <c r="S23" s="1246"/>
      <c r="T23" s="1246"/>
      <c r="U23" s="1248"/>
      <c r="V23" s="1249"/>
      <c r="W23" s="1235">
        <f t="shared" si="3"/>
        <v>0</v>
      </c>
      <c r="X23" s="1246"/>
      <c r="Y23" s="1246"/>
      <c r="Z23" s="1246"/>
      <c r="AA23" s="1235"/>
      <c r="AB23" s="1246"/>
      <c r="AC23" s="384"/>
      <c r="AD23" s="384"/>
    </row>
    <row r="24" spans="1:30" ht="0.75" hidden="1" customHeight="1">
      <c r="A24" s="1264"/>
      <c r="B24" s="1251"/>
      <c r="C24" s="1235">
        <f t="shared" si="1"/>
        <v>0</v>
      </c>
      <c r="D24" s="1237"/>
      <c r="E24" s="1238"/>
      <c r="F24" s="1235">
        <f t="shared" si="2"/>
        <v>0</v>
      </c>
      <c r="G24" s="1246"/>
      <c r="H24" s="1246"/>
      <c r="I24" s="1246"/>
      <c r="J24" s="1246"/>
      <c r="K24" s="1246"/>
      <c r="L24" s="1246"/>
      <c r="M24" s="1246"/>
      <c r="N24" s="1246"/>
      <c r="O24" s="1246"/>
      <c r="P24" s="1235"/>
      <c r="Q24" s="1245"/>
      <c r="R24" s="1235"/>
      <c r="S24" s="1246">
        <f>+P24-R24</f>
        <v>0</v>
      </c>
      <c r="T24" s="1246"/>
      <c r="U24" s="1248"/>
      <c r="V24" s="1238"/>
      <c r="W24" s="1235">
        <f t="shared" si="3"/>
        <v>0</v>
      </c>
      <c r="X24" s="1246"/>
      <c r="Y24" s="1246"/>
      <c r="Z24" s="1235"/>
      <c r="AA24" s="1235"/>
      <c r="AB24" s="1246"/>
      <c r="AC24" s="384"/>
      <c r="AD24" s="384"/>
    </row>
    <row r="25" spans="1:30" ht="12.75" hidden="1" customHeight="1">
      <c r="A25" s="1264"/>
      <c r="B25" s="1252"/>
      <c r="C25" s="1235">
        <f t="shared" si="1"/>
        <v>0</v>
      </c>
      <c r="D25" s="1237"/>
      <c r="E25" s="1238"/>
      <c r="F25" s="1235">
        <f t="shared" si="2"/>
        <v>0</v>
      </c>
      <c r="G25" s="1246"/>
      <c r="H25" s="1246"/>
      <c r="I25" s="1246"/>
      <c r="J25" s="1246"/>
      <c r="K25" s="1246"/>
      <c r="L25" s="1246"/>
      <c r="M25" s="1246"/>
      <c r="N25" s="1246"/>
      <c r="O25" s="1246"/>
      <c r="P25" s="1246"/>
      <c r="Q25" s="1245"/>
      <c r="R25" s="1235"/>
      <c r="S25" s="1246">
        <f>+P25-R25</f>
        <v>0</v>
      </c>
      <c r="T25" s="1246"/>
      <c r="U25" s="1248"/>
      <c r="V25" s="1238"/>
      <c r="W25" s="1235">
        <f t="shared" si="3"/>
        <v>0</v>
      </c>
      <c r="X25" s="1246"/>
      <c r="Y25" s="1246"/>
      <c r="Z25" s="1246"/>
      <c r="AA25" s="1235"/>
      <c r="AB25" s="1246"/>
      <c r="AC25" s="384"/>
      <c r="AD25" s="384"/>
    </row>
    <row r="26" spans="1:30">
      <c r="A26" s="1267"/>
      <c r="B26" s="1253"/>
      <c r="C26" s="1235">
        <f t="shared" si="1"/>
        <v>0</v>
      </c>
      <c r="D26" s="1237"/>
      <c r="E26" s="1238"/>
      <c r="F26" s="1235">
        <f t="shared" si="2"/>
        <v>0</v>
      </c>
      <c r="G26" s="1246"/>
      <c r="H26" s="1246"/>
      <c r="I26" s="1246"/>
      <c r="J26" s="1246"/>
      <c r="K26" s="1246"/>
      <c r="L26" s="1246"/>
      <c r="M26" s="1246"/>
      <c r="N26" s="1246"/>
      <c r="O26" s="1246"/>
      <c r="P26" s="1246"/>
      <c r="Q26" s="1245"/>
      <c r="R26" s="1235"/>
      <c r="S26" s="1246"/>
      <c r="T26" s="1246"/>
      <c r="U26" s="1248"/>
      <c r="V26" s="1238"/>
      <c r="W26" s="1235">
        <f t="shared" si="3"/>
        <v>0</v>
      </c>
      <c r="X26" s="1246"/>
      <c r="Y26" s="1246"/>
      <c r="Z26" s="1246"/>
      <c r="AA26" s="1235"/>
      <c r="AB26" s="1246"/>
      <c r="AC26" s="384"/>
      <c r="AD26" s="384"/>
    </row>
    <row r="27" spans="1:30" ht="12" customHeight="1">
      <c r="A27" s="1256"/>
      <c r="B27" s="1254"/>
      <c r="C27" s="1235">
        <f t="shared" si="1"/>
        <v>0</v>
      </c>
      <c r="D27" s="1237"/>
      <c r="E27" s="1238"/>
      <c r="F27" s="1235">
        <f t="shared" si="2"/>
        <v>0</v>
      </c>
      <c r="G27" s="1246"/>
      <c r="H27" s="1246"/>
      <c r="I27" s="1246"/>
      <c r="J27" s="1246"/>
      <c r="K27" s="1246"/>
      <c r="L27" s="1246"/>
      <c r="M27" s="1246"/>
      <c r="N27" s="1246"/>
      <c r="O27" s="1246"/>
      <c r="P27" s="1246"/>
      <c r="Q27" s="1245"/>
      <c r="R27" s="1246"/>
      <c r="S27" s="1246"/>
      <c r="T27" s="1246"/>
      <c r="U27" s="1248"/>
      <c r="V27" s="1238"/>
      <c r="W27" s="1235">
        <f t="shared" si="3"/>
        <v>0</v>
      </c>
      <c r="X27" s="1246"/>
      <c r="Y27" s="1246"/>
      <c r="Z27" s="1246"/>
      <c r="AA27" s="1246"/>
      <c r="AB27" s="1246"/>
      <c r="AC27" s="384"/>
      <c r="AD27" s="384"/>
    </row>
    <row r="28" spans="1:30">
      <c r="A28" s="1249"/>
      <c r="B28" s="1254"/>
      <c r="C28" s="1235">
        <f t="shared" si="1"/>
        <v>0</v>
      </c>
      <c r="D28" s="1237"/>
      <c r="E28" s="1238"/>
      <c r="F28" s="1235">
        <f t="shared" si="2"/>
        <v>0</v>
      </c>
      <c r="G28" s="1246"/>
      <c r="H28" s="1246"/>
      <c r="I28" s="1246"/>
      <c r="J28" s="1246"/>
      <c r="K28" s="1246"/>
      <c r="L28" s="1246"/>
      <c r="M28" s="1246"/>
      <c r="N28" s="1246"/>
      <c r="O28" s="1246"/>
      <c r="P28" s="1246"/>
      <c r="Q28" s="1245"/>
      <c r="R28" s="1246"/>
      <c r="S28" s="1246"/>
      <c r="T28" s="1246"/>
      <c r="U28" s="1248"/>
      <c r="V28" s="1238"/>
      <c r="W28" s="1235">
        <f t="shared" si="3"/>
        <v>0</v>
      </c>
      <c r="X28" s="1246"/>
      <c r="Y28" s="1246"/>
      <c r="Z28" s="1246"/>
      <c r="AA28" s="1246"/>
      <c r="AB28" s="1246"/>
      <c r="AC28" s="384"/>
      <c r="AD28" s="384"/>
    </row>
    <row r="29" spans="1:30">
      <c r="A29" s="1256"/>
      <c r="B29" s="1254"/>
      <c r="C29" s="1235">
        <f t="shared" si="1"/>
        <v>0</v>
      </c>
      <c r="D29" s="1237"/>
      <c r="E29" s="1238"/>
      <c r="F29" s="1235">
        <f t="shared" si="2"/>
        <v>0</v>
      </c>
      <c r="G29" s="1246"/>
      <c r="H29" s="1246"/>
      <c r="I29" s="1246"/>
      <c r="J29" s="1246"/>
      <c r="K29" s="1246"/>
      <c r="L29" s="1246"/>
      <c r="M29" s="1246"/>
      <c r="N29" s="1246"/>
      <c r="O29" s="1246"/>
      <c r="P29" s="1246"/>
      <c r="Q29" s="1245"/>
      <c r="R29" s="1246"/>
      <c r="S29" s="1246"/>
      <c r="T29" s="1246"/>
      <c r="U29" s="1248"/>
      <c r="V29" s="1238"/>
      <c r="W29" s="1235">
        <f t="shared" si="3"/>
        <v>0</v>
      </c>
      <c r="X29" s="1246"/>
      <c r="Y29" s="1246"/>
      <c r="Z29" s="1246"/>
      <c r="AA29" s="1246"/>
      <c r="AB29" s="1246"/>
      <c r="AC29" s="384"/>
      <c r="AD29" s="384"/>
    </row>
    <row r="30" spans="1:30">
      <c r="A30" s="1256"/>
      <c r="B30" s="1254"/>
      <c r="C30" s="1235">
        <f t="shared" si="1"/>
        <v>0</v>
      </c>
      <c r="D30" s="1237"/>
      <c r="E30" s="1238"/>
      <c r="F30" s="1235">
        <f t="shared" si="2"/>
        <v>0</v>
      </c>
      <c r="G30" s="1246"/>
      <c r="H30" s="1246"/>
      <c r="I30" s="1246"/>
      <c r="J30" s="1246"/>
      <c r="K30" s="1246"/>
      <c r="L30" s="1246"/>
      <c r="M30" s="1246"/>
      <c r="N30" s="1246"/>
      <c r="O30" s="1246"/>
      <c r="P30" s="1246"/>
      <c r="Q30" s="1245"/>
      <c r="R30" s="1246"/>
      <c r="S30" s="1246"/>
      <c r="T30" s="1246"/>
      <c r="U30" s="1248"/>
      <c r="V30" s="1238"/>
      <c r="W30" s="1235">
        <f t="shared" si="3"/>
        <v>0</v>
      </c>
      <c r="X30" s="1246"/>
      <c r="Y30" s="1246"/>
      <c r="Z30" s="1246"/>
      <c r="AA30" s="1246"/>
      <c r="AB30" s="1246"/>
      <c r="AC30" s="384"/>
      <c r="AD30" s="384"/>
    </row>
    <row r="31" spans="1:30">
      <c r="A31" s="1256"/>
      <c r="B31" s="1255"/>
      <c r="C31" s="1235">
        <f t="shared" si="1"/>
        <v>0</v>
      </c>
      <c r="D31" s="1237"/>
      <c r="E31" s="1238"/>
      <c r="F31" s="1235">
        <f t="shared" si="2"/>
        <v>0</v>
      </c>
      <c r="G31" s="1246"/>
      <c r="H31" s="1246"/>
      <c r="I31" s="1246"/>
      <c r="J31" s="1246"/>
      <c r="K31" s="1246"/>
      <c r="L31" s="1246"/>
      <c r="M31" s="1246"/>
      <c r="N31" s="1246"/>
      <c r="O31" s="1246"/>
      <c r="P31" s="1246"/>
      <c r="Q31" s="1268"/>
      <c r="R31" s="1246"/>
      <c r="S31" s="1246"/>
      <c r="T31" s="1246"/>
      <c r="U31" s="1248"/>
      <c r="V31" s="1238"/>
      <c r="W31" s="1235">
        <f t="shared" si="3"/>
        <v>0</v>
      </c>
      <c r="X31" s="1246"/>
      <c r="Y31" s="1246"/>
      <c r="Z31" s="1246"/>
      <c r="AA31" s="1246"/>
      <c r="AB31" s="1246"/>
      <c r="AC31" s="384"/>
      <c r="AD31" s="384"/>
    </row>
    <row r="32" spans="1:30">
      <c r="A32" s="1267"/>
      <c r="B32" s="1253"/>
      <c r="C32" s="1235">
        <f t="shared" si="1"/>
        <v>0</v>
      </c>
      <c r="D32" s="1237"/>
      <c r="E32" s="1238"/>
      <c r="F32" s="1235">
        <f t="shared" si="2"/>
        <v>0</v>
      </c>
      <c r="G32" s="1246"/>
      <c r="H32" s="1246"/>
      <c r="I32" s="1246"/>
      <c r="J32" s="1246"/>
      <c r="K32" s="1246"/>
      <c r="L32" s="1246"/>
      <c r="M32" s="1246"/>
      <c r="N32" s="1246"/>
      <c r="O32" s="1246"/>
      <c r="P32" s="1246"/>
      <c r="Q32" s="1268"/>
      <c r="R32" s="1246"/>
      <c r="S32" s="1246"/>
      <c r="T32" s="1246"/>
      <c r="U32" s="1248"/>
      <c r="V32" s="1238"/>
      <c r="W32" s="1235">
        <f t="shared" si="3"/>
        <v>0</v>
      </c>
      <c r="X32" s="1246"/>
      <c r="Y32" s="1246"/>
      <c r="Z32" s="1246"/>
      <c r="AA32" s="1246"/>
      <c r="AB32" s="1246">
        <v>0</v>
      </c>
      <c r="AC32" s="384"/>
      <c r="AD32" s="384"/>
    </row>
    <row r="33" spans="1:30" ht="0.75" hidden="1" customHeight="1">
      <c r="A33" s="1256"/>
      <c r="B33" s="1254"/>
      <c r="C33" s="1235">
        <f t="shared" si="1"/>
        <v>0</v>
      </c>
      <c r="D33" s="1237"/>
      <c r="E33" s="1238"/>
      <c r="F33" s="1235">
        <f t="shared" si="2"/>
        <v>0</v>
      </c>
      <c r="G33" s="1246"/>
      <c r="H33" s="1246"/>
      <c r="I33" s="1246"/>
      <c r="J33" s="1246"/>
      <c r="K33" s="1246"/>
      <c r="L33" s="1246"/>
      <c r="M33" s="1246"/>
      <c r="N33" s="1246"/>
      <c r="O33" s="1246"/>
      <c r="P33" s="1246"/>
      <c r="Q33" s="1268"/>
      <c r="R33" s="1246"/>
      <c r="S33" s="1246"/>
      <c r="T33" s="1246"/>
      <c r="U33" s="1248"/>
      <c r="V33" s="1238"/>
      <c r="W33" s="1235">
        <f t="shared" si="3"/>
        <v>0</v>
      </c>
      <c r="X33" s="1246"/>
      <c r="Y33" s="1246"/>
      <c r="Z33" s="1246"/>
      <c r="AA33" s="1246"/>
      <c r="AB33" s="1246">
        <v>0</v>
      </c>
      <c r="AC33" s="384"/>
      <c r="AD33" s="384"/>
    </row>
    <row r="34" spans="1:30" ht="0.75" hidden="1" customHeight="1">
      <c r="A34" s="1249"/>
      <c r="B34" s="1254"/>
      <c r="C34" s="1235">
        <f t="shared" si="1"/>
        <v>0</v>
      </c>
      <c r="D34" s="1237"/>
      <c r="E34" s="1238"/>
      <c r="F34" s="1235">
        <f t="shared" si="2"/>
        <v>0</v>
      </c>
      <c r="G34" s="1235"/>
      <c r="H34" s="1235"/>
      <c r="I34" s="1241"/>
      <c r="J34" s="1235"/>
      <c r="K34" s="1235"/>
      <c r="L34" s="1246"/>
      <c r="M34" s="1235"/>
      <c r="N34" s="1235"/>
      <c r="O34" s="1235"/>
      <c r="P34" s="1246"/>
      <c r="Q34" s="1268"/>
      <c r="R34" s="1246"/>
      <c r="S34" s="1246"/>
      <c r="T34" s="1271"/>
      <c r="U34" s="1248"/>
      <c r="V34" s="1238"/>
      <c r="W34" s="1235">
        <f t="shared" si="3"/>
        <v>0</v>
      </c>
      <c r="X34" s="1246"/>
      <c r="Y34" s="1235"/>
      <c r="Z34" s="1246"/>
      <c r="AA34" s="1246"/>
      <c r="AB34" s="1271"/>
      <c r="AC34" s="384"/>
      <c r="AD34" s="384"/>
    </row>
    <row r="35" spans="1:30">
      <c r="A35" s="1256"/>
      <c r="B35" s="1254"/>
      <c r="C35" s="1235">
        <f t="shared" si="1"/>
        <v>0</v>
      </c>
      <c r="D35" s="1237"/>
      <c r="E35" s="1238"/>
      <c r="F35" s="1235">
        <f t="shared" si="2"/>
        <v>0</v>
      </c>
      <c r="G35" s="1235"/>
      <c r="H35" s="1235"/>
      <c r="I35" s="1241"/>
      <c r="J35" s="1235"/>
      <c r="K35" s="1235"/>
      <c r="L35" s="1246"/>
      <c r="M35" s="1235"/>
      <c r="N35" s="1235"/>
      <c r="O35" s="1235"/>
      <c r="P35" s="1235"/>
      <c r="Q35" s="1268"/>
      <c r="R35" s="1246"/>
      <c r="S35" s="1246"/>
      <c r="T35" s="1271"/>
      <c r="U35" s="1248"/>
      <c r="V35" s="1238"/>
      <c r="W35" s="1235">
        <f t="shared" si="3"/>
        <v>0</v>
      </c>
      <c r="X35" s="1246"/>
      <c r="Y35" s="1235"/>
      <c r="Z35" s="1235"/>
      <c r="AA35" s="1246"/>
      <c r="AB35" s="1271"/>
      <c r="AC35" s="384"/>
      <c r="AD35" s="384"/>
    </row>
    <row r="36" spans="1:30">
      <c r="A36" s="1256"/>
      <c r="B36" s="1254"/>
      <c r="C36" s="1235">
        <f t="shared" si="1"/>
        <v>0</v>
      </c>
      <c r="D36" s="1237"/>
      <c r="E36" s="1238"/>
      <c r="F36" s="1235">
        <f t="shared" si="2"/>
        <v>0</v>
      </c>
      <c r="G36" s="1235"/>
      <c r="H36" s="1235"/>
      <c r="I36" s="1241"/>
      <c r="J36" s="1235"/>
      <c r="K36" s="1235"/>
      <c r="L36" s="1246"/>
      <c r="M36" s="1235"/>
      <c r="N36" s="1235"/>
      <c r="O36" s="1235"/>
      <c r="P36" s="1235"/>
      <c r="Q36" s="1268"/>
      <c r="R36" s="1246"/>
      <c r="S36" s="1246"/>
      <c r="T36" s="1271"/>
      <c r="U36" s="1248"/>
      <c r="V36" s="1238"/>
      <c r="W36" s="1235">
        <f t="shared" si="3"/>
        <v>0</v>
      </c>
      <c r="X36" s="1246"/>
      <c r="Y36" s="1235"/>
      <c r="Z36" s="1235"/>
      <c r="AA36" s="1246"/>
      <c r="AB36" s="1271"/>
      <c r="AC36" s="384"/>
      <c r="AD36" s="384"/>
    </row>
    <row r="37" spans="1:30">
      <c r="A37" s="1256"/>
      <c r="B37" s="1254"/>
      <c r="C37" s="1235">
        <f t="shared" si="1"/>
        <v>0</v>
      </c>
      <c r="D37" s="1237"/>
      <c r="E37" s="1238"/>
      <c r="F37" s="1235">
        <f t="shared" si="2"/>
        <v>0</v>
      </c>
      <c r="G37" s="1235"/>
      <c r="H37" s="1235"/>
      <c r="I37" s="1241"/>
      <c r="J37" s="1235"/>
      <c r="K37" s="1235"/>
      <c r="L37" s="1246"/>
      <c r="M37" s="1235"/>
      <c r="N37" s="1235"/>
      <c r="O37" s="1235"/>
      <c r="P37" s="1235"/>
      <c r="Q37" s="1268"/>
      <c r="R37" s="1246"/>
      <c r="S37" s="1246"/>
      <c r="T37" s="1271"/>
      <c r="U37" s="1248"/>
      <c r="V37" s="1238"/>
      <c r="W37" s="1235">
        <f t="shared" si="3"/>
        <v>0</v>
      </c>
      <c r="X37" s="1246"/>
      <c r="Y37" s="1235"/>
      <c r="Z37" s="1235"/>
      <c r="AA37" s="1246"/>
      <c r="AB37" s="1271"/>
      <c r="AC37" s="384"/>
      <c r="AD37" s="384"/>
    </row>
    <row r="38" spans="1:30">
      <c r="A38" s="1256"/>
      <c r="B38" s="1254"/>
      <c r="C38" s="1235">
        <f t="shared" si="1"/>
        <v>0</v>
      </c>
      <c r="D38" s="1237"/>
      <c r="E38" s="1238"/>
      <c r="F38" s="1235">
        <f t="shared" si="2"/>
        <v>0</v>
      </c>
      <c r="G38" s="1235"/>
      <c r="H38" s="1235"/>
      <c r="I38" s="1241"/>
      <c r="J38" s="1235"/>
      <c r="K38" s="1235"/>
      <c r="L38" s="1246"/>
      <c r="M38" s="1235"/>
      <c r="N38" s="1235"/>
      <c r="O38" s="1235"/>
      <c r="P38" s="1235"/>
      <c r="Q38" s="1268"/>
      <c r="R38" s="1246"/>
      <c r="S38" s="1246"/>
      <c r="T38" s="1271"/>
      <c r="U38" s="1248"/>
      <c r="V38" s="1238"/>
      <c r="W38" s="1235">
        <f t="shared" si="3"/>
        <v>0</v>
      </c>
      <c r="X38" s="1246"/>
      <c r="Y38" s="1235"/>
      <c r="Z38" s="1235"/>
      <c r="AA38" s="1246"/>
      <c r="AB38" s="1271"/>
      <c r="AC38" s="384"/>
      <c r="AD38" s="384"/>
    </row>
    <row r="39" spans="1:30">
      <c r="A39" s="1256"/>
      <c r="B39" s="1254"/>
      <c r="C39" s="1235">
        <f t="shared" si="1"/>
        <v>0</v>
      </c>
      <c r="D39" s="1237"/>
      <c r="E39" s="1238"/>
      <c r="F39" s="1235">
        <f t="shared" si="2"/>
        <v>0</v>
      </c>
      <c r="G39" s="1235"/>
      <c r="H39" s="1235"/>
      <c r="I39" s="1241"/>
      <c r="J39" s="1235"/>
      <c r="K39" s="1235"/>
      <c r="L39" s="1246"/>
      <c r="M39" s="1235"/>
      <c r="N39" s="1235"/>
      <c r="O39" s="1235"/>
      <c r="P39" s="1246"/>
      <c r="Q39" s="1235"/>
      <c r="R39" s="1246"/>
      <c r="S39" s="1246"/>
      <c r="T39" s="1271"/>
      <c r="U39" s="1248"/>
      <c r="V39" s="1238"/>
      <c r="W39" s="1235">
        <f t="shared" si="3"/>
        <v>0</v>
      </c>
      <c r="X39" s="1246"/>
      <c r="Y39" s="1235"/>
      <c r="Z39" s="1246"/>
      <c r="AA39" s="1246"/>
      <c r="AB39" s="1271"/>
      <c r="AC39" s="384"/>
      <c r="AD39" s="384"/>
    </row>
    <row r="40" spans="1:30">
      <c r="A40" s="1256"/>
      <c r="B40" s="1254"/>
      <c r="C40" s="1235">
        <f t="shared" si="1"/>
        <v>0</v>
      </c>
      <c r="D40" s="1237"/>
      <c r="E40" s="1238"/>
      <c r="F40" s="1235">
        <f t="shared" si="2"/>
        <v>0</v>
      </c>
      <c r="G40" s="1235"/>
      <c r="H40" s="1235"/>
      <c r="I40" s="1241"/>
      <c r="J40" s="1235"/>
      <c r="K40" s="1235"/>
      <c r="L40" s="1246"/>
      <c r="M40" s="1235"/>
      <c r="N40" s="1235"/>
      <c r="O40" s="1235"/>
      <c r="P40" s="1246"/>
      <c r="Q40" s="1235"/>
      <c r="R40" s="1246"/>
      <c r="S40" s="1246"/>
      <c r="T40" s="1271"/>
      <c r="U40" s="1248"/>
      <c r="V40" s="1238"/>
      <c r="W40" s="1235">
        <f t="shared" si="3"/>
        <v>0</v>
      </c>
      <c r="X40" s="1246"/>
      <c r="Y40" s="1235"/>
      <c r="Z40" s="1246"/>
      <c r="AA40" s="1246"/>
      <c r="AB40" s="1271"/>
      <c r="AC40" s="384"/>
      <c r="AD40" s="384"/>
    </row>
    <row r="41" spans="1:30">
      <c r="A41" s="1256"/>
      <c r="B41" s="1254"/>
      <c r="C41" s="1235">
        <f t="shared" si="1"/>
        <v>0</v>
      </c>
      <c r="D41" s="1237"/>
      <c r="E41" s="1238"/>
      <c r="F41" s="1235">
        <f t="shared" si="2"/>
        <v>0</v>
      </c>
      <c r="G41" s="1235"/>
      <c r="H41" s="1235"/>
      <c r="I41" s="1241"/>
      <c r="J41" s="1235"/>
      <c r="K41" s="1235"/>
      <c r="L41" s="1246"/>
      <c r="M41" s="1235"/>
      <c r="N41" s="1235"/>
      <c r="O41" s="1235"/>
      <c r="P41" s="1246"/>
      <c r="Q41" s="1235"/>
      <c r="R41" s="1246"/>
      <c r="S41" s="1246"/>
      <c r="T41" s="1271"/>
      <c r="U41" s="1248"/>
      <c r="V41" s="1238"/>
      <c r="W41" s="1235">
        <f t="shared" si="3"/>
        <v>0</v>
      </c>
      <c r="X41" s="1246"/>
      <c r="Y41" s="1235"/>
      <c r="Z41" s="1246"/>
      <c r="AA41" s="1246"/>
      <c r="AB41" s="1271"/>
      <c r="AC41" s="384"/>
      <c r="AD41" s="384"/>
    </row>
    <row r="42" spans="1:30">
      <c r="A42" s="1256"/>
      <c r="B42" s="1254"/>
      <c r="C42" s="1235">
        <f t="shared" si="1"/>
        <v>0</v>
      </c>
      <c r="D42" s="1237"/>
      <c r="E42" s="1249"/>
      <c r="F42" s="1235">
        <f t="shared" si="2"/>
        <v>0</v>
      </c>
      <c r="G42" s="1235"/>
      <c r="H42" s="1235"/>
      <c r="I42" s="1241"/>
      <c r="J42" s="1235"/>
      <c r="K42" s="1235"/>
      <c r="L42" s="1246"/>
      <c r="M42" s="1235"/>
      <c r="N42" s="1235"/>
      <c r="O42" s="1235"/>
      <c r="P42" s="1246"/>
      <c r="Q42" s="1235"/>
      <c r="R42" s="1246"/>
      <c r="S42" s="1246"/>
      <c r="T42" s="1271"/>
      <c r="U42" s="1248"/>
      <c r="V42" s="1249"/>
      <c r="W42" s="1235">
        <f t="shared" si="3"/>
        <v>0</v>
      </c>
      <c r="X42" s="1246"/>
      <c r="Y42" s="1235"/>
      <c r="Z42" s="1246"/>
      <c r="AA42" s="1246"/>
      <c r="AB42" s="1271"/>
      <c r="AC42" s="384"/>
      <c r="AD42" s="384"/>
    </row>
    <row r="43" spans="1:30">
      <c r="A43" s="1256"/>
      <c r="B43" s="1254"/>
      <c r="C43" s="1235">
        <f t="shared" si="1"/>
        <v>0</v>
      </c>
      <c r="D43" s="1237"/>
      <c r="E43" s="1249"/>
      <c r="F43" s="1235">
        <f t="shared" si="2"/>
        <v>0</v>
      </c>
      <c r="G43" s="1235"/>
      <c r="H43" s="1235"/>
      <c r="I43" s="1241"/>
      <c r="J43" s="1235"/>
      <c r="K43" s="1235"/>
      <c r="L43" s="1246"/>
      <c r="M43" s="1235"/>
      <c r="N43" s="1235"/>
      <c r="O43" s="1235"/>
      <c r="P43" s="1246"/>
      <c r="Q43" s="1235"/>
      <c r="R43" s="1246"/>
      <c r="S43" s="1246"/>
      <c r="T43" s="1271"/>
      <c r="U43" s="1248"/>
      <c r="V43" s="1249"/>
      <c r="W43" s="1235">
        <f t="shared" si="3"/>
        <v>0</v>
      </c>
      <c r="X43" s="1246"/>
      <c r="Y43" s="1235"/>
      <c r="Z43" s="1246"/>
      <c r="AA43" s="1246"/>
      <c r="AB43" s="1271"/>
      <c r="AC43" s="384"/>
      <c r="AD43" s="384"/>
    </row>
    <row r="44" spans="1:30">
      <c r="A44" s="1256"/>
      <c r="B44" s="1254"/>
      <c r="C44" s="1235">
        <f t="shared" si="1"/>
        <v>0</v>
      </c>
      <c r="D44" s="1237"/>
      <c r="E44" s="1249"/>
      <c r="F44" s="1235">
        <f t="shared" si="2"/>
        <v>0</v>
      </c>
      <c r="G44" s="1235"/>
      <c r="H44" s="1235"/>
      <c r="I44" s="1241"/>
      <c r="J44" s="1235"/>
      <c r="K44" s="1235"/>
      <c r="L44" s="1246"/>
      <c r="M44" s="1235"/>
      <c r="N44" s="1235"/>
      <c r="O44" s="1235"/>
      <c r="P44" s="1246"/>
      <c r="Q44" s="1235"/>
      <c r="R44" s="1246"/>
      <c r="S44" s="1246"/>
      <c r="T44" s="1271"/>
      <c r="U44" s="1248"/>
      <c r="V44" s="1249"/>
      <c r="W44" s="1235">
        <f t="shared" si="3"/>
        <v>0</v>
      </c>
      <c r="X44" s="1246"/>
      <c r="Y44" s="1235"/>
      <c r="Z44" s="1246"/>
      <c r="AA44" s="1246"/>
      <c r="AB44" s="1271"/>
      <c r="AC44" s="384"/>
      <c r="AD44" s="384"/>
    </row>
    <row r="45" spans="1:30">
      <c r="A45" s="1256"/>
      <c r="B45" s="1254"/>
      <c r="C45" s="1235">
        <f t="shared" si="1"/>
        <v>0</v>
      </c>
      <c r="D45" s="1237"/>
      <c r="E45" s="1249"/>
      <c r="F45" s="1235">
        <f t="shared" si="2"/>
        <v>0</v>
      </c>
      <c r="G45" s="1235"/>
      <c r="H45" s="1235"/>
      <c r="I45" s="1241"/>
      <c r="J45" s="1235"/>
      <c r="K45" s="1235"/>
      <c r="L45" s="1246"/>
      <c r="M45" s="1235"/>
      <c r="N45" s="1235"/>
      <c r="O45" s="1235"/>
      <c r="P45" s="1246"/>
      <c r="Q45" s="1235"/>
      <c r="R45" s="1246"/>
      <c r="S45" s="1246"/>
      <c r="T45" s="1271"/>
      <c r="U45" s="1248"/>
      <c r="V45" s="1249"/>
      <c r="W45" s="1235">
        <f t="shared" si="3"/>
        <v>0</v>
      </c>
      <c r="X45" s="1246"/>
      <c r="Y45" s="1235"/>
      <c r="Z45" s="1246"/>
      <c r="AA45" s="1246"/>
      <c r="AB45" s="1271"/>
      <c r="AC45" s="384"/>
      <c r="AD45" s="384"/>
    </row>
    <row r="46" spans="1:30">
      <c r="A46" s="1256"/>
      <c r="B46" s="1254"/>
      <c r="C46" s="1235">
        <f t="shared" si="1"/>
        <v>0</v>
      </c>
      <c r="D46" s="1237"/>
      <c r="E46" s="1249"/>
      <c r="F46" s="1235">
        <f t="shared" si="2"/>
        <v>0</v>
      </c>
      <c r="G46" s="1235"/>
      <c r="H46" s="1235"/>
      <c r="I46" s="1241"/>
      <c r="J46" s="1235"/>
      <c r="K46" s="1235"/>
      <c r="L46" s="1246"/>
      <c r="M46" s="1235"/>
      <c r="N46" s="1235"/>
      <c r="O46" s="1235"/>
      <c r="P46" s="1246"/>
      <c r="Q46" s="1235"/>
      <c r="R46" s="1246"/>
      <c r="S46" s="1246"/>
      <c r="T46" s="1271"/>
      <c r="U46" s="1248"/>
      <c r="V46" s="1249"/>
      <c r="W46" s="1235">
        <f t="shared" si="3"/>
        <v>0</v>
      </c>
      <c r="X46" s="1246"/>
      <c r="Y46" s="1235"/>
      <c r="Z46" s="1246"/>
      <c r="AA46" s="1246"/>
      <c r="AB46" s="1271"/>
      <c r="AC46" s="384"/>
      <c r="AD46" s="384"/>
    </row>
    <row r="47" spans="1:30">
      <c r="A47" s="1256"/>
      <c r="B47" s="1254"/>
      <c r="C47" s="1235">
        <f t="shared" si="1"/>
        <v>0</v>
      </c>
      <c r="D47" s="1237"/>
      <c r="E47" s="1249"/>
      <c r="F47" s="1235">
        <f t="shared" si="2"/>
        <v>0</v>
      </c>
      <c r="G47" s="1235"/>
      <c r="H47" s="1235"/>
      <c r="I47" s="1241"/>
      <c r="J47" s="1235"/>
      <c r="K47" s="1235"/>
      <c r="L47" s="1246"/>
      <c r="M47" s="1235"/>
      <c r="N47" s="1235"/>
      <c r="O47" s="1235"/>
      <c r="P47" s="1246"/>
      <c r="Q47" s="1235"/>
      <c r="R47" s="1246"/>
      <c r="S47" s="1246"/>
      <c r="T47" s="1271"/>
      <c r="U47" s="1248"/>
      <c r="V47" s="1249"/>
      <c r="W47" s="1235">
        <f t="shared" si="3"/>
        <v>0</v>
      </c>
      <c r="X47" s="1246"/>
      <c r="Y47" s="1235"/>
      <c r="Z47" s="1246"/>
      <c r="AA47" s="1246"/>
      <c r="AB47" s="1271"/>
      <c r="AC47" s="384"/>
      <c r="AD47" s="384"/>
    </row>
    <row r="48" spans="1:30">
      <c r="A48" s="1256"/>
      <c r="B48" s="1257"/>
      <c r="C48" s="1235">
        <f t="shared" si="1"/>
        <v>0</v>
      </c>
      <c r="D48" s="1237"/>
      <c r="E48" s="1238"/>
      <c r="F48" s="1235">
        <f t="shared" si="2"/>
        <v>0</v>
      </c>
      <c r="G48" s="1235"/>
      <c r="H48" s="1235"/>
      <c r="I48" s="1235"/>
      <c r="J48" s="1235"/>
      <c r="K48" s="1235"/>
      <c r="L48" s="1246"/>
      <c r="M48" s="1235"/>
      <c r="N48" s="1235"/>
      <c r="O48" s="1235"/>
      <c r="P48" s="1246"/>
      <c r="Q48" s="1235"/>
      <c r="R48" s="1246"/>
      <c r="S48" s="1246"/>
      <c r="T48" s="1271"/>
      <c r="U48" s="1248"/>
      <c r="V48" s="1238"/>
      <c r="W48" s="1235">
        <f t="shared" si="3"/>
        <v>0</v>
      </c>
      <c r="X48" s="1246"/>
      <c r="Y48" s="1235"/>
      <c r="Z48" s="1246"/>
      <c r="AA48" s="1246"/>
      <c r="AB48" s="1271"/>
      <c r="AC48" s="384"/>
      <c r="AD48" s="384"/>
    </row>
    <row r="49" spans="1:30">
      <c r="A49" s="1258"/>
      <c r="B49" s="1259" t="s">
        <v>17</v>
      </c>
      <c r="C49" s="1272">
        <f>SUM(C15:C48)</f>
        <v>636000</v>
      </c>
      <c r="D49" s="1273"/>
      <c r="E49" s="1273"/>
      <c r="F49" s="1273">
        <f>SUM(F15:F48)</f>
        <v>636000</v>
      </c>
      <c r="G49" s="1273">
        <f t="shared" ref="G49:N49" si="4">SUM(G16:G48)</f>
        <v>139812.79</v>
      </c>
      <c r="H49" s="1273">
        <f t="shared" si="4"/>
        <v>0</v>
      </c>
      <c r="I49" s="1273">
        <f t="shared" si="4"/>
        <v>480000</v>
      </c>
      <c r="J49" s="1273">
        <f t="shared" si="4"/>
        <v>0</v>
      </c>
      <c r="K49" s="1273">
        <f t="shared" si="4"/>
        <v>0</v>
      </c>
      <c r="L49" s="1273">
        <f t="shared" si="4"/>
        <v>480000</v>
      </c>
      <c r="M49" s="1273">
        <f t="shared" si="4"/>
        <v>0</v>
      </c>
      <c r="N49" s="1273">
        <f t="shared" si="4"/>
        <v>139812.79</v>
      </c>
      <c r="O49" s="1273">
        <f>SUM(O14:O48)</f>
        <v>4</v>
      </c>
      <c r="P49" s="1273">
        <f>SUM(P14:P48)</f>
        <v>480000</v>
      </c>
      <c r="Q49" s="1273">
        <f>SUM(Q14:Q48)</f>
        <v>0.8</v>
      </c>
      <c r="R49" s="1273">
        <f>SUM(R14:R48)</f>
        <v>164400</v>
      </c>
      <c r="S49" s="1273">
        <f>SUM(S16:S48)</f>
        <v>63600</v>
      </c>
      <c r="T49" s="1274">
        <f>W49-L49</f>
        <v>156000</v>
      </c>
      <c r="U49" s="1273"/>
      <c r="V49" s="1273"/>
      <c r="W49" s="1273">
        <f>SUM(W14:W48)</f>
        <v>636000</v>
      </c>
      <c r="X49" s="1273">
        <f>SUM(X14:X48)</f>
        <v>480000</v>
      </c>
      <c r="Y49" s="1273">
        <f>SUM(Y14:Y48)</f>
        <v>139812.79</v>
      </c>
      <c r="Z49" s="1273">
        <f>SUM(Z14:Z48)</f>
        <v>480000</v>
      </c>
      <c r="AA49" s="1273">
        <f>SUM(AA14:AA48)</f>
        <v>164400</v>
      </c>
      <c r="AB49" s="1273">
        <f>SUM(AB16:AB48)</f>
        <v>636000</v>
      </c>
      <c r="AC49" s="384"/>
      <c r="AD49" s="384"/>
    </row>
    <row r="50" spans="1:30">
      <c r="A50" s="161"/>
      <c r="B50" s="162"/>
      <c r="F50" s="163"/>
      <c r="G50" s="163"/>
      <c r="H50" s="163"/>
      <c r="I50" s="163"/>
      <c r="J50" s="163"/>
      <c r="K50" s="163"/>
      <c r="L50" s="163"/>
      <c r="M50" s="163"/>
      <c r="N50" s="163"/>
      <c r="P50" s="163"/>
      <c r="Q50" s="67"/>
      <c r="R50" s="67"/>
      <c r="W50" s="163"/>
      <c r="AC50" s="384"/>
      <c r="AD50" s="384"/>
    </row>
    <row r="51" spans="1:30">
      <c r="A51" s="164"/>
      <c r="B51" s="162"/>
      <c r="F51" s="163">
        <f>+F49*0.07</f>
        <v>44520.000000000007</v>
      </c>
      <c r="G51" s="163"/>
      <c r="H51" s="163"/>
      <c r="I51" s="163"/>
      <c r="J51" s="163"/>
      <c r="K51" s="163"/>
      <c r="L51" s="163"/>
      <c r="M51" s="163"/>
      <c r="N51" s="163"/>
      <c r="P51" s="163"/>
      <c r="Q51" s="67"/>
      <c r="R51" s="67"/>
      <c r="W51" s="163"/>
      <c r="AC51" s="384"/>
      <c r="AD51" s="384"/>
    </row>
    <row r="52" spans="1:30">
      <c r="F52" s="163"/>
      <c r="R52" s="67"/>
      <c r="W52" s="163"/>
      <c r="AC52" s="384"/>
      <c r="AD52" s="384"/>
    </row>
    <row r="53" spans="1:30">
      <c r="F53" s="163"/>
      <c r="R53" s="67"/>
      <c r="W53" s="163"/>
      <c r="AC53" s="384"/>
      <c r="AD53" s="384"/>
    </row>
    <row r="54" spans="1:30">
      <c r="R54" s="67"/>
      <c r="AC54" s="384"/>
      <c r="AD54" s="384"/>
    </row>
    <row r="55" spans="1:30">
      <c r="A55" s="67" t="s">
        <v>59</v>
      </c>
      <c r="F55" s="163"/>
      <c r="W55" s="163"/>
      <c r="AC55" s="384"/>
      <c r="AD55" s="384"/>
    </row>
  </sheetData>
  <mergeCells count="7">
    <mergeCell ref="E1:F1"/>
    <mergeCell ref="D6:E6"/>
    <mergeCell ref="AB8:AB12"/>
    <mergeCell ref="X8:X12"/>
    <mergeCell ref="Y8:Y12"/>
    <mergeCell ref="Z8:Z12"/>
    <mergeCell ref="AA8:AA12"/>
  </mergeCells>
  <conditionalFormatting sqref="U8:W9 X8:AC12">
    <cfRule type="cellIs" dxfId="16" priority="1" stopIfTrue="1" operator="equal">
      <formula>0</formula>
    </cfRule>
  </conditionalFormatting>
  <pageMargins left="0.31" right="0.2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6"/>
  <dimension ref="A1:AE56"/>
  <sheetViews>
    <sheetView showGridLines="0" showZeros="0" topLeftCell="M1" workbookViewId="0">
      <selection activeCell="Z17" sqref="Z17:Z21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5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65" t="s">
        <v>569</v>
      </c>
      <c r="C2" s="65"/>
      <c r="D2" s="65"/>
      <c r="E2" s="65"/>
      <c r="F2" s="65"/>
      <c r="G2" s="65"/>
      <c r="H2" s="66"/>
      <c r="I2" s="66"/>
      <c r="J2" s="1079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076"/>
      <c r="I3" s="1076"/>
      <c r="J3" s="1076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 ht="10.5" customHeight="1">
      <c r="A4" s="1077" t="s">
        <v>61</v>
      </c>
      <c r="B4" s="71" t="s">
        <v>568</v>
      </c>
      <c r="C4" s="216" t="s">
        <v>81</v>
      </c>
      <c r="D4" s="216"/>
      <c r="E4" s="216"/>
      <c r="F4" s="217"/>
      <c r="G4" s="217"/>
      <c r="H4" s="1075"/>
      <c r="I4" s="1075"/>
      <c r="J4" s="1075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3">
        <v>201000890</v>
      </c>
      <c r="C5" s="1076"/>
      <c r="D5" s="1076"/>
      <c r="E5" s="1076"/>
      <c r="F5" s="1075"/>
      <c r="G5" s="1075"/>
      <c r="H5" s="1079"/>
      <c r="I5" s="1079"/>
      <c r="J5" s="1075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1078" t="s">
        <v>51</v>
      </c>
      <c r="B6" s="74" t="s">
        <v>567</v>
      </c>
      <c r="C6" s="1076"/>
      <c r="D6" s="2433"/>
      <c r="E6" s="2433"/>
      <c r="F6" s="1075"/>
      <c r="G6" s="1075"/>
      <c r="H6" s="1209"/>
      <c r="I6" s="1227"/>
      <c r="J6" s="1228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10.5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107"/>
      <c r="V9" s="108"/>
      <c r="W9" s="109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232" t="s">
        <v>86</v>
      </c>
      <c r="Y13" s="1232"/>
      <c r="Z13" s="1232"/>
      <c r="AA13" s="1232"/>
      <c r="AB13" s="1232"/>
    </row>
    <row r="14" spans="1:31">
      <c r="A14" s="120"/>
      <c r="B14" s="121"/>
      <c r="C14" s="105"/>
      <c r="D14" s="122"/>
      <c r="E14" s="120"/>
      <c r="F14" s="103"/>
      <c r="G14" s="103"/>
      <c r="H14" s="103"/>
      <c r="I14" s="103"/>
      <c r="J14" s="103"/>
      <c r="K14" s="103"/>
      <c r="L14" s="103"/>
      <c r="M14" s="103"/>
      <c r="N14" s="103"/>
      <c r="O14" s="105"/>
      <c r="P14" s="103"/>
      <c r="Q14" s="105"/>
      <c r="R14" s="105"/>
      <c r="S14" s="123"/>
      <c r="T14" s="106"/>
      <c r="U14" s="105"/>
      <c r="V14" s="120"/>
      <c r="W14" s="103"/>
      <c r="X14" s="103"/>
      <c r="Y14" s="103"/>
      <c r="Z14" s="103"/>
      <c r="AA14" s="105"/>
      <c r="AB14" s="106"/>
    </row>
    <row r="15" spans="1:31" ht="13.5" customHeight="1">
      <c r="A15" s="1260"/>
      <c r="B15" s="1234"/>
      <c r="C15" s="1235">
        <f>D15*E15</f>
        <v>0</v>
      </c>
      <c r="D15" s="1261"/>
      <c r="E15" s="1260"/>
      <c r="F15" s="1235">
        <f>D15*E15</f>
        <v>0</v>
      </c>
      <c r="G15" s="1239"/>
      <c r="H15" s="1239"/>
      <c r="I15" s="1239"/>
      <c r="J15" s="1239"/>
      <c r="K15" s="1239"/>
      <c r="L15" s="1239"/>
      <c r="M15" s="1239"/>
      <c r="N15" s="1239"/>
      <c r="O15" s="1240"/>
      <c r="P15" s="1239"/>
      <c r="Q15" s="1240"/>
      <c r="R15" s="1240"/>
      <c r="S15" s="1262"/>
      <c r="T15" s="1263"/>
      <c r="U15" s="1240"/>
      <c r="V15" s="1260"/>
      <c r="W15" s="1235">
        <f>U15*V15</f>
        <v>0</v>
      </c>
      <c r="X15" s="1239"/>
      <c r="Y15" s="1239"/>
      <c r="Z15" s="1239"/>
      <c r="AA15" s="1240"/>
      <c r="AB15" s="1263"/>
    </row>
    <row r="16" spans="1:31" ht="12.75" customHeight="1">
      <c r="A16" s="1276"/>
      <c r="B16" s="1277"/>
      <c r="C16" s="1235">
        <f>D16*E16</f>
        <v>0</v>
      </c>
      <c r="D16" s="1278"/>
      <c r="E16" s="1279"/>
      <c r="F16" s="1235">
        <f>D16*E16</f>
        <v>0</v>
      </c>
      <c r="G16" s="1239"/>
      <c r="H16" s="1239"/>
      <c r="I16" s="1239"/>
      <c r="J16" s="1239"/>
      <c r="K16" s="1239"/>
      <c r="L16" s="1239"/>
      <c r="M16" s="1239"/>
      <c r="N16" s="1239"/>
      <c r="O16" s="1240"/>
      <c r="P16" s="1239">
        <v>0</v>
      </c>
      <c r="Q16" s="1240"/>
      <c r="R16" s="1240">
        <v>0</v>
      </c>
      <c r="S16" s="1240"/>
      <c r="T16" s="1263"/>
      <c r="U16" s="1278"/>
      <c r="V16" s="1279"/>
      <c r="W16" s="1235">
        <f>U16*V16</f>
        <v>0</v>
      </c>
      <c r="X16" s="1239"/>
      <c r="Y16" s="1239"/>
      <c r="Z16" s="1239">
        <v>0</v>
      </c>
      <c r="AA16" s="1240">
        <v>0</v>
      </c>
      <c r="AB16" s="1263"/>
    </row>
    <row r="17" spans="1:30" ht="33.75">
      <c r="A17" s="1238">
        <v>1</v>
      </c>
      <c r="B17" s="1236" t="s">
        <v>566</v>
      </c>
      <c r="C17" s="1235">
        <f>D17*E17</f>
        <v>216000</v>
      </c>
      <c r="D17" s="1237">
        <f>180000*1.2</f>
        <v>216000</v>
      </c>
      <c r="E17" s="1238">
        <v>1</v>
      </c>
      <c r="F17" s="1235">
        <f>D17*E17</f>
        <v>216000</v>
      </c>
      <c r="G17" s="1235">
        <v>158400</v>
      </c>
      <c r="H17" s="1235" t="s">
        <v>96</v>
      </c>
      <c r="I17" s="1235">
        <f>W17</f>
        <v>216000</v>
      </c>
      <c r="J17" s="1235"/>
      <c r="K17" s="1235"/>
      <c r="L17" s="1235">
        <f>I17-J17+K17</f>
        <v>216000</v>
      </c>
      <c r="M17" s="1235"/>
      <c r="N17" s="1235">
        <f>G17</f>
        <v>158400</v>
      </c>
      <c r="O17" s="1235">
        <v>1</v>
      </c>
      <c r="P17" s="1235">
        <v>216000</v>
      </c>
      <c r="Q17" s="1235"/>
      <c r="R17" s="1241">
        <v>216000</v>
      </c>
      <c r="S17" s="1241">
        <f>+P17-R17</f>
        <v>0</v>
      </c>
      <c r="T17" s="1269"/>
      <c r="U17" s="1237">
        <f>180000*1.2</f>
        <v>216000</v>
      </c>
      <c r="V17" s="1238">
        <v>1</v>
      </c>
      <c r="W17" s="1235">
        <f>U17*V17</f>
        <v>216000</v>
      </c>
      <c r="X17" s="1235">
        <v>216000</v>
      </c>
      <c r="Y17" s="1235">
        <v>158400</v>
      </c>
      <c r="Z17" s="1235">
        <v>216000</v>
      </c>
      <c r="AA17" s="1241">
        <v>216000</v>
      </c>
      <c r="AB17" s="1269">
        <v>216000</v>
      </c>
      <c r="AC17" s="384"/>
      <c r="AD17" s="384"/>
    </row>
    <row r="18" spans="1:30" ht="12.75" hidden="1" customHeight="1">
      <c r="A18" s="1280"/>
      <c r="B18" s="1275"/>
      <c r="C18" s="1235"/>
      <c r="D18" s="1270"/>
      <c r="E18" s="1238"/>
      <c r="F18" s="1235"/>
      <c r="G18" s="1235"/>
      <c r="H18" s="1235" t="s">
        <v>96</v>
      </c>
      <c r="I18" s="1235"/>
      <c r="J18" s="1235"/>
      <c r="K18" s="1235"/>
      <c r="L18" s="1235">
        <f>I18-J18+K18</f>
        <v>0</v>
      </c>
      <c r="M18" s="1235"/>
      <c r="N18" s="1235"/>
      <c r="O18" s="1235"/>
      <c r="P18" s="1235"/>
      <c r="Q18" s="1235"/>
      <c r="R18" s="1241"/>
      <c r="S18" s="1241">
        <f>+P18-R18</f>
        <v>0</v>
      </c>
      <c r="T18" s="1269"/>
      <c r="U18" s="1270"/>
      <c r="V18" s="1238"/>
      <c r="W18" s="1235"/>
      <c r="X18" s="1235">
        <v>0</v>
      </c>
      <c r="Y18" s="1235"/>
      <c r="Z18" s="1235"/>
      <c r="AA18" s="1241"/>
      <c r="AB18" s="1271"/>
      <c r="AC18" s="384"/>
      <c r="AD18" s="384"/>
    </row>
    <row r="19" spans="1:30" ht="12.75" hidden="1" customHeight="1">
      <c r="A19" s="1281"/>
      <c r="B19" s="1275"/>
      <c r="C19" s="1235"/>
      <c r="D19" s="1270"/>
      <c r="E19" s="1238"/>
      <c r="F19" s="1235"/>
      <c r="G19" s="1235"/>
      <c r="H19" s="1235" t="s">
        <v>96</v>
      </c>
      <c r="I19" s="1235"/>
      <c r="J19" s="1235"/>
      <c r="K19" s="1235"/>
      <c r="L19" s="1235">
        <f>I19-J19+K19</f>
        <v>0</v>
      </c>
      <c r="M19" s="1235"/>
      <c r="N19" s="1235"/>
      <c r="O19" s="1235"/>
      <c r="P19" s="1235"/>
      <c r="Q19" s="1235"/>
      <c r="R19" s="1241"/>
      <c r="S19" s="1241">
        <f>+P19-R19</f>
        <v>0</v>
      </c>
      <c r="T19" s="1269"/>
      <c r="U19" s="1270"/>
      <c r="V19" s="1238"/>
      <c r="W19" s="1235"/>
      <c r="X19" s="1235">
        <v>0</v>
      </c>
      <c r="Y19" s="1235"/>
      <c r="Z19" s="1235"/>
      <c r="AA19" s="1241"/>
      <c r="AB19" s="1271"/>
      <c r="AC19" s="384"/>
      <c r="AD19" s="384"/>
    </row>
    <row r="20" spans="1:30" ht="27" customHeight="1">
      <c r="A20" s="1282">
        <v>2</v>
      </c>
      <c r="B20" s="1236" t="s">
        <v>565</v>
      </c>
      <c r="C20" s="1235">
        <f t="shared" ref="C20:C49" si="0">D20*E20</f>
        <v>252000</v>
      </c>
      <c r="D20" s="1237">
        <f>210000*1.2</f>
        <v>252000</v>
      </c>
      <c r="E20" s="1238">
        <v>1</v>
      </c>
      <c r="F20" s="1235">
        <f t="shared" ref="F20:F49" si="1">D20*E20</f>
        <v>252000</v>
      </c>
      <c r="G20" s="1235">
        <v>177600</v>
      </c>
      <c r="H20" s="1235" t="s">
        <v>96</v>
      </c>
      <c r="I20" s="1235">
        <f>W20</f>
        <v>252000</v>
      </c>
      <c r="J20" s="1235"/>
      <c r="K20" s="1235"/>
      <c r="L20" s="1235">
        <f>I20-J20+K20</f>
        <v>252000</v>
      </c>
      <c r="M20" s="1235"/>
      <c r="N20" s="1235">
        <f>G20</f>
        <v>177600</v>
      </c>
      <c r="O20" s="1235">
        <v>1</v>
      </c>
      <c r="P20" s="1235">
        <v>252000</v>
      </c>
      <c r="Q20" s="1245"/>
      <c r="R20" s="1235"/>
      <c r="S20" s="1241">
        <f>+P20-R20</f>
        <v>252000</v>
      </c>
      <c r="T20" s="1269"/>
      <c r="U20" s="1237">
        <f>210000*1.2</f>
        <v>252000</v>
      </c>
      <c r="V20" s="1238">
        <v>1</v>
      </c>
      <c r="W20" s="1235">
        <f t="shared" ref="W20:W49" si="2">U20*V20</f>
        <v>252000</v>
      </c>
      <c r="X20" s="1235">
        <v>252000</v>
      </c>
      <c r="Y20" s="1246">
        <v>177600</v>
      </c>
      <c r="Z20" s="1243">
        <v>252000</v>
      </c>
      <c r="AA20" s="1235"/>
      <c r="AB20" s="1246">
        <v>252000</v>
      </c>
      <c r="AC20" s="384"/>
      <c r="AD20" s="384"/>
    </row>
    <row r="21" spans="1:30" ht="30.75" customHeight="1">
      <c r="A21" s="1249">
        <v>3</v>
      </c>
      <c r="B21" s="1244" t="s">
        <v>564</v>
      </c>
      <c r="C21" s="1235">
        <f t="shared" si="0"/>
        <v>156000</v>
      </c>
      <c r="D21" s="1237">
        <f>130000*1.2</f>
        <v>156000</v>
      </c>
      <c r="E21" s="1238">
        <v>1</v>
      </c>
      <c r="F21" s="1235">
        <f t="shared" si="1"/>
        <v>156000</v>
      </c>
      <c r="G21" s="1235">
        <v>84000</v>
      </c>
      <c r="H21" s="1235" t="s">
        <v>96</v>
      </c>
      <c r="I21" s="1235">
        <f>+W21</f>
        <v>156000</v>
      </c>
      <c r="J21" s="1235"/>
      <c r="K21" s="1235"/>
      <c r="L21" s="1235">
        <f>I21-J21+K21</f>
        <v>156000</v>
      </c>
      <c r="M21" s="1235"/>
      <c r="N21" s="1235">
        <f>G21</f>
        <v>84000</v>
      </c>
      <c r="O21" s="1235"/>
      <c r="P21" s="1235">
        <v>156000</v>
      </c>
      <c r="Q21" s="1245"/>
      <c r="R21" s="1246"/>
      <c r="S21" s="1241">
        <f>+P21-R21</f>
        <v>156000</v>
      </c>
      <c r="T21" s="1269"/>
      <c r="U21" s="1237">
        <f>130000*1.2</f>
        <v>156000</v>
      </c>
      <c r="V21" s="1238">
        <v>1</v>
      </c>
      <c r="W21" s="1235">
        <f t="shared" si="2"/>
        <v>156000</v>
      </c>
      <c r="X21" s="1235">
        <v>156000</v>
      </c>
      <c r="Y21" s="1246">
        <v>84000</v>
      </c>
      <c r="Z21" s="1235">
        <v>156000</v>
      </c>
      <c r="AA21" s="1246"/>
      <c r="AB21" s="1246">
        <v>156000</v>
      </c>
      <c r="AC21" s="384"/>
      <c r="AD21" s="384"/>
    </row>
    <row r="22" spans="1:30">
      <c r="A22" s="1249"/>
      <c r="B22" s="1244"/>
      <c r="C22" s="1235">
        <f t="shared" si="0"/>
        <v>0</v>
      </c>
      <c r="D22" s="1237"/>
      <c r="E22" s="1238"/>
      <c r="F22" s="1235">
        <f t="shared" si="1"/>
        <v>0</v>
      </c>
      <c r="G22" s="1246"/>
      <c r="H22" s="1246"/>
      <c r="I22" s="1235"/>
      <c r="J22" s="1235"/>
      <c r="K22" s="1235"/>
      <c r="L22" s="1235"/>
      <c r="M22" s="1235"/>
      <c r="N22" s="1235"/>
      <c r="O22" s="1235"/>
      <c r="P22" s="1235"/>
      <c r="Q22" s="1245"/>
      <c r="R22" s="1246"/>
      <c r="S22" s="1246"/>
      <c r="T22" s="1246"/>
      <c r="U22" s="1248"/>
      <c r="V22" s="1238"/>
      <c r="W22" s="1235">
        <f t="shared" si="2"/>
        <v>0</v>
      </c>
      <c r="X22" s="1246"/>
      <c r="Y22" s="1246"/>
      <c r="Z22" s="1235"/>
      <c r="AA22" s="1246"/>
      <c r="AB22" s="1246"/>
      <c r="AC22" s="384"/>
      <c r="AD22" s="384"/>
    </row>
    <row r="23" spans="1:30">
      <c r="A23" s="1238"/>
      <c r="B23" s="1247"/>
      <c r="C23" s="1235">
        <f t="shared" si="0"/>
        <v>0</v>
      </c>
      <c r="D23" s="1237"/>
      <c r="E23" s="1238"/>
      <c r="F23" s="1235">
        <f t="shared" si="1"/>
        <v>0</v>
      </c>
      <c r="G23" s="1246"/>
      <c r="H23" s="1246"/>
      <c r="I23" s="1235"/>
      <c r="J23" s="1235"/>
      <c r="K23" s="1235"/>
      <c r="L23" s="1235"/>
      <c r="M23" s="1235"/>
      <c r="N23" s="1235"/>
      <c r="O23" s="1235"/>
      <c r="P23" s="1235"/>
      <c r="Q23" s="1245"/>
      <c r="R23" s="1246"/>
      <c r="S23" s="1246"/>
      <c r="T23" s="1246"/>
      <c r="U23" s="1248"/>
      <c r="V23" s="1238"/>
      <c r="W23" s="1235">
        <f t="shared" si="2"/>
        <v>0</v>
      </c>
      <c r="X23" s="1246"/>
      <c r="Y23" s="1246"/>
      <c r="Z23" s="1246"/>
      <c r="AA23" s="1246"/>
      <c r="AB23" s="1246"/>
      <c r="AC23" s="384"/>
      <c r="AD23" s="384"/>
    </row>
    <row r="24" spans="1:30" ht="12.75" hidden="1" customHeight="1">
      <c r="A24" s="1238"/>
      <c r="B24" s="1247"/>
      <c r="C24" s="1235">
        <f t="shared" si="0"/>
        <v>0</v>
      </c>
      <c r="D24" s="1237"/>
      <c r="E24" s="1249"/>
      <c r="F24" s="1235">
        <f t="shared" si="1"/>
        <v>0</v>
      </c>
      <c r="G24" s="1246"/>
      <c r="H24" s="1246"/>
      <c r="I24" s="1235"/>
      <c r="J24" s="1235"/>
      <c r="K24" s="1235"/>
      <c r="L24" s="1235"/>
      <c r="M24" s="1235"/>
      <c r="N24" s="1235"/>
      <c r="O24" s="1235"/>
      <c r="P24" s="1235"/>
      <c r="Q24" s="1250"/>
      <c r="R24" s="1235"/>
      <c r="S24" s="1246"/>
      <c r="T24" s="1246"/>
      <c r="U24" s="1248"/>
      <c r="V24" s="1249"/>
      <c r="W24" s="1235">
        <f t="shared" si="2"/>
        <v>0</v>
      </c>
      <c r="X24" s="1246"/>
      <c r="Y24" s="1246"/>
      <c r="Z24" s="1246"/>
      <c r="AA24" s="1235"/>
      <c r="AB24" s="1246"/>
      <c r="AC24" s="384"/>
      <c r="AD24" s="384"/>
    </row>
    <row r="25" spans="1:30" ht="0.75" hidden="1" customHeight="1">
      <c r="A25" s="1264"/>
      <c r="B25" s="1251"/>
      <c r="C25" s="1235">
        <f t="shared" si="0"/>
        <v>0</v>
      </c>
      <c r="D25" s="1237"/>
      <c r="E25" s="1238"/>
      <c r="F25" s="1235">
        <f t="shared" si="1"/>
        <v>0</v>
      </c>
      <c r="G25" s="1246"/>
      <c r="H25" s="1246"/>
      <c r="I25" s="1235"/>
      <c r="J25" s="1235"/>
      <c r="K25" s="1235"/>
      <c r="L25" s="1235"/>
      <c r="M25" s="1235"/>
      <c r="N25" s="1235"/>
      <c r="O25" s="1235"/>
      <c r="P25" s="1235"/>
      <c r="Q25" s="1245"/>
      <c r="R25" s="1235"/>
      <c r="S25" s="1246">
        <f>+P25-R25</f>
        <v>0</v>
      </c>
      <c r="T25" s="1246"/>
      <c r="U25" s="1248"/>
      <c r="V25" s="1238"/>
      <c r="W25" s="1235">
        <f t="shared" si="2"/>
        <v>0</v>
      </c>
      <c r="X25" s="1246"/>
      <c r="Y25" s="1246"/>
      <c r="Z25" s="1235"/>
      <c r="AA25" s="1235"/>
      <c r="AB25" s="1246"/>
      <c r="AC25" s="384"/>
      <c r="AD25" s="384"/>
    </row>
    <row r="26" spans="1:30" ht="12.75" hidden="1" customHeight="1">
      <c r="A26" s="1264"/>
      <c r="B26" s="1252"/>
      <c r="C26" s="1235">
        <f t="shared" si="0"/>
        <v>0</v>
      </c>
      <c r="D26" s="1237"/>
      <c r="E26" s="1238"/>
      <c r="F26" s="1235">
        <f t="shared" si="1"/>
        <v>0</v>
      </c>
      <c r="G26" s="1246"/>
      <c r="H26" s="1246"/>
      <c r="I26" s="1235"/>
      <c r="J26" s="1235"/>
      <c r="K26" s="1235"/>
      <c r="L26" s="1235"/>
      <c r="M26" s="1235"/>
      <c r="N26" s="1235"/>
      <c r="O26" s="1235"/>
      <c r="P26" s="1235"/>
      <c r="Q26" s="1245"/>
      <c r="R26" s="1235"/>
      <c r="S26" s="1246">
        <f>+P26-R26</f>
        <v>0</v>
      </c>
      <c r="T26" s="1246"/>
      <c r="U26" s="1248"/>
      <c r="V26" s="1238"/>
      <c r="W26" s="1235">
        <f t="shared" si="2"/>
        <v>0</v>
      </c>
      <c r="X26" s="1246"/>
      <c r="Y26" s="1246"/>
      <c r="Z26" s="1246"/>
      <c r="AA26" s="1235"/>
      <c r="AB26" s="1246"/>
      <c r="AC26" s="384"/>
      <c r="AD26" s="384"/>
    </row>
    <row r="27" spans="1:30">
      <c r="A27" s="1267"/>
      <c r="B27" s="1253"/>
      <c r="C27" s="1235">
        <f t="shared" si="0"/>
        <v>0</v>
      </c>
      <c r="D27" s="1237"/>
      <c r="E27" s="1238"/>
      <c r="F27" s="1235">
        <f t="shared" si="1"/>
        <v>0</v>
      </c>
      <c r="G27" s="1246"/>
      <c r="H27" s="1246"/>
      <c r="I27" s="1235"/>
      <c r="J27" s="1235"/>
      <c r="K27" s="1235"/>
      <c r="L27" s="1235"/>
      <c r="M27" s="1235"/>
      <c r="N27" s="1235"/>
      <c r="O27" s="1235"/>
      <c r="P27" s="1235"/>
      <c r="Q27" s="1245"/>
      <c r="R27" s="1235"/>
      <c r="S27" s="1246"/>
      <c r="T27" s="1246"/>
      <c r="U27" s="1248"/>
      <c r="V27" s="1238"/>
      <c r="W27" s="1235">
        <f t="shared" si="2"/>
        <v>0</v>
      </c>
      <c r="X27" s="1246"/>
      <c r="Y27" s="1246"/>
      <c r="Z27" s="1246"/>
      <c r="AA27" s="1235"/>
      <c r="AB27" s="1246"/>
      <c r="AC27" s="384"/>
      <c r="AD27" s="384"/>
    </row>
    <row r="28" spans="1:30" ht="12" customHeight="1">
      <c r="A28" s="1256"/>
      <c r="B28" s="1254"/>
      <c r="C28" s="1235">
        <f t="shared" si="0"/>
        <v>0</v>
      </c>
      <c r="D28" s="1237"/>
      <c r="E28" s="1238"/>
      <c r="F28" s="1235">
        <f t="shared" si="1"/>
        <v>0</v>
      </c>
      <c r="G28" s="1246"/>
      <c r="H28" s="1246"/>
      <c r="I28" s="1246"/>
      <c r="J28" s="1246"/>
      <c r="K28" s="1246"/>
      <c r="L28" s="1246"/>
      <c r="M28" s="1246"/>
      <c r="N28" s="1246"/>
      <c r="O28" s="1246"/>
      <c r="P28" s="1246"/>
      <c r="Q28" s="1245"/>
      <c r="R28" s="1246"/>
      <c r="S28" s="1246"/>
      <c r="T28" s="1246"/>
      <c r="U28" s="1248"/>
      <c r="V28" s="1238"/>
      <c r="W28" s="1235">
        <f t="shared" si="2"/>
        <v>0</v>
      </c>
      <c r="X28" s="1246"/>
      <c r="Y28" s="1246"/>
      <c r="Z28" s="1246"/>
      <c r="AA28" s="1246"/>
      <c r="AB28" s="1246"/>
      <c r="AC28" s="384"/>
      <c r="AD28" s="384"/>
    </row>
    <row r="29" spans="1:30">
      <c r="A29" s="1249"/>
      <c r="B29" s="1254"/>
      <c r="C29" s="1235">
        <f t="shared" si="0"/>
        <v>0</v>
      </c>
      <c r="D29" s="1237"/>
      <c r="E29" s="1238"/>
      <c r="F29" s="1235">
        <f t="shared" si="1"/>
        <v>0</v>
      </c>
      <c r="G29" s="1246"/>
      <c r="H29" s="1246"/>
      <c r="I29" s="1246"/>
      <c r="J29" s="1246"/>
      <c r="K29" s="1246"/>
      <c r="L29" s="1246"/>
      <c r="M29" s="1246"/>
      <c r="N29" s="1246"/>
      <c r="O29" s="1246"/>
      <c r="P29" s="1246"/>
      <c r="Q29" s="1245"/>
      <c r="R29" s="1246"/>
      <c r="S29" s="1246"/>
      <c r="T29" s="1246"/>
      <c r="U29" s="1248"/>
      <c r="V29" s="1238"/>
      <c r="W29" s="1235">
        <f t="shared" si="2"/>
        <v>0</v>
      </c>
      <c r="X29" s="1246"/>
      <c r="Y29" s="1246"/>
      <c r="Z29" s="1246"/>
      <c r="AA29" s="1246"/>
      <c r="AB29" s="1246"/>
      <c r="AC29" s="384"/>
      <c r="AD29" s="384"/>
    </row>
    <row r="30" spans="1:30">
      <c r="A30" s="1256"/>
      <c r="B30" s="1254"/>
      <c r="C30" s="1235">
        <f t="shared" si="0"/>
        <v>0</v>
      </c>
      <c r="D30" s="1237"/>
      <c r="E30" s="1238"/>
      <c r="F30" s="1235">
        <f t="shared" si="1"/>
        <v>0</v>
      </c>
      <c r="G30" s="1246"/>
      <c r="H30" s="1246"/>
      <c r="I30" s="1246"/>
      <c r="J30" s="1246"/>
      <c r="K30" s="1246"/>
      <c r="L30" s="1246"/>
      <c r="M30" s="1246"/>
      <c r="N30" s="1246"/>
      <c r="O30" s="1246"/>
      <c r="P30" s="1246"/>
      <c r="Q30" s="1245"/>
      <c r="R30" s="1246"/>
      <c r="S30" s="1246"/>
      <c r="T30" s="1246"/>
      <c r="U30" s="1248"/>
      <c r="V30" s="1238"/>
      <c r="W30" s="1235">
        <f t="shared" si="2"/>
        <v>0</v>
      </c>
      <c r="X30" s="1246"/>
      <c r="Y30" s="1246"/>
      <c r="Z30" s="1246"/>
      <c r="AA30" s="1246"/>
      <c r="AB30" s="1246"/>
      <c r="AC30" s="384"/>
      <c r="AD30" s="384"/>
    </row>
    <row r="31" spans="1:30">
      <c r="A31" s="1256"/>
      <c r="B31" s="1254" t="s">
        <v>87</v>
      </c>
      <c r="C31" s="1235">
        <f t="shared" si="0"/>
        <v>0</v>
      </c>
      <c r="D31" s="1237"/>
      <c r="E31" s="1238"/>
      <c r="F31" s="1235">
        <f t="shared" si="1"/>
        <v>0</v>
      </c>
      <c r="G31" s="1246"/>
      <c r="H31" s="1246"/>
      <c r="I31" s="1246"/>
      <c r="J31" s="1246"/>
      <c r="K31" s="1246"/>
      <c r="L31" s="1246"/>
      <c r="M31" s="1246"/>
      <c r="N31" s="1246"/>
      <c r="O31" s="1246"/>
      <c r="P31" s="1246"/>
      <c r="Q31" s="1245"/>
      <c r="R31" s="1246"/>
      <c r="S31" s="1246"/>
      <c r="T31" s="1246"/>
      <c r="U31" s="1248"/>
      <c r="V31" s="1238"/>
      <c r="W31" s="1235">
        <f t="shared" si="2"/>
        <v>0</v>
      </c>
      <c r="X31" s="1246"/>
      <c r="Y31" s="1246"/>
      <c r="Z31" s="1246"/>
      <c r="AA31" s="1246"/>
      <c r="AB31" s="1246"/>
      <c r="AC31" s="384"/>
      <c r="AD31" s="384"/>
    </row>
    <row r="32" spans="1:30">
      <c r="A32" s="1256"/>
      <c r="B32" s="1255"/>
      <c r="C32" s="1235">
        <f t="shared" si="0"/>
        <v>0</v>
      </c>
      <c r="D32" s="1237"/>
      <c r="E32" s="1238"/>
      <c r="F32" s="1235">
        <f t="shared" si="1"/>
        <v>0</v>
      </c>
      <c r="G32" s="1246"/>
      <c r="H32" s="1246"/>
      <c r="I32" s="1246"/>
      <c r="J32" s="1246"/>
      <c r="K32" s="1246"/>
      <c r="L32" s="1246"/>
      <c r="M32" s="1246"/>
      <c r="N32" s="1246"/>
      <c r="O32" s="1246"/>
      <c r="P32" s="1246"/>
      <c r="Q32" s="1268"/>
      <c r="R32" s="1246"/>
      <c r="S32" s="1246"/>
      <c r="T32" s="1246"/>
      <c r="U32" s="1248"/>
      <c r="V32" s="1238"/>
      <c r="W32" s="1235">
        <f t="shared" si="2"/>
        <v>0</v>
      </c>
      <c r="X32" s="1246"/>
      <c r="Y32" s="1246"/>
      <c r="Z32" s="1246"/>
      <c r="AA32" s="1246"/>
      <c r="AB32" s="1246"/>
      <c r="AC32" s="384"/>
      <c r="AD32" s="384"/>
    </row>
    <row r="33" spans="1:30">
      <c r="A33" s="1267"/>
      <c r="B33" s="1253"/>
      <c r="C33" s="1235">
        <f t="shared" si="0"/>
        <v>0</v>
      </c>
      <c r="D33" s="1237"/>
      <c r="E33" s="1238"/>
      <c r="F33" s="1235">
        <f t="shared" si="1"/>
        <v>0</v>
      </c>
      <c r="G33" s="1246"/>
      <c r="H33" s="1246"/>
      <c r="I33" s="1246"/>
      <c r="J33" s="1246"/>
      <c r="K33" s="1246"/>
      <c r="L33" s="1246"/>
      <c r="M33" s="1246"/>
      <c r="N33" s="1246"/>
      <c r="O33" s="1246"/>
      <c r="P33" s="1246"/>
      <c r="Q33" s="1268"/>
      <c r="R33" s="1246"/>
      <c r="S33" s="1246"/>
      <c r="T33" s="1246"/>
      <c r="U33" s="1248"/>
      <c r="V33" s="1238"/>
      <c r="W33" s="1235">
        <f t="shared" si="2"/>
        <v>0</v>
      </c>
      <c r="X33" s="1246"/>
      <c r="Y33" s="1246"/>
      <c r="Z33" s="1246"/>
      <c r="AA33" s="1246"/>
      <c r="AB33" s="1246">
        <v>0</v>
      </c>
      <c r="AC33" s="384"/>
      <c r="AD33" s="384"/>
    </row>
    <row r="34" spans="1:30" ht="0.75" hidden="1" customHeight="1">
      <c r="A34" s="1256"/>
      <c r="B34" s="1254"/>
      <c r="C34" s="1235">
        <f t="shared" si="0"/>
        <v>0</v>
      </c>
      <c r="D34" s="1237"/>
      <c r="E34" s="1238"/>
      <c r="F34" s="1235">
        <f t="shared" si="1"/>
        <v>0</v>
      </c>
      <c r="G34" s="1246"/>
      <c r="H34" s="1246"/>
      <c r="I34" s="1246"/>
      <c r="J34" s="1246"/>
      <c r="K34" s="1246"/>
      <c r="L34" s="1246"/>
      <c r="M34" s="1246"/>
      <c r="N34" s="1246"/>
      <c r="O34" s="1246"/>
      <c r="P34" s="1246"/>
      <c r="Q34" s="1268"/>
      <c r="R34" s="1246"/>
      <c r="S34" s="1246"/>
      <c r="T34" s="1246"/>
      <c r="U34" s="1248"/>
      <c r="V34" s="1238"/>
      <c r="W34" s="1235">
        <f t="shared" si="2"/>
        <v>0</v>
      </c>
      <c r="X34" s="1246"/>
      <c r="Y34" s="1246"/>
      <c r="Z34" s="1246"/>
      <c r="AA34" s="1246"/>
      <c r="AB34" s="1246">
        <v>0</v>
      </c>
      <c r="AC34" s="384"/>
      <c r="AD34" s="384"/>
    </row>
    <row r="35" spans="1:30" ht="0.75" hidden="1" customHeight="1">
      <c r="A35" s="1249"/>
      <c r="B35" s="1254"/>
      <c r="C35" s="1235">
        <f t="shared" si="0"/>
        <v>0</v>
      </c>
      <c r="D35" s="1237"/>
      <c r="E35" s="1238"/>
      <c r="F35" s="1235">
        <f t="shared" si="1"/>
        <v>0</v>
      </c>
      <c r="G35" s="1235"/>
      <c r="H35" s="1235"/>
      <c r="I35" s="1241"/>
      <c r="J35" s="1235"/>
      <c r="K35" s="1235"/>
      <c r="L35" s="1246"/>
      <c r="M35" s="1235"/>
      <c r="N35" s="1235"/>
      <c r="O35" s="1235"/>
      <c r="P35" s="1246"/>
      <c r="Q35" s="1268"/>
      <c r="R35" s="1246"/>
      <c r="S35" s="1246"/>
      <c r="T35" s="1271"/>
      <c r="U35" s="1248"/>
      <c r="V35" s="1238"/>
      <c r="W35" s="1235">
        <f t="shared" si="2"/>
        <v>0</v>
      </c>
      <c r="X35" s="1246"/>
      <c r="Y35" s="1235"/>
      <c r="Z35" s="1246"/>
      <c r="AA35" s="1246"/>
      <c r="AB35" s="1271"/>
      <c r="AC35" s="384"/>
      <c r="AD35" s="384"/>
    </row>
    <row r="36" spans="1:30">
      <c r="A36" s="1256"/>
      <c r="B36" s="1254"/>
      <c r="C36" s="1235">
        <f t="shared" si="0"/>
        <v>0</v>
      </c>
      <c r="D36" s="1237"/>
      <c r="E36" s="1238"/>
      <c r="F36" s="1235">
        <f t="shared" si="1"/>
        <v>0</v>
      </c>
      <c r="G36" s="1235"/>
      <c r="H36" s="1235"/>
      <c r="I36" s="1241"/>
      <c r="J36" s="1235"/>
      <c r="K36" s="1235"/>
      <c r="L36" s="1246"/>
      <c r="M36" s="1235"/>
      <c r="N36" s="1235"/>
      <c r="O36" s="1235"/>
      <c r="P36" s="1235"/>
      <c r="Q36" s="1268"/>
      <c r="R36" s="1246"/>
      <c r="S36" s="1246"/>
      <c r="T36" s="1271"/>
      <c r="U36" s="1248"/>
      <c r="V36" s="1238"/>
      <c r="W36" s="1235">
        <f t="shared" si="2"/>
        <v>0</v>
      </c>
      <c r="X36" s="1246"/>
      <c r="Y36" s="1235"/>
      <c r="Z36" s="1235"/>
      <c r="AA36" s="1246"/>
      <c r="AB36" s="1271"/>
      <c r="AC36" s="384"/>
      <c r="AD36" s="384"/>
    </row>
    <row r="37" spans="1:30">
      <c r="A37" s="1256"/>
      <c r="B37" s="1254"/>
      <c r="C37" s="1235">
        <f t="shared" si="0"/>
        <v>0</v>
      </c>
      <c r="D37" s="1237"/>
      <c r="E37" s="1238"/>
      <c r="F37" s="1235">
        <f t="shared" si="1"/>
        <v>0</v>
      </c>
      <c r="G37" s="1235"/>
      <c r="H37" s="1235"/>
      <c r="I37" s="1241"/>
      <c r="J37" s="1235"/>
      <c r="K37" s="1235"/>
      <c r="L37" s="1246"/>
      <c r="M37" s="1235"/>
      <c r="N37" s="1235"/>
      <c r="O37" s="1235"/>
      <c r="P37" s="1235"/>
      <c r="Q37" s="1268"/>
      <c r="R37" s="1246"/>
      <c r="S37" s="1246"/>
      <c r="T37" s="1271"/>
      <c r="U37" s="1248"/>
      <c r="V37" s="1238"/>
      <c r="W37" s="1235">
        <f t="shared" si="2"/>
        <v>0</v>
      </c>
      <c r="X37" s="1246"/>
      <c r="Y37" s="1235"/>
      <c r="Z37" s="1235"/>
      <c r="AA37" s="1246"/>
      <c r="AB37" s="1271"/>
      <c r="AC37" s="384"/>
      <c r="AD37" s="384"/>
    </row>
    <row r="38" spans="1:30">
      <c r="A38" s="1256"/>
      <c r="B38" s="1254"/>
      <c r="C38" s="1235">
        <f t="shared" si="0"/>
        <v>0</v>
      </c>
      <c r="D38" s="1237"/>
      <c r="E38" s="1238"/>
      <c r="F38" s="1235">
        <f t="shared" si="1"/>
        <v>0</v>
      </c>
      <c r="G38" s="1235"/>
      <c r="H38" s="1235"/>
      <c r="I38" s="1241"/>
      <c r="J38" s="1235"/>
      <c r="K38" s="1235"/>
      <c r="L38" s="1246"/>
      <c r="M38" s="1235"/>
      <c r="N38" s="1235"/>
      <c r="O38" s="1235"/>
      <c r="P38" s="1235"/>
      <c r="Q38" s="1268"/>
      <c r="R38" s="1246"/>
      <c r="S38" s="1246"/>
      <c r="T38" s="1271"/>
      <c r="U38" s="1248"/>
      <c r="V38" s="1238"/>
      <c r="W38" s="1235">
        <f t="shared" si="2"/>
        <v>0</v>
      </c>
      <c r="X38" s="1246"/>
      <c r="Y38" s="1235"/>
      <c r="Z38" s="1235"/>
      <c r="AA38" s="1246"/>
      <c r="AB38" s="1271"/>
      <c r="AC38" s="384"/>
      <c r="AD38" s="384"/>
    </row>
    <row r="39" spans="1:30">
      <c r="A39" s="1256"/>
      <c r="B39" s="1254"/>
      <c r="C39" s="1235">
        <f t="shared" si="0"/>
        <v>0</v>
      </c>
      <c r="D39" s="1237"/>
      <c r="E39" s="1238"/>
      <c r="F39" s="1235">
        <f t="shared" si="1"/>
        <v>0</v>
      </c>
      <c r="G39" s="1235"/>
      <c r="H39" s="1235"/>
      <c r="I39" s="1241"/>
      <c r="J39" s="1235"/>
      <c r="K39" s="1235"/>
      <c r="L39" s="1246"/>
      <c r="M39" s="1235"/>
      <c r="N39" s="1235"/>
      <c r="O39" s="1235"/>
      <c r="P39" s="1235"/>
      <c r="Q39" s="1268"/>
      <c r="R39" s="1246"/>
      <c r="S39" s="1246"/>
      <c r="T39" s="1271"/>
      <c r="U39" s="1248"/>
      <c r="V39" s="1238"/>
      <c r="W39" s="1235">
        <f t="shared" si="2"/>
        <v>0</v>
      </c>
      <c r="X39" s="1246"/>
      <c r="Y39" s="1235"/>
      <c r="Z39" s="1235"/>
      <c r="AA39" s="1246"/>
      <c r="AB39" s="1271"/>
      <c r="AC39" s="384"/>
      <c r="AD39" s="384"/>
    </row>
    <row r="40" spans="1:30">
      <c r="A40" s="1256"/>
      <c r="B40" s="1254"/>
      <c r="C40" s="1235">
        <f t="shared" si="0"/>
        <v>0</v>
      </c>
      <c r="D40" s="1237"/>
      <c r="E40" s="1238"/>
      <c r="F40" s="1235">
        <f t="shared" si="1"/>
        <v>0</v>
      </c>
      <c r="G40" s="1235"/>
      <c r="H40" s="1235"/>
      <c r="I40" s="1241"/>
      <c r="J40" s="1235"/>
      <c r="K40" s="1235"/>
      <c r="L40" s="1246"/>
      <c r="M40" s="1235"/>
      <c r="N40" s="1235"/>
      <c r="O40" s="1235"/>
      <c r="P40" s="1246"/>
      <c r="Q40" s="1235"/>
      <c r="R40" s="1246"/>
      <c r="S40" s="1246"/>
      <c r="T40" s="1271"/>
      <c r="U40" s="1248"/>
      <c r="V40" s="1238"/>
      <c r="W40" s="1235">
        <f t="shared" si="2"/>
        <v>0</v>
      </c>
      <c r="X40" s="1246"/>
      <c r="Y40" s="1235"/>
      <c r="Z40" s="1246"/>
      <c r="AA40" s="1246"/>
      <c r="AB40" s="1271"/>
      <c r="AC40" s="384"/>
      <c r="AD40" s="384"/>
    </row>
    <row r="41" spans="1:30">
      <c r="A41" s="1256"/>
      <c r="B41" s="1254"/>
      <c r="C41" s="1235">
        <f t="shared" si="0"/>
        <v>0</v>
      </c>
      <c r="D41" s="1237"/>
      <c r="E41" s="1238"/>
      <c r="F41" s="1235">
        <f t="shared" si="1"/>
        <v>0</v>
      </c>
      <c r="G41" s="1235"/>
      <c r="H41" s="1235"/>
      <c r="I41" s="1241"/>
      <c r="J41" s="1235"/>
      <c r="K41" s="1235"/>
      <c r="L41" s="1246"/>
      <c r="M41" s="1235"/>
      <c r="N41" s="1235"/>
      <c r="O41" s="1235"/>
      <c r="P41" s="1246"/>
      <c r="Q41" s="1235"/>
      <c r="R41" s="1246"/>
      <c r="S41" s="1246"/>
      <c r="T41" s="1271"/>
      <c r="U41" s="1248"/>
      <c r="V41" s="1238"/>
      <c r="W41" s="1235">
        <f t="shared" si="2"/>
        <v>0</v>
      </c>
      <c r="X41" s="1246"/>
      <c r="Y41" s="1235"/>
      <c r="Z41" s="1246"/>
      <c r="AA41" s="1246"/>
      <c r="AB41" s="1271"/>
      <c r="AC41" s="384"/>
      <c r="AD41" s="384"/>
    </row>
    <row r="42" spans="1:30">
      <c r="A42" s="1256"/>
      <c r="B42" s="1254"/>
      <c r="C42" s="1235">
        <f t="shared" si="0"/>
        <v>0</v>
      </c>
      <c r="D42" s="1237"/>
      <c r="E42" s="1238"/>
      <c r="F42" s="1235">
        <f t="shared" si="1"/>
        <v>0</v>
      </c>
      <c r="G42" s="1235"/>
      <c r="H42" s="1235"/>
      <c r="I42" s="1241"/>
      <c r="J42" s="1235"/>
      <c r="K42" s="1235"/>
      <c r="L42" s="1246"/>
      <c r="M42" s="1235"/>
      <c r="N42" s="1235"/>
      <c r="O42" s="1235"/>
      <c r="P42" s="1246"/>
      <c r="Q42" s="1235"/>
      <c r="R42" s="1246"/>
      <c r="S42" s="1246"/>
      <c r="T42" s="1271"/>
      <c r="U42" s="1248"/>
      <c r="V42" s="1238"/>
      <c r="W42" s="1235">
        <f t="shared" si="2"/>
        <v>0</v>
      </c>
      <c r="X42" s="1246"/>
      <c r="Y42" s="1235"/>
      <c r="Z42" s="1246"/>
      <c r="AA42" s="1246"/>
      <c r="AB42" s="1271"/>
      <c r="AC42" s="384"/>
      <c r="AD42" s="384"/>
    </row>
    <row r="43" spans="1:30">
      <c r="A43" s="1256"/>
      <c r="B43" s="1254"/>
      <c r="C43" s="1235">
        <f t="shared" si="0"/>
        <v>0</v>
      </c>
      <c r="D43" s="1237"/>
      <c r="E43" s="1249"/>
      <c r="F43" s="1235">
        <f t="shared" si="1"/>
        <v>0</v>
      </c>
      <c r="G43" s="1235"/>
      <c r="H43" s="1235"/>
      <c r="I43" s="1241"/>
      <c r="J43" s="1235"/>
      <c r="K43" s="1235"/>
      <c r="L43" s="1246"/>
      <c r="M43" s="1235"/>
      <c r="N43" s="1235"/>
      <c r="O43" s="1235"/>
      <c r="P43" s="1246"/>
      <c r="Q43" s="1235"/>
      <c r="R43" s="1246"/>
      <c r="S43" s="1246"/>
      <c r="T43" s="1271"/>
      <c r="U43" s="1248"/>
      <c r="V43" s="1249"/>
      <c r="W43" s="1235">
        <f t="shared" si="2"/>
        <v>0</v>
      </c>
      <c r="X43" s="1246"/>
      <c r="Y43" s="1235"/>
      <c r="Z43" s="1246"/>
      <c r="AA43" s="1246"/>
      <c r="AB43" s="1271"/>
      <c r="AC43" s="384"/>
      <c r="AD43" s="384"/>
    </row>
    <row r="44" spans="1:30">
      <c r="A44" s="1256"/>
      <c r="B44" s="1254"/>
      <c r="C44" s="1235">
        <f t="shared" si="0"/>
        <v>0</v>
      </c>
      <c r="D44" s="1237"/>
      <c r="E44" s="1249"/>
      <c r="F44" s="1235">
        <f t="shared" si="1"/>
        <v>0</v>
      </c>
      <c r="G44" s="1235"/>
      <c r="H44" s="1235"/>
      <c r="I44" s="1241"/>
      <c r="J44" s="1235"/>
      <c r="K44" s="1235"/>
      <c r="L44" s="1246"/>
      <c r="M44" s="1235"/>
      <c r="N44" s="1235"/>
      <c r="O44" s="1235"/>
      <c r="P44" s="1246"/>
      <c r="Q44" s="1235"/>
      <c r="R44" s="1246"/>
      <c r="S44" s="1246"/>
      <c r="T44" s="1271"/>
      <c r="U44" s="1248"/>
      <c r="V44" s="1249"/>
      <c r="W44" s="1235">
        <f t="shared" si="2"/>
        <v>0</v>
      </c>
      <c r="X44" s="1246"/>
      <c r="Y44" s="1235"/>
      <c r="Z44" s="1246"/>
      <c r="AA44" s="1246"/>
      <c r="AB44" s="1271"/>
      <c r="AC44" s="384"/>
      <c r="AD44" s="384"/>
    </row>
    <row r="45" spans="1:30">
      <c r="A45" s="1256"/>
      <c r="B45" s="1254"/>
      <c r="C45" s="1235">
        <f t="shared" si="0"/>
        <v>0</v>
      </c>
      <c r="D45" s="1237"/>
      <c r="E45" s="1249"/>
      <c r="F45" s="1235">
        <f t="shared" si="1"/>
        <v>0</v>
      </c>
      <c r="G45" s="1235"/>
      <c r="H45" s="1235"/>
      <c r="I45" s="1241"/>
      <c r="J45" s="1235"/>
      <c r="K45" s="1235"/>
      <c r="L45" s="1246"/>
      <c r="M45" s="1235"/>
      <c r="N45" s="1235"/>
      <c r="O45" s="1235"/>
      <c r="P45" s="1246"/>
      <c r="Q45" s="1235"/>
      <c r="R45" s="1246"/>
      <c r="S45" s="1246"/>
      <c r="T45" s="1271"/>
      <c r="U45" s="1248"/>
      <c r="V45" s="1249"/>
      <c r="W45" s="1235">
        <f t="shared" si="2"/>
        <v>0</v>
      </c>
      <c r="X45" s="1246"/>
      <c r="Y45" s="1235"/>
      <c r="Z45" s="1246"/>
      <c r="AA45" s="1246"/>
      <c r="AB45" s="1271"/>
      <c r="AC45" s="384"/>
      <c r="AD45" s="384"/>
    </row>
    <row r="46" spans="1:30">
      <c r="A46" s="1256"/>
      <c r="B46" s="1254"/>
      <c r="C46" s="1235">
        <f t="shared" si="0"/>
        <v>0</v>
      </c>
      <c r="D46" s="1237"/>
      <c r="E46" s="1249"/>
      <c r="F46" s="1235">
        <f t="shared" si="1"/>
        <v>0</v>
      </c>
      <c r="G46" s="1235"/>
      <c r="H46" s="1235"/>
      <c r="I46" s="1241"/>
      <c r="J46" s="1235"/>
      <c r="K46" s="1235"/>
      <c r="L46" s="1246"/>
      <c r="M46" s="1235"/>
      <c r="N46" s="1235"/>
      <c r="O46" s="1235"/>
      <c r="P46" s="1246"/>
      <c r="Q46" s="1235"/>
      <c r="R46" s="1246"/>
      <c r="S46" s="1246"/>
      <c r="T46" s="1271"/>
      <c r="U46" s="1248"/>
      <c r="V46" s="1249"/>
      <c r="W46" s="1235">
        <f t="shared" si="2"/>
        <v>0</v>
      </c>
      <c r="X46" s="1246"/>
      <c r="Y46" s="1235"/>
      <c r="Z46" s="1246"/>
      <c r="AA46" s="1246"/>
      <c r="AB46" s="1271"/>
      <c r="AC46" s="384"/>
      <c r="AD46" s="384"/>
    </row>
    <row r="47" spans="1:30">
      <c r="A47" s="1256"/>
      <c r="B47" s="1254"/>
      <c r="C47" s="1235">
        <f t="shared" si="0"/>
        <v>0</v>
      </c>
      <c r="D47" s="1237"/>
      <c r="E47" s="1249"/>
      <c r="F47" s="1235">
        <f t="shared" si="1"/>
        <v>0</v>
      </c>
      <c r="G47" s="1235"/>
      <c r="H47" s="1235"/>
      <c r="I47" s="1241"/>
      <c r="J47" s="1235"/>
      <c r="K47" s="1235"/>
      <c r="L47" s="1246"/>
      <c r="M47" s="1235"/>
      <c r="N47" s="1235"/>
      <c r="O47" s="1235"/>
      <c r="P47" s="1246"/>
      <c r="Q47" s="1235"/>
      <c r="R47" s="1246"/>
      <c r="S47" s="1246"/>
      <c r="T47" s="1271"/>
      <c r="U47" s="1248"/>
      <c r="V47" s="1249"/>
      <c r="W47" s="1235">
        <f t="shared" si="2"/>
        <v>0</v>
      </c>
      <c r="X47" s="1246"/>
      <c r="Y47" s="1235"/>
      <c r="Z47" s="1246"/>
      <c r="AA47" s="1246"/>
      <c r="AB47" s="1271"/>
      <c r="AC47" s="384"/>
      <c r="AD47" s="384"/>
    </row>
    <row r="48" spans="1:30">
      <c r="A48" s="1256"/>
      <c r="B48" s="1254"/>
      <c r="C48" s="1235">
        <f t="shared" si="0"/>
        <v>0</v>
      </c>
      <c r="D48" s="1237"/>
      <c r="E48" s="1249"/>
      <c r="F48" s="1235">
        <f t="shared" si="1"/>
        <v>0</v>
      </c>
      <c r="G48" s="1235"/>
      <c r="H48" s="1235"/>
      <c r="I48" s="1241"/>
      <c r="J48" s="1235"/>
      <c r="K48" s="1235"/>
      <c r="L48" s="1246"/>
      <c r="M48" s="1235"/>
      <c r="N48" s="1235"/>
      <c r="O48" s="1235"/>
      <c r="P48" s="1246"/>
      <c r="Q48" s="1235"/>
      <c r="R48" s="1246"/>
      <c r="S48" s="1246"/>
      <c r="T48" s="1271"/>
      <c r="U48" s="1248"/>
      <c r="V48" s="1249"/>
      <c r="W48" s="1235">
        <f t="shared" si="2"/>
        <v>0</v>
      </c>
      <c r="X48" s="1246"/>
      <c r="Y48" s="1235"/>
      <c r="Z48" s="1246"/>
      <c r="AA48" s="1246"/>
      <c r="AB48" s="1271"/>
      <c r="AC48" s="384"/>
      <c r="AD48" s="384"/>
    </row>
    <row r="49" spans="1:30">
      <c r="A49" s="1256"/>
      <c r="B49" s="1257"/>
      <c r="C49" s="1235">
        <f t="shared" si="0"/>
        <v>0</v>
      </c>
      <c r="D49" s="1237"/>
      <c r="E49" s="1238"/>
      <c r="F49" s="1235">
        <f t="shared" si="1"/>
        <v>0</v>
      </c>
      <c r="G49" s="1235"/>
      <c r="H49" s="1235"/>
      <c r="I49" s="1235"/>
      <c r="J49" s="1235"/>
      <c r="K49" s="1235"/>
      <c r="L49" s="1246"/>
      <c r="M49" s="1235"/>
      <c r="N49" s="1235"/>
      <c r="O49" s="1235"/>
      <c r="P49" s="1246"/>
      <c r="Q49" s="1235"/>
      <c r="R49" s="1246"/>
      <c r="S49" s="1246"/>
      <c r="T49" s="1271"/>
      <c r="U49" s="1248"/>
      <c r="V49" s="1238"/>
      <c r="W49" s="1235">
        <f t="shared" si="2"/>
        <v>0</v>
      </c>
      <c r="X49" s="1246"/>
      <c r="Y49" s="1235"/>
      <c r="Z49" s="1246"/>
      <c r="AA49" s="1246"/>
      <c r="AB49" s="1271"/>
      <c r="AC49" s="384"/>
      <c r="AD49" s="384"/>
    </row>
    <row r="50" spans="1:30">
      <c r="A50" s="1258"/>
      <c r="B50" s="1259" t="s">
        <v>17</v>
      </c>
      <c r="C50" s="1272">
        <f>SUM(C15:C49)</f>
        <v>624000</v>
      </c>
      <c r="D50" s="1273"/>
      <c r="E50" s="1273"/>
      <c r="F50" s="1273">
        <f>SUM(F15:F49)</f>
        <v>624000</v>
      </c>
      <c r="G50" s="1273">
        <f t="shared" ref="G50:N50" si="3">SUM(G17:G49)</f>
        <v>420000</v>
      </c>
      <c r="H50" s="1273">
        <f t="shared" si="3"/>
        <v>0</v>
      </c>
      <c r="I50" s="1273">
        <f t="shared" si="3"/>
        <v>624000</v>
      </c>
      <c r="J50" s="1273">
        <f t="shared" si="3"/>
        <v>0</v>
      </c>
      <c r="K50" s="1273">
        <f t="shared" si="3"/>
        <v>0</v>
      </c>
      <c r="L50" s="1273">
        <f t="shared" si="3"/>
        <v>624000</v>
      </c>
      <c r="M50" s="1273">
        <f t="shared" si="3"/>
        <v>0</v>
      </c>
      <c r="N50" s="1273">
        <f t="shared" si="3"/>
        <v>420000</v>
      </c>
      <c r="O50" s="1273">
        <f>SUM(O14:O49)</f>
        <v>2</v>
      </c>
      <c r="P50" s="1273">
        <f>SUM(P14:P49)</f>
        <v>624000</v>
      </c>
      <c r="Q50" s="1273">
        <f>SUM(Q14:Q49)</f>
        <v>0</v>
      </c>
      <c r="R50" s="1273">
        <f>SUM(R14:R49)</f>
        <v>216000</v>
      </c>
      <c r="S50" s="1273">
        <f>SUM(S17:S49)</f>
        <v>408000</v>
      </c>
      <c r="T50" s="1274">
        <f>W50-L50</f>
        <v>0</v>
      </c>
      <c r="U50" s="1273"/>
      <c r="V50" s="1273"/>
      <c r="W50" s="1273">
        <f>SUM(W14:W49)</f>
        <v>624000</v>
      </c>
      <c r="X50" s="1273">
        <f>SUM(X14:X49)</f>
        <v>624000</v>
      </c>
      <c r="Y50" s="1273">
        <f>SUM(Y14:Y49)</f>
        <v>420000</v>
      </c>
      <c r="Z50" s="1273">
        <f>SUM(Z14:Z49)</f>
        <v>624000</v>
      </c>
      <c r="AA50" s="1273">
        <f>SUM(AA14:AA49)</f>
        <v>216000</v>
      </c>
      <c r="AB50" s="1273">
        <f>SUM(AB17:AB49)</f>
        <v>624000</v>
      </c>
      <c r="AC50" s="384"/>
      <c r="AD50" s="384"/>
    </row>
    <row r="51" spans="1:30">
      <c r="A51" s="161"/>
      <c r="B51" s="162"/>
      <c r="F51" s="163"/>
      <c r="G51" s="163"/>
      <c r="H51" s="163"/>
      <c r="I51" s="163"/>
      <c r="J51" s="163"/>
      <c r="K51" s="163"/>
      <c r="L51" s="163"/>
      <c r="M51" s="163"/>
      <c r="N51" s="163"/>
      <c r="P51" s="163"/>
      <c r="Q51" s="67"/>
      <c r="R51" s="67"/>
      <c r="W51" s="163"/>
      <c r="AC51" s="384"/>
      <c r="AD51" s="384"/>
    </row>
    <row r="52" spans="1:30">
      <c r="A52" s="164"/>
      <c r="B52" s="162"/>
      <c r="F52" s="163"/>
      <c r="G52" s="163"/>
      <c r="H52" s="163"/>
      <c r="I52" s="163"/>
      <c r="J52" s="163"/>
      <c r="K52" s="163"/>
      <c r="L52" s="163"/>
      <c r="M52" s="163"/>
      <c r="N52" s="163"/>
      <c r="P52" s="163"/>
      <c r="Q52" s="67"/>
      <c r="R52" s="67"/>
      <c r="W52" s="163"/>
      <c r="AC52" s="384"/>
      <c r="AD52" s="384"/>
    </row>
    <row r="53" spans="1:30">
      <c r="F53" s="163"/>
      <c r="R53" s="67"/>
      <c r="W53" s="163"/>
      <c r="AC53" s="384"/>
      <c r="AD53" s="384"/>
    </row>
    <row r="54" spans="1:30">
      <c r="F54" s="163"/>
      <c r="P54" s="67">
        <v>624000</v>
      </c>
      <c r="Q54" s="68">
        <v>216000</v>
      </c>
      <c r="R54" s="67"/>
      <c r="W54" s="163"/>
      <c r="AC54" s="384"/>
      <c r="AD54" s="384"/>
    </row>
    <row r="55" spans="1:30">
      <c r="R55" s="67"/>
      <c r="AC55" s="384"/>
      <c r="AD55" s="384"/>
    </row>
    <row r="56" spans="1:30">
      <c r="A56" s="67" t="s">
        <v>59</v>
      </c>
      <c r="F56" s="163"/>
      <c r="W56" s="163"/>
      <c r="AC56" s="384"/>
      <c r="AD56" s="384"/>
    </row>
  </sheetData>
  <mergeCells count="7">
    <mergeCell ref="E1:F1"/>
    <mergeCell ref="Z8:Z12"/>
    <mergeCell ref="AA8:AA12"/>
    <mergeCell ref="AB8:AB12"/>
    <mergeCell ref="D6:E6"/>
    <mergeCell ref="X8:X12"/>
    <mergeCell ref="Y8:Y12"/>
  </mergeCells>
  <conditionalFormatting sqref="U8:W9 X8:AC12">
    <cfRule type="cellIs" dxfId="15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A1:AE55"/>
  <sheetViews>
    <sheetView showGridLines="0" showZeros="0" topLeftCell="M1" workbookViewId="0">
      <selection activeCell="Z16" sqref="Z16:Z21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8.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65" t="s">
        <v>574</v>
      </c>
      <c r="C2" s="65"/>
      <c r="D2" s="65"/>
      <c r="E2" s="65"/>
      <c r="F2" s="65"/>
      <c r="G2" s="65"/>
      <c r="H2" s="66"/>
      <c r="I2" s="66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076"/>
      <c r="I3" s="1076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>
      <c r="A4" s="1225" t="s">
        <v>61</v>
      </c>
      <c r="B4" s="66" t="s">
        <v>573</v>
      </c>
      <c r="C4" s="1947" t="s">
        <v>81</v>
      </c>
      <c r="D4" s="216"/>
      <c r="E4" s="216"/>
      <c r="F4" s="217"/>
      <c r="G4" s="1075"/>
      <c r="H4" s="1075"/>
      <c r="I4" s="1075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3">
        <v>201000825</v>
      </c>
      <c r="C5" s="1076"/>
      <c r="D5" s="1076"/>
      <c r="E5" s="1076"/>
      <c r="F5" s="1075"/>
      <c r="G5" s="1075"/>
      <c r="H5" s="1079"/>
      <c r="I5" s="1079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 ht="15.75">
      <c r="A6" s="1078" t="s">
        <v>51</v>
      </c>
      <c r="B6" s="74"/>
      <c r="C6" s="1076"/>
      <c r="D6" s="2433"/>
      <c r="E6" s="2433"/>
      <c r="F6" s="1075"/>
      <c r="G6" s="1075"/>
      <c r="H6" s="1209"/>
      <c r="I6" s="1227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10.5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107"/>
      <c r="V9" s="108"/>
      <c r="W9" s="109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110" t="s">
        <v>86</v>
      </c>
      <c r="Y13" s="1110"/>
      <c r="Z13" s="1110"/>
      <c r="AA13" s="1110"/>
      <c r="AB13" s="1110"/>
    </row>
    <row r="14" spans="1:31">
      <c r="A14" s="1284"/>
      <c r="B14" s="1284"/>
      <c r="C14" s="1241"/>
      <c r="D14" s="1241"/>
      <c r="E14" s="1241"/>
      <c r="F14" s="1235"/>
      <c r="G14" s="1235"/>
      <c r="H14" s="1235"/>
      <c r="I14" s="1235"/>
      <c r="J14" s="1235"/>
      <c r="K14" s="1235"/>
      <c r="L14" s="1235"/>
      <c r="M14" s="1235"/>
      <c r="N14" s="1235"/>
      <c r="O14" s="1241"/>
      <c r="P14" s="1235"/>
      <c r="Q14" s="1241"/>
      <c r="R14" s="1241"/>
      <c r="S14" s="1285"/>
      <c r="T14" s="1286"/>
      <c r="U14" s="1241"/>
      <c r="V14" s="1241"/>
      <c r="W14" s="1235"/>
      <c r="X14" s="1235"/>
      <c r="Y14" s="1235"/>
      <c r="Z14" s="1235"/>
      <c r="AA14" s="1241"/>
      <c r="AB14" s="1286"/>
    </row>
    <row r="15" spans="1:31">
      <c r="A15" s="1279"/>
      <c r="B15" s="1284"/>
      <c r="C15" s="1241"/>
      <c r="D15" s="1278"/>
      <c r="E15" s="1279"/>
      <c r="F15" s="1235"/>
      <c r="G15" s="1235"/>
      <c r="H15" s="1235"/>
      <c r="I15" s="1235"/>
      <c r="J15" s="1235"/>
      <c r="K15" s="1235"/>
      <c r="L15" s="1235"/>
      <c r="M15" s="1235"/>
      <c r="N15" s="1235"/>
      <c r="O15" s="1241"/>
      <c r="P15" s="1235"/>
      <c r="Q15" s="1241"/>
      <c r="R15" s="1241"/>
      <c r="S15" s="1285"/>
      <c r="T15" s="1286"/>
      <c r="U15" s="1241"/>
      <c r="V15" s="1279"/>
      <c r="W15" s="1235"/>
      <c r="X15" s="1235"/>
      <c r="Y15" s="1235"/>
      <c r="Z15" s="1235"/>
      <c r="AA15" s="1241"/>
      <c r="AB15" s="1286"/>
    </row>
    <row r="16" spans="1:31">
      <c r="A16" s="1238">
        <v>1</v>
      </c>
      <c r="B16" s="1236" t="s">
        <v>572</v>
      </c>
      <c r="C16" s="1235">
        <f>D16:D48*E16</f>
        <v>129000</v>
      </c>
      <c r="D16" s="1237">
        <f>107500*1.2</f>
        <v>129000</v>
      </c>
      <c r="E16" s="1238">
        <v>1</v>
      </c>
      <c r="F16" s="1235">
        <f>D16:D48*E16</f>
        <v>129000</v>
      </c>
      <c r="G16" s="1235">
        <v>96907.57</v>
      </c>
      <c r="H16" s="1235" t="s">
        <v>94</v>
      </c>
      <c r="I16" s="1235">
        <f>W16</f>
        <v>129000</v>
      </c>
      <c r="J16" s="1235"/>
      <c r="K16" s="1235"/>
      <c r="L16" s="1235">
        <f t="shared" ref="L16:L26" si="0">+I16-J16+K16</f>
        <v>129000</v>
      </c>
      <c r="M16" s="1235"/>
      <c r="N16" s="1235">
        <v>96907.57</v>
      </c>
      <c r="O16" s="1235">
        <v>1</v>
      </c>
      <c r="P16" s="1235">
        <f>+O16*U16</f>
        <v>129000</v>
      </c>
      <c r="Q16" s="1235">
        <v>0.9</v>
      </c>
      <c r="R16" s="1241">
        <f>+Q16*D16</f>
        <v>116100</v>
      </c>
      <c r="S16" s="1241">
        <f t="shared" ref="S16:S21" si="1">+P16-R16</f>
        <v>12900</v>
      </c>
      <c r="T16" s="1269"/>
      <c r="U16" s="1237">
        <f>107500*1.2</f>
        <v>129000</v>
      </c>
      <c r="V16" s="1238">
        <v>1</v>
      </c>
      <c r="W16" s="1235">
        <f>U16:U48*V16</f>
        <v>129000</v>
      </c>
      <c r="X16" s="1235">
        <v>129000</v>
      </c>
      <c r="Y16" s="1235">
        <v>96907.57</v>
      </c>
      <c r="Z16" s="1235">
        <v>129000</v>
      </c>
      <c r="AA16" s="1241">
        <v>116100</v>
      </c>
      <c r="AB16" s="1269">
        <v>129000</v>
      </c>
    </row>
    <row r="17" spans="1:30" ht="12.75" hidden="1" customHeight="1">
      <c r="A17" s="1280"/>
      <c r="B17" s="1275"/>
      <c r="C17" s="1235"/>
      <c r="D17" s="1270"/>
      <c r="E17" s="1238"/>
      <c r="F17" s="1235"/>
      <c r="G17" s="1235"/>
      <c r="H17" s="1235"/>
      <c r="I17" s="1235"/>
      <c r="J17" s="1235"/>
      <c r="K17" s="1235"/>
      <c r="L17" s="1235">
        <f t="shared" si="0"/>
        <v>0</v>
      </c>
      <c r="M17" s="1235"/>
      <c r="N17" s="1235"/>
      <c r="O17" s="1235"/>
      <c r="P17" s="1235"/>
      <c r="Q17" s="1235"/>
      <c r="R17" s="1241">
        <f>+Q17*D17</f>
        <v>0</v>
      </c>
      <c r="S17" s="1241">
        <f t="shared" si="1"/>
        <v>0</v>
      </c>
      <c r="T17" s="1271"/>
      <c r="U17" s="1270"/>
      <c r="V17" s="1238"/>
      <c r="W17" s="1235"/>
      <c r="X17" s="1235">
        <v>0</v>
      </c>
      <c r="Y17" s="1235"/>
      <c r="Z17" s="1235"/>
      <c r="AA17" s="1241">
        <v>0</v>
      </c>
      <c r="AB17" s="1271"/>
      <c r="AC17" s="384"/>
      <c r="AD17" s="384"/>
    </row>
    <row r="18" spans="1:30" ht="12.75" hidden="1" customHeight="1">
      <c r="A18" s="1281"/>
      <c r="B18" s="1275"/>
      <c r="C18" s="1235"/>
      <c r="D18" s="1270"/>
      <c r="E18" s="1238"/>
      <c r="F18" s="1235"/>
      <c r="G18" s="1235"/>
      <c r="H18" s="1235"/>
      <c r="I18" s="1235"/>
      <c r="J18" s="1235"/>
      <c r="K18" s="1235"/>
      <c r="L18" s="1235">
        <f t="shared" si="0"/>
        <v>0</v>
      </c>
      <c r="M18" s="1235"/>
      <c r="N18" s="1235"/>
      <c r="O18" s="1235"/>
      <c r="P18" s="1235"/>
      <c r="Q18" s="1235"/>
      <c r="R18" s="1241">
        <f>+Q18*D18</f>
        <v>0</v>
      </c>
      <c r="S18" s="1241">
        <f t="shared" si="1"/>
        <v>0</v>
      </c>
      <c r="T18" s="1271"/>
      <c r="U18" s="1270"/>
      <c r="V18" s="1238"/>
      <c r="W18" s="1235"/>
      <c r="X18" s="1235">
        <v>0</v>
      </c>
      <c r="Y18" s="1235"/>
      <c r="Z18" s="1235"/>
      <c r="AA18" s="1241">
        <v>0</v>
      </c>
      <c r="AB18" s="1271"/>
      <c r="AC18" s="384"/>
      <c r="AD18" s="384"/>
    </row>
    <row r="19" spans="1:30" ht="22.5">
      <c r="A19" s="1282">
        <v>2</v>
      </c>
      <c r="B19" s="1236" t="s">
        <v>571</v>
      </c>
      <c r="C19" s="1235">
        <f t="shared" ref="C19:C48" si="2">D19*E19</f>
        <v>387000</v>
      </c>
      <c r="D19" s="1237">
        <f>322500*1.2</f>
        <v>387000</v>
      </c>
      <c r="E19" s="1238">
        <v>1</v>
      </c>
      <c r="F19" s="1235">
        <f t="shared" ref="F19:F48" si="3">D19*E19</f>
        <v>387000</v>
      </c>
      <c r="G19" s="1246"/>
      <c r="H19" s="1246"/>
      <c r="I19" s="1246">
        <f>W19</f>
        <v>387000</v>
      </c>
      <c r="J19" s="1246"/>
      <c r="K19" s="1235"/>
      <c r="L19" s="1289">
        <f t="shared" si="0"/>
        <v>387000</v>
      </c>
      <c r="M19" s="1246"/>
      <c r="N19" s="1246"/>
      <c r="O19" s="1246">
        <v>1</v>
      </c>
      <c r="P19" s="1235">
        <f>+O19*U19</f>
        <v>387000</v>
      </c>
      <c r="Q19" s="1235">
        <v>0.9</v>
      </c>
      <c r="R19" s="1241">
        <f>+Q19*D19</f>
        <v>348300</v>
      </c>
      <c r="S19" s="1241">
        <f t="shared" si="1"/>
        <v>38700</v>
      </c>
      <c r="T19" s="1246"/>
      <c r="U19" s="1237">
        <f>322500*1.2</f>
        <v>387000</v>
      </c>
      <c r="V19" s="1238">
        <v>1</v>
      </c>
      <c r="W19" s="1235">
        <f t="shared" ref="W19:W48" si="4">U19*V19</f>
        <v>387000</v>
      </c>
      <c r="X19" s="1235">
        <v>387000</v>
      </c>
      <c r="Y19" s="1246"/>
      <c r="Z19" s="1243">
        <v>387000</v>
      </c>
      <c r="AA19" s="1235">
        <v>348300</v>
      </c>
      <c r="AB19" s="1246">
        <v>387000</v>
      </c>
      <c r="AC19" s="384"/>
      <c r="AD19" s="384"/>
    </row>
    <row r="20" spans="1:30">
      <c r="A20" s="1249">
        <v>3</v>
      </c>
      <c r="B20" s="1244" t="s">
        <v>570</v>
      </c>
      <c r="C20" s="1245">
        <f t="shared" si="2"/>
        <v>344000.39999999997</v>
      </c>
      <c r="D20" s="1283">
        <f>286667*1.2</f>
        <v>344000.39999999997</v>
      </c>
      <c r="E20" s="1238">
        <v>1</v>
      </c>
      <c r="F20" s="1235">
        <f t="shared" si="3"/>
        <v>344000.39999999997</v>
      </c>
      <c r="G20" s="1246"/>
      <c r="H20" s="1246"/>
      <c r="I20" s="1246">
        <f>W20</f>
        <v>344000.39999999997</v>
      </c>
      <c r="J20" s="1246"/>
      <c r="K20" s="1246"/>
      <c r="L20" s="1235">
        <f t="shared" si="0"/>
        <v>344000.39999999997</v>
      </c>
      <c r="M20" s="1246"/>
      <c r="N20" s="1246"/>
      <c r="O20" s="1246">
        <v>1</v>
      </c>
      <c r="P20" s="1235">
        <f>+O20*U20</f>
        <v>344000.39999999997</v>
      </c>
      <c r="Q20" s="1235"/>
      <c r="R20" s="1241">
        <f>+Q20*D20</f>
        <v>0</v>
      </c>
      <c r="S20" s="1241">
        <f t="shared" si="1"/>
        <v>344000.39999999997</v>
      </c>
      <c r="T20" s="1246"/>
      <c r="U20" s="1237">
        <f>286667*1.2</f>
        <v>344000.39999999997</v>
      </c>
      <c r="V20" s="1238">
        <v>1</v>
      </c>
      <c r="W20" s="1235">
        <f t="shared" si="4"/>
        <v>344000.39999999997</v>
      </c>
      <c r="X20" s="1235">
        <v>344000.4</v>
      </c>
      <c r="Y20" s="1246"/>
      <c r="Z20" s="1235">
        <v>344000.4</v>
      </c>
      <c r="AA20" s="1246"/>
      <c r="AB20" s="1246">
        <v>344000.4</v>
      </c>
      <c r="AC20" s="384"/>
      <c r="AD20" s="384"/>
    </row>
    <row r="21" spans="1:30">
      <c r="A21" s="1249"/>
      <c r="B21" s="1290"/>
      <c r="C21" s="1235">
        <f t="shared" si="2"/>
        <v>0</v>
      </c>
      <c r="D21" s="1237"/>
      <c r="E21" s="1238"/>
      <c r="F21" s="1235">
        <f t="shared" si="3"/>
        <v>0</v>
      </c>
      <c r="G21" s="1246"/>
      <c r="H21" s="1246"/>
      <c r="I21" s="1246"/>
      <c r="J21" s="1246"/>
      <c r="K21" s="1246"/>
      <c r="L21" s="1235">
        <f t="shared" si="0"/>
        <v>0</v>
      </c>
      <c r="M21" s="1246"/>
      <c r="N21" s="1246"/>
      <c r="O21" s="1246"/>
      <c r="P21" s="1235"/>
      <c r="Q21" s="1245"/>
      <c r="R21" s="1246"/>
      <c r="S21" s="1241">
        <f t="shared" si="1"/>
        <v>0</v>
      </c>
      <c r="T21" s="1246"/>
      <c r="U21" s="1248"/>
      <c r="V21" s="1238"/>
      <c r="W21" s="1235">
        <f t="shared" si="4"/>
        <v>0</v>
      </c>
      <c r="X21" s="1246"/>
      <c r="Y21" s="1246"/>
      <c r="Z21" s="1235"/>
      <c r="AA21" s="1246"/>
      <c r="AB21" s="1246"/>
      <c r="AC21" s="384"/>
      <c r="AD21" s="384"/>
    </row>
    <row r="22" spans="1:30">
      <c r="A22" s="1238"/>
      <c r="B22" s="1291"/>
      <c r="C22" s="1235">
        <f t="shared" si="2"/>
        <v>0</v>
      </c>
      <c r="D22" s="1237"/>
      <c r="E22" s="1238"/>
      <c r="F22" s="1235">
        <f t="shared" si="3"/>
        <v>0</v>
      </c>
      <c r="G22" s="1246"/>
      <c r="H22" s="1246"/>
      <c r="I22" s="1246"/>
      <c r="J22" s="1246"/>
      <c r="K22" s="1246"/>
      <c r="L22" s="1235">
        <f t="shared" si="0"/>
        <v>0</v>
      </c>
      <c r="M22" s="1246"/>
      <c r="N22" s="1246"/>
      <c r="O22" s="1246"/>
      <c r="P22" s="1246"/>
      <c r="Q22" s="1245"/>
      <c r="R22" s="1246"/>
      <c r="S22" s="1246"/>
      <c r="T22" s="1246"/>
      <c r="U22" s="1248"/>
      <c r="V22" s="1238"/>
      <c r="W22" s="1235">
        <f t="shared" si="4"/>
        <v>0</v>
      </c>
      <c r="X22" s="1246"/>
      <c r="Y22" s="1246"/>
      <c r="Z22" s="1246"/>
      <c r="AA22" s="1246"/>
      <c r="AB22" s="1246"/>
      <c r="AC22" s="384"/>
      <c r="AD22" s="384"/>
    </row>
    <row r="23" spans="1:30" ht="12.75" hidden="1" customHeight="1">
      <c r="A23" s="1238"/>
      <c r="B23" s="1291"/>
      <c r="C23" s="1235">
        <f t="shared" si="2"/>
        <v>0</v>
      </c>
      <c r="D23" s="1237"/>
      <c r="E23" s="1249"/>
      <c r="F23" s="1235">
        <f t="shared" si="3"/>
        <v>0</v>
      </c>
      <c r="G23" s="1246"/>
      <c r="H23" s="1246"/>
      <c r="I23" s="1246"/>
      <c r="J23" s="1246"/>
      <c r="K23" s="1246"/>
      <c r="L23" s="1235">
        <f t="shared" si="0"/>
        <v>0</v>
      </c>
      <c r="M23" s="1246"/>
      <c r="N23" s="1246"/>
      <c r="O23" s="1246"/>
      <c r="P23" s="1246"/>
      <c r="Q23" s="1250"/>
      <c r="R23" s="1235"/>
      <c r="S23" s="1246"/>
      <c r="T23" s="1246"/>
      <c r="U23" s="1248"/>
      <c r="V23" s="1249"/>
      <c r="W23" s="1235">
        <f t="shared" si="4"/>
        <v>0</v>
      </c>
      <c r="X23" s="1246"/>
      <c r="Y23" s="1246"/>
      <c r="Z23" s="1246"/>
      <c r="AA23" s="1235"/>
      <c r="AB23" s="1246"/>
      <c r="AC23" s="384"/>
      <c r="AD23" s="384"/>
    </row>
    <row r="24" spans="1:30" ht="0.75" hidden="1" customHeight="1">
      <c r="A24" s="1280"/>
      <c r="B24" s="1287"/>
      <c r="C24" s="1235">
        <f t="shared" si="2"/>
        <v>0</v>
      </c>
      <c r="D24" s="1237"/>
      <c r="E24" s="1238"/>
      <c r="F24" s="1235">
        <f t="shared" si="3"/>
        <v>0</v>
      </c>
      <c r="G24" s="1246"/>
      <c r="H24" s="1246"/>
      <c r="I24" s="1246"/>
      <c r="J24" s="1246"/>
      <c r="K24" s="1246"/>
      <c r="L24" s="1235">
        <f t="shared" si="0"/>
        <v>0</v>
      </c>
      <c r="M24" s="1246"/>
      <c r="N24" s="1246"/>
      <c r="O24" s="1246"/>
      <c r="P24" s="1235"/>
      <c r="Q24" s="1245"/>
      <c r="R24" s="1235"/>
      <c r="S24" s="1246">
        <f>+P24-R24</f>
        <v>0</v>
      </c>
      <c r="T24" s="1246"/>
      <c r="U24" s="1248"/>
      <c r="V24" s="1238"/>
      <c r="W24" s="1235">
        <f t="shared" si="4"/>
        <v>0</v>
      </c>
      <c r="X24" s="1246"/>
      <c r="Y24" s="1246"/>
      <c r="Z24" s="1235"/>
      <c r="AA24" s="1235"/>
      <c r="AB24" s="1246"/>
      <c r="AC24" s="384"/>
      <c r="AD24" s="384"/>
    </row>
    <row r="25" spans="1:30" ht="12.75" hidden="1" customHeight="1">
      <c r="A25" s="1280"/>
      <c r="B25" s="1291"/>
      <c r="C25" s="1235">
        <f t="shared" si="2"/>
        <v>0</v>
      </c>
      <c r="D25" s="1237"/>
      <c r="E25" s="1238"/>
      <c r="F25" s="1235">
        <f t="shared" si="3"/>
        <v>0</v>
      </c>
      <c r="G25" s="1246"/>
      <c r="H25" s="1246"/>
      <c r="I25" s="1246"/>
      <c r="J25" s="1246"/>
      <c r="K25" s="1246"/>
      <c r="L25" s="1235">
        <f t="shared" si="0"/>
        <v>0</v>
      </c>
      <c r="M25" s="1246"/>
      <c r="N25" s="1246"/>
      <c r="O25" s="1246"/>
      <c r="P25" s="1246"/>
      <c r="Q25" s="1245"/>
      <c r="R25" s="1235"/>
      <c r="S25" s="1246">
        <f>+P25-R25</f>
        <v>0</v>
      </c>
      <c r="T25" s="1246"/>
      <c r="U25" s="1248"/>
      <c r="V25" s="1238"/>
      <c r="W25" s="1235">
        <f t="shared" si="4"/>
        <v>0</v>
      </c>
      <c r="X25" s="1246"/>
      <c r="Y25" s="1246"/>
      <c r="Z25" s="1246"/>
      <c r="AA25" s="1235"/>
      <c r="AB25" s="1246"/>
      <c r="AC25" s="384"/>
      <c r="AD25" s="384"/>
    </row>
    <row r="26" spans="1:30">
      <c r="A26" s="1238"/>
      <c r="B26" s="1248"/>
      <c r="C26" s="1235">
        <f t="shared" si="2"/>
        <v>0</v>
      </c>
      <c r="D26" s="1237"/>
      <c r="E26" s="1238"/>
      <c r="F26" s="1235">
        <f t="shared" si="3"/>
        <v>0</v>
      </c>
      <c r="G26" s="1246"/>
      <c r="H26" s="1246"/>
      <c r="I26" s="1246"/>
      <c r="J26" s="1246"/>
      <c r="K26" s="1246"/>
      <c r="L26" s="1235">
        <f t="shared" si="0"/>
        <v>0</v>
      </c>
      <c r="M26" s="1246"/>
      <c r="N26" s="1246"/>
      <c r="O26" s="1246"/>
      <c r="P26" s="1246"/>
      <c r="Q26" s="1245"/>
      <c r="R26" s="1235"/>
      <c r="S26" s="1246"/>
      <c r="T26" s="1246"/>
      <c r="U26" s="1248"/>
      <c r="V26" s="1238"/>
      <c r="W26" s="1235">
        <f t="shared" si="4"/>
        <v>0</v>
      </c>
      <c r="X26" s="1246"/>
      <c r="Y26" s="1246"/>
      <c r="Z26" s="1246"/>
      <c r="AA26" s="1235"/>
      <c r="AB26" s="1246"/>
      <c r="AC26" s="384"/>
      <c r="AD26" s="384"/>
    </row>
    <row r="27" spans="1:30" ht="12" customHeight="1">
      <c r="A27" s="1249"/>
      <c r="B27" s="1292"/>
      <c r="C27" s="1235">
        <f t="shared" si="2"/>
        <v>0</v>
      </c>
      <c r="D27" s="1237"/>
      <c r="E27" s="1238"/>
      <c r="F27" s="1235">
        <f t="shared" si="3"/>
        <v>0</v>
      </c>
      <c r="G27" s="1246"/>
      <c r="H27" s="1246"/>
      <c r="I27" s="1246"/>
      <c r="J27" s="1246"/>
      <c r="K27" s="1246"/>
      <c r="L27" s="1246"/>
      <c r="M27" s="1246"/>
      <c r="N27" s="1246"/>
      <c r="O27" s="1246"/>
      <c r="P27" s="1246"/>
      <c r="Q27" s="1245"/>
      <c r="R27" s="1246"/>
      <c r="S27" s="1246"/>
      <c r="T27" s="1246"/>
      <c r="U27" s="1248"/>
      <c r="V27" s="1238"/>
      <c r="W27" s="1235">
        <f t="shared" si="4"/>
        <v>0</v>
      </c>
      <c r="X27" s="1246"/>
      <c r="Y27" s="1246"/>
      <c r="Z27" s="1246"/>
      <c r="AA27" s="1246"/>
      <c r="AB27" s="1246"/>
      <c r="AC27" s="384"/>
      <c r="AD27" s="384"/>
    </row>
    <row r="28" spans="1:30">
      <c r="A28" s="1249"/>
      <c r="B28" s="1292"/>
      <c r="C28" s="1235">
        <f t="shared" si="2"/>
        <v>0</v>
      </c>
      <c r="D28" s="1237"/>
      <c r="E28" s="1238"/>
      <c r="F28" s="1235">
        <f t="shared" si="3"/>
        <v>0</v>
      </c>
      <c r="G28" s="1246"/>
      <c r="H28" s="1246"/>
      <c r="I28" s="1246"/>
      <c r="J28" s="1246"/>
      <c r="K28" s="1246"/>
      <c r="L28" s="1246"/>
      <c r="M28" s="1246"/>
      <c r="N28" s="1246"/>
      <c r="O28" s="1246"/>
      <c r="P28" s="1246"/>
      <c r="Q28" s="1245"/>
      <c r="R28" s="1246"/>
      <c r="S28" s="1246"/>
      <c r="T28" s="1246"/>
      <c r="U28" s="1248"/>
      <c r="V28" s="1238"/>
      <c r="W28" s="1235">
        <f t="shared" si="4"/>
        <v>0</v>
      </c>
      <c r="X28" s="1246"/>
      <c r="Y28" s="1246"/>
      <c r="Z28" s="1246"/>
      <c r="AA28" s="1246"/>
      <c r="AB28" s="1246"/>
      <c r="AC28" s="384"/>
      <c r="AD28" s="384"/>
    </row>
    <row r="29" spans="1:30">
      <c r="A29" s="1249"/>
      <c r="B29" s="1292"/>
      <c r="C29" s="1235">
        <f t="shared" si="2"/>
        <v>0</v>
      </c>
      <c r="D29" s="1237"/>
      <c r="E29" s="1238"/>
      <c r="F29" s="1235">
        <f t="shared" si="3"/>
        <v>0</v>
      </c>
      <c r="G29" s="1246"/>
      <c r="H29" s="1246"/>
      <c r="I29" s="1246"/>
      <c r="J29" s="1246"/>
      <c r="K29" s="1246"/>
      <c r="L29" s="1246"/>
      <c r="M29" s="1246"/>
      <c r="N29" s="1246"/>
      <c r="O29" s="1246"/>
      <c r="P29" s="1246"/>
      <c r="Q29" s="1245"/>
      <c r="R29" s="1246"/>
      <c r="S29" s="1246"/>
      <c r="T29" s="1246"/>
      <c r="U29" s="1248"/>
      <c r="V29" s="1238"/>
      <c r="W29" s="1235">
        <f t="shared" si="4"/>
        <v>0</v>
      </c>
      <c r="X29" s="1246"/>
      <c r="Y29" s="1246"/>
      <c r="Z29" s="1246"/>
      <c r="AA29" s="1246"/>
      <c r="AB29" s="1246"/>
      <c r="AC29" s="384"/>
      <c r="AD29" s="384"/>
    </row>
    <row r="30" spans="1:30">
      <c r="A30" s="1249"/>
      <c r="B30" s="1292"/>
      <c r="C30" s="1235">
        <f t="shared" si="2"/>
        <v>0</v>
      </c>
      <c r="D30" s="1237"/>
      <c r="E30" s="1238"/>
      <c r="F30" s="1235">
        <f t="shared" si="3"/>
        <v>0</v>
      </c>
      <c r="G30" s="1246"/>
      <c r="H30" s="1246"/>
      <c r="I30" s="1246"/>
      <c r="J30" s="1246"/>
      <c r="K30" s="1246"/>
      <c r="L30" s="1246"/>
      <c r="M30" s="1246"/>
      <c r="N30" s="1246"/>
      <c r="O30" s="1246"/>
      <c r="P30" s="1246"/>
      <c r="Q30" s="1245"/>
      <c r="R30" s="1246"/>
      <c r="S30" s="1246"/>
      <c r="T30" s="1246"/>
      <c r="U30" s="1248"/>
      <c r="V30" s="1238"/>
      <c r="W30" s="1235">
        <f t="shared" si="4"/>
        <v>0</v>
      </c>
      <c r="X30" s="1246"/>
      <c r="Y30" s="1246"/>
      <c r="Z30" s="1246"/>
      <c r="AA30" s="1246"/>
      <c r="AB30" s="1246"/>
      <c r="AC30" s="384"/>
      <c r="AD30" s="384"/>
    </row>
    <row r="31" spans="1:30">
      <c r="A31" s="1249"/>
      <c r="B31" s="1293"/>
      <c r="C31" s="1235">
        <f t="shared" si="2"/>
        <v>0</v>
      </c>
      <c r="D31" s="1237"/>
      <c r="E31" s="1238"/>
      <c r="F31" s="1235">
        <f t="shared" si="3"/>
        <v>0</v>
      </c>
      <c r="G31" s="1246"/>
      <c r="H31" s="1246"/>
      <c r="I31" s="1246"/>
      <c r="J31" s="1246"/>
      <c r="K31" s="1246"/>
      <c r="L31" s="1246"/>
      <c r="M31" s="1246"/>
      <c r="N31" s="1246"/>
      <c r="O31" s="1246"/>
      <c r="P31" s="1246"/>
      <c r="Q31" s="1268"/>
      <c r="R31" s="1246"/>
      <c r="S31" s="1246"/>
      <c r="T31" s="1246"/>
      <c r="U31" s="1248"/>
      <c r="V31" s="1238"/>
      <c r="W31" s="1235">
        <f t="shared" si="4"/>
        <v>0</v>
      </c>
      <c r="X31" s="1246"/>
      <c r="Y31" s="1246"/>
      <c r="Z31" s="1246"/>
      <c r="AA31" s="1246"/>
      <c r="AB31" s="1246"/>
      <c r="AC31" s="384"/>
      <c r="AD31" s="384"/>
    </row>
    <row r="32" spans="1:30">
      <c r="A32" s="1238"/>
      <c r="B32" s="1248"/>
      <c r="C32" s="1235">
        <f t="shared" si="2"/>
        <v>0</v>
      </c>
      <c r="D32" s="1237"/>
      <c r="E32" s="1238"/>
      <c r="F32" s="1235">
        <f t="shared" si="3"/>
        <v>0</v>
      </c>
      <c r="G32" s="1246"/>
      <c r="H32" s="1246"/>
      <c r="I32" s="1246"/>
      <c r="J32" s="1246"/>
      <c r="K32" s="1246"/>
      <c r="L32" s="1246"/>
      <c r="M32" s="1246"/>
      <c r="N32" s="1246"/>
      <c r="O32" s="1246"/>
      <c r="P32" s="1246"/>
      <c r="Q32" s="1268"/>
      <c r="R32" s="1246"/>
      <c r="S32" s="1246"/>
      <c r="T32" s="1246"/>
      <c r="U32" s="1248"/>
      <c r="V32" s="1238"/>
      <c r="W32" s="1235">
        <f t="shared" si="4"/>
        <v>0</v>
      </c>
      <c r="X32" s="1246"/>
      <c r="Y32" s="1246"/>
      <c r="Z32" s="1246"/>
      <c r="AA32" s="1246"/>
      <c r="AB32" s="1246">
        <v>0</v>
      </c>
      <c r="AC32" s="384"/>
      <c r="AD32" s="384"/>
    </row>
    <row r="33" spans="1:30" ht="0.75" hidden="1" customHeight="1">
      <c r="A33" s="1249"/>
      <c r="B33" s="1292"/>
      <c r="C33" s="1235">
        <f t="shared" si="2"/>
        <v>0</v>
      </c>
      <c r="D33" s="1237"/>
      <c r="E33" s="1238"/>
      <c r="F33" s="1235">
        <f t="shared" si="3"/>
        <v>0</v>
      </c>
      <c r="G33" s="1246"/>
      <c r="H33" s="1246"/>
      <c r="I33" s="1246"/>
      <c r="J33" s="1246"/>
      <c r="K33" s="1246"/>
      <c r="L33" s="1246"/>
      <c r="M33" s="1246"/>
      <c r="N33" s="1246"/>
      <c r="O33" s="1246"/>
      <c r="P33" s="1246"/>
      <c r="Q33" s="1268"/>
      <c r="R33" s="1246"/>
      <c r="S33" s="1246"/>
      <c r="T33" s="1246"/>
      <c r="U33" s="1248"/>
      <c r="V33" s="1238"/>
      <c r="W33" s="1235">
        <f t="shared" si="4"/>
        <v>0</v>
      </c>
      <c r="X33" s="1246"/>
      <c r="Y33" s="1246"/>
      <c r="Z33" s="1246"/>
      <c r="AA33" s="1246"/>
      <c r="AB33" s="1246">
        <v>0</v>
      </c>
      <c r="AC33" s="384"/>
      <c r="AD33" s="384"/>
    </row>
    <row r="34" spans="1:30" ht="0.75" hidden="1" customHeight="1">
      <c r="A34" s="1249"/>
      <c r="B34" s="1292"/>
      <c r="C34" s="1235">
        <f t="shared" si="2"/>
        <v>0</v>
      </c>
      <c r="D34" s="1237"/>
      <c r="E34" s="1238"/>
      <c r="F34" s="1235">
        <f t="shared" si="3"/>
        <v>0</v>
      </c>
      <c r="G34" s="1235"/>
      <c r="H34" s="1235"/>
      <c r="I34" s="1241"/>
      <c r="J34" s="1235"/>
      <c r="K34" s="1235"/>
      <c r="L34" s="1246"/>
      <c r="M34" s="1235"/>
      <c r="N34" s="1235"/>
      <c r="O34" s="1235"/>
      <c r="P34" s="1246"/>
      <c r="Q34" s="1268"/>
      <c r="R34" s="1246"/>
      <c r="S34" s="1246"/>
      <c r="T34" s="1271"/>
      <c r="U34" s="1248"/>
      <c r="V34" s="1238"/>
      <c r="W34" s="1235">
        <f t="shared" si="4"/>
        <v>0</v>
      </c>
      <c r="X34" s="1246"/>
      <c r="Y34" s="1235"/>
      <c r="Z34" s="1246"/>
      <c r="AA34" s="1246"/>
      <c r="AB34" s="1271"/>
      <c r="AC34" s="384"/>
      <c r="AD34" s="384"/>
    </row>
    <row r="35" spans="1:30">
      <c r="A35" s="1249"/>
      <c r="B35" s="1292"/>
      <c r="C35" s="1235">
        <f t="shared" si="2"/>
        <v>0</v>
      </c>
      <c r="D35" s="1237"/>
      <c r="E35" s="1238"/>
      <c r="F35" s="1235">
        <f t="shared" si="3"/>
        <v>0</v>
      </c>
      <c r="G35" s="1235"/>
      <c r="H35" s="1235"/>
      <c r="I35" s="1241"/>
      <c r="J35" s="1235"/>
      <c r="K35" s="1235"/>
      <c r="L35" s="1246"/>
      <c r="M35" s="1235"/>
      <c r="N35" s="1235"/>
      <c r="O35" s="1235"/>
      <c r="P35" s="1235"/>
      <c r="Q35" s="1268"/>
      <c r="R35" s="1246"/>
      <c r="S35" s="1246"/>
      <c r="T35" s="1271"/>
      <c r="U35" s="1248"/>
      <c r="V35" s="1238"/>
      <c r="W35" s="1235">
        <f t="shared" si="4"/>
        <v>0</v>
      </c>
      <c r="X35" s="1246"/>
      <c r="Y35" s="1235"/>
      <c r="Z35" s="1235"/>
      <c r="AA35" s="1246"/>
      <c r="AB35" s="1271"/>
      <c r="AC35" s="384"/>
      <c r="AD35" s="384"/>
    </row>
    <row r="36" spans="1:30">
      <c r="A36" s="1249"/>
      <c r="B36" s="1292"/>
      <c r="C36" s="1235">
        <f t="shared" si="2"/>
        <v>0</v>
      </c>
      <c r="D36" s="1237"/>
      <c r="E36" s="1238"/>
      <c r="F36" s="1235">
        <f t="shared" si="3"/>
        <v>0</v>
      </c>
      <c r="G36" s="1235"/>
      <c r="H36" s="1235"/>
      <c r="I36" s="1241"/>
      <c r="J36" s="1235"/>
      <c r="K36" s="1235"/>
      <c r="L36" s="1246"/>
      <c r="M36" s="1235"/>
      <c r="N36" s="1235"/>
      <c r="O36" s="1235"/>
      <c r="P36" s="1235"/>
      <c r="Q36" s="1268"/>
      <c r="R36" s="1246"/>
      <c r="S36" s="1246"/>
      <c r="T36" s="1271"/>
      <c r="U36" s="1248"/>
      <c r="V36" s="1238"/>
      <c r="W36" s="1235">
        <f t="shared" si="4"/>
        <v>0</v>
      </c>
      <c r="X36" s="1246"/>
      <c r="Y36" s="1235"/>
      <c r="Z36" s="1235"/>
      <c r="AA36" s="1246"/>
      <c r="AB36" s="1271"/>
      <c r="AC36" s="384"/>
      <c r="AD36" s="384"/>
    </row>
    <row r="37" spans="1:30">
      <c r="A37" s="1249"/>
      <c r="B37" s="1292"/>
      <c r="C37" s="1235">
        <f t="shared" si="2"/>
        <v>0</v>
      </c>
      <c r="D37" s="1237"/>
      <c r="E37" s="1238"/>
      <c r="F37" s="1235">
        <f t="shared" si="3"/>
        <v>0</v>
      </c>
      <c r="G37" s="1235"/>
      <c r="H37" s="1235"/>
      <c r="I37" s="1241"/>
      <c r="J37" s="1235"/>
      <c r="K37" s="1235"/>
      <c r="L37" s="1246"/>
      <c r="M37" s="1235"/>
      <c r="N37" s="1235"/>
      <c r="O37" s="1235"/>
      <c r="P37" s="1235"/>
      <c r="Q37" s="1268"/>
      <c r="R37" s="1246"/>
      <c r="S37" s="1246"/>
      <c r="T37" s="1271"/>
      <c r="U37" s="1248"/>
      <c r="V37" s="1238"/>
      <c r="W37" s="1235">
        <f t="shared" si="4"/>
        <v>0</v>
      </c>
      <c r="X37" s="1246"/>
      <c r="Y37" s="1235"/>
      <c r="Z37" s="1235"/>
      <c r="AA37" s="1246"/>
      <c r="AB37" s="1271"/>
      <c r="AC37" s="384"/>
      <c r="AD37" s="384"/>
    </row>
    <row r="38" spans="1:30">
      <c r="A38" s="1249"/>
      <c r="B38" s="1292"/>
      <c r="C38" s="1235">
        <f t="shared" si="2"/>
        <v>0</v>
      </c>
      <c r="D38" s="1237"/>
      <c r="E38" s="1238"/>
      <c r="F38" s="1235">
        <f t="shared" si="3"/>
        <v>0</v>
      </c>
      <c r="G38" s="1235"/>
      <c r="H38" s="1235"/>
      <c r="I38" s="1241"/>
      <c r="J38" s="1235"/>
      <c r="K38" s="1235"/>
      <c r="L38" s="1246"/>
      <c r="M38" s="1235"/>
      <c r="N38" s="1235"/>
      <c r="O38" s="1235"/>
      <c r="P38" s="1235"/>
      <c r="Q38" s="1268"/>
      <c r="R38" s="1246"/>
      <c r="S38" s="1246"/>
      <c r="T38" s="1271"/>
      <c r="U38" s="1248"/>
      <c r="V38" s="1238"/>
      <c r="W38" s="1235">
        <f t="shared" si="4"/>
        <v>0</v>
      </c>
      <c r="X38" s="1246"/>
      <c r="Y38" s="1235"/>
      <c r="Z38" s="1235"/>
      <c r="AA38" s="1246"/>
      <c r="AB38" s="1271"/>
      <c r="AC38" s="384"/>
      <c r="AD38" s="384"/>
    </row>
    <row r="39" spans="1:30">
      <c r="A39" s="1249"/>
      <c r="B39" s="1292"/>
      <c r="C39" s="1235">
        <f t="shared" si="2"/>
        <v>0</v>
      </c>
      <c r="D39" s="1237"/>
      <c r="E39" s="1238"/>
      <c r="F39" s="1235">
        <f t="shared" si="3"/>
        <v>0</v>
      </c>
      <c r="G39" s="1235"/>
      <c r="H39" s="1235"/>
      <c r="I39" s="1241"/>
      <c r="J39" s="1235"/>
      <c r="K39" s="1235"/>
      <c r="L39" s="1246"/>
      <c r="M39" s="1235"/>
      <c r="N39" s="1235"/>
      <c r="O39" s="1235"/>
      <c r="P39" s="1246"/>
      <c r="Q39" s="1235"/>
      <c r="R39" s="1246"/>
      <c r="S39" s="1246"/>
      <c r="T39" s="1271"/>
      <c r="U39" s="1248"/>
      <c r="V39" s="1238"/>
      <c r="W39" s="1235">
        <f t="shared" si="4"/>
        <v>0</v>
      </c>
      <c r="X39" s="1246"/>
      <c r="Y39" s="1235"/>
      <c r="Z39" s="1246"/>
      <c r="AA39" s="1246"/>
      <c r="AB39" s="1271"/>
      <c r="AC39" s="384"/>
      <c r="AD39" s="384"/>
    </row>
    <row r="40" spans="1:30">
      <c r="A40" s="1249"/>
      <c r="B40" s="1292"/>
      <c r="C40" s="1235">
        <f t="shared" si="2"/>
        <v>0</v>
      </c>
      <c r="D40" s="1237"/>
      <c r="E40" s="1238"/>
      <c r="F40" s="1235">
        <f t="shared" si="3"/>
        <v>0</v>
      </c>
      <c r="G40" s="1235"/>
      <c r="H40" s="1235"/>
      <c r="I40" s="1241"/>
      <c r="J40" s="1235"/>
      <c r="K40" s="1235"/>
      <c r="L40" s="1246"/>
      <c r="M40" s="1235"/>
      <c r="N40" s="1235"/>
      <c r="O40" s="1235"/>
      <c r="P40" s="1246"/>
      <c r="Q40" s="1235"/>
      <c r="R40" s="1246"/>
      <c r="S40" s="1246"/>
      <c r="T40" s="1271"/>
      <c r="U40" s="1248"/>
      <c r="V40" s="1238"/>
      <c r="W40" s="1235">
        <f t="shared" si="4"/>
        <v>0</v>
      </c>
      <c r="X40" s="1246"/>
      <c r="Y40" s="1235"/>
      <c r="Z40" s="1246"/>
      <c r="AA40" s="1246"/>
      <c r="AB40" s="1271"/>
      <c r="AC40" s="384"/>
      <c r="AD40" s="384"/>
    </row>
    <row r="41" spans="1:30">
      <c r="A41" s="1249"/>
      <c r="B41" s="1292"/>
      <c r="C41" s="1235">
        <f t="shared" si="2"/>
        <v>0</v>
      </c>
      <c r="D41" s="1237"/>
      <c r="E41" s="1238"/>
      <c r="F41" s="1235">
        <f t="shared" si="3"/>
        <v>0</v>
      </c>
      <c r="G41" s="1235"/>
      <c r="H41" s="1235"/>
      <c r="I41" s="1241"/>
      <c r="J41" s="1235"/>
      <c r="K41" s="1235"/>
      <c r="L41" s="1246"/>
      <c r="M41" s="1235"/>
      <c r="N41" s="1235"/>
      <c r="O41" s="1235"/>
      <c r="P41" s="1246"/>
      <c r="Q41" s="1235"/>
      <c r="R41" s="1246"/>
      <c r="S41" s="1246"/>
      <c r="T41" s="1271"/>
      <c r="U41" s="1248"/>
      <c r="V41" s="1238"/>
      <c r="W41" s="1235">
        <f t="shared" si="4"/>
        <v>0</v>
      </c>
      <c r="X41" s="1246"/>
      <c r="Y41" s="1235"/>
      <c r="Z41" s="1246"/>
      <c r="AA41" s="1246"/>
      <c r="AB41" s="1271"/>
      <c r="AC41" s="384"/>
      <c r="AD41" s="384"/>
    </row>
    <row r="42" spans="1:30">
      <c r="A42" s="1249"/>
      <c r="B42" s="1292"/>
      <c r="C42" s="1235">
        <f t="shared" si="2"/>
        <v>0</v>
      </c>
      <c r="D42" s="1237"/>
      <c r="E42" s="1249"/>
      <c r="F42" s="1235">
        <f t="shared" si="3"/>
        <v>0</v>
      </c>
      <c r="G42" s="1235"/>
      <c r="H42" s="1235"/>
      <c r="I42" s="1241"/>
      <c r="J42" s="1235"/>
      <c r="K42" s="1235"/>
      <c r="L42" s="1246"/>
      <c r="M42" s="1235"/>
      <c r="N42" s="1235"/>
      <c r="O42" s="1235"/>
      <c r="P42" s="1246"/>
      <c r="Q42" s="1235"/>
      <c r="R42" s="1246"/>
      <c r="S42" s="1246"/>
      <c r="T42" s="1271"/>
      <c r="U42" s="1248"/>
      <c r="V42" s="1249"/>
      <c r="W42" s="1235">
        <f t="shared" si="4"/>
        <v>0</v>
      </c>
      <c r="X42" s="1246"/>
      <c r="Y42" s="1235"/>
      <c r="Z42" s="1246"/>
      <c r="AA42" s="1246"/>
      <c r="AB42" s="1271"/>
      <c r="AC42" s="384"/>
      <c r="AD42" s="384"/>
    </row>
    <row r="43" spans="1:30">
      <c r="A43" s="1249"/>
      <c r="B43" s="1292"/>
      <c r="C43" s="1235">
        <f t="shared" si="2"/>
        <v>0</v>
      </c>
      <c r="D43" s="1237"/>
      <c r="E43" s="1249"/>
      <c r="F43" s="1235">
        <f t="shared" si="3"/>
        <v>0</v>
      </c>
      <c r="G43" s="1235"/>
      <c r="H43" s="1235"/>
      <c r="I43" s="1241"/>
      <c r="J43" s="1235"/>
      <c r="K43" s="1235"/>
      <c r="L43" s="1246"/>
      <c r="M43" s="1235"/>
      <c r="N43" s="1235"/>
      <c r="O43" s="1235"/>
      <c r="P43" s="1246"/>
      <c r="Q43" s="1235"/>
      <c r="R43" s="1246"/>
      <c r="S43" s="1246"/>
      <c r="T43" s="1271"/>
      <c r="U43" s="1248"/>
      <c r="V43" s="1249"/>
      <c r="W43" s="1235">
        <f t="shared" si="4"/>
        <v>0</v>
      </c>
      <c r="X43" s="1246"/>
      <c r="Y43" s="1235"/>
      <c r="Z43" s="1246"/>
      <c r="AA43" s="1246"/>
      <c r="AB43" s="1271"/>
      <c r="AC43" s="384"/>
      <c r="AD43" s="384"/>
    </row>
    <row r="44" spans="1:30">
      <c r="A44" s="1249"/>
      <c r="B44" s="1292"/>
      <c r="C44" s="1235">
        <f t="shared" si="2"/>
        <v>0</v>
      </c>
      <c r="D44" s="1237"/>
      <c r="E44" s="1249"/>
      <c r="F44" s="1235">
        <f t="shared" si="3"/>
        <v>0</v>
      </c>
      <c r="G44" s="1235"/>
      <c r="H44" s="1235"/>
      <c r="I44" s="1241"/>
      <c r="J44" s="1235"/>
      <c r="K44" s="1235"/>
      <c r="L44" s="1246"/>
      <c r="M44" s="1235"/>
      <c r="N44" s="1235"/>
      <c r="O44" s="1235"/>
      <c r="P44" s="1246"/>
      <c r="Q44" s="1235"/>
      <c r="R44" s="1246"/>
      <c r="S44" s="1246"/>
      <c r="T44" s="1271"/>
      <c r="U44" s="1248"/>
      <c r="V44" s="1249"/>
      <c r="W44" s="1235">
        <f t="shared" si="4"/>
        <v>0</v>
      </c>
      <c r="X44" s="1246"/>
      <c r="Y44" s="1235"/>
      <c r="Z44" s="1246"/>
      <c r="AA44" s="1246"/>
      <c r="AB44" s="1271"/>
      <c r="AC44" s="384"/>
      <c r="AD44" s="384"/>
    </row>
    <row r="45" spans="1:30">
      <c r="A45" s="1249"/>
      <c r="B45" s="1292"/>
      <c r="C45" s="1235">
        <f t="shared" si="2"/>
        <v>0</v>
      </c>
      <c r="D45" s="1237"/>
      <c r="E45" s="1249"/>
      <c r="F45" s="1235">
        <f t="shared" si="3"/>
        <v>0</v>
      </c>
      <c r="G45" s="1235"/>
      <c r="H45" s="1235"/>
      <c r="I45" s="1241"/>
      <c r="J45" s="1235"/>
      <c r="K45" s="1235"/>
      <c r="L45" s="1246"/>
      <c r="M45" s="1235"/>
      <c r="N45" s="1235"/>
      <c r="O45" s="1235"/>
      <c r="P45" s="1246"/>
      <c r="Q45" s="1235"/>
      <c r="R45" s="1246"/>
      <c r="S45" s="1246"/>
      <c r="T45" s="1271"/>
      <c r="U45" s="1248"/>
      <c r="V45" s="1249"/>
      <c r="W45" s="1235">
        <f t="shared" si="4"/>
        <v>0</v>
      </c>
      <c r="X45" s="1246"/>
      <c r="Y45" s="1235"/>
      <c r="Z45" s="1246"/>
      <c r="AA45" s="1246"/>
      <c r="AB45" s="1271"/>
      <c r="AC45" s="384"/>
      <c r="AD45" s="384"/>
    </row>
    <row r="46" spans="1:30">
      <c r="A46" s="1249"/>
      <c r="B46" s="1292"/>
      <c r="C46" s="1235">
        <f t="shared" si="2"/>
        <v>0</v>
      </c>
      <c r="D46" s="1237"/>
      <c r="E46" s="1249"/>
      <c r="F46" s="1235">
        <f t="shared" si="3"/>
        <v>0</v>
      </c>
      <c r="G46" s="1235"/>
      <c r="H46" s="1235"/>
      <c r="I46" s="1241"/>
      <c r="J46" s="1235"/>
      <c r="K46" s="1235"/>
      <c r="L46" s="1246"/>
      <c r="M46" s="1235"/>
      <c r="N46" s="1235"/>
      <c r="O46" s="1235"/>
      <c r="P46" s="1246"/>
      <c r="Q46" s="1235"/>
      <c r="R46" s="1246"/>
      <c r="S46" s="1246"/>
      <c r="T46" s="1271"/>
      <c r="U46" s="1248"/>
      <c r="V46" s="1249"/>
      <c r="W46" s="1235">
        <f t="shared" si="4"/>
        <v>0</v>
      </c>
      <c r="X46" s="1246"/>
      <c r="Y46" s="1235"/>
      <c r="Z46" s="1246"/>
      <c r="AA46" s="1246"/>
      <c r="AB46" s="1271"/>
      <c r="AC46" s="384"/>
      <c r="AD46" s="384"/>
    </row>
    <row r="47" spans="1:30">
      <c r="A47" s="1249"/>
      <c r="B47" s="1292"/>
      <c r="C47" s="1235">
        <f t="shared" si="2"/>
        <v>0</v>
      </c>
      <c r="D47" s="1237"/>
      <c r="E47" s="1249"/>
      <c r="F47" s="1235">
        <f t="shared" si="3"/>
        <v>0</v>
      </c>
      <c r="G47" s="1235"/>
      <c r="H47" s="1235"/>
      <c r="I47" s="1241"/>
      <c r="J47" s="1235"/>
      <c r="K47" s="1235"/>
      <c r="L47" s="1246"/>
      <c r="M47" s="1235"/>
      <c r="N47" s="1235"/>
      <c r="O47" s="1235"/>
      <c r="P47" s="1246"/>
      <c r="Q47" s="1235"/>
      <c r="R47" s="1246"/>
      <c r="S47" s="1246"/>
      <c r="T47" s="1271"/>
      <c r="U47" s="1248"/>
      <c r="V47" s="1249"/>
      <c r="W47" s="1235">
        <f t="shared" si="4"/>
        <v>0</v>
      </c>
      <c r="X47" s="1246"/>
      <c r="Y47" s="1235"/>
      <c r="Z47" s="1246"/>
      <c r="AA47" s="1246"/>
      <c r="AB47" s="1271"/>
      <c r="AC47" s="384"/>
      <c r="AD47" s="384"/>
    </row>
    <row r="48" spans="1:30">
      <c r="A48" s="1249"/>
      <c r="B48" s="1292"/>
      <c r="C48" s="1235">
        <f t="shared" si="2"/>
        <v>0</v>
      </c>
      <c r="D48" s="1237"/>
      <c r="E48" s="1238"/>
      <c r="F48" s="1235">
        <f t="shared" si="3"/>
        <v>0</v>
      </c>
      <c r="G48" s="1235"/>
      <c r="H48" s="1235"/>
      <c r="I48" s="1235"/>
      <c r="J48" s="1235"/>
      <c r="K48" s="1235"/>
      <c r="L48" s="1246"/>
      <c r="M48" s="1235"/>
      <c r="N48" s="1235"/>
      <c r="O48" s="1235"/>
      <c r="P48" s="1246"/>
      <c r="Q48" s="1235"/>
      <c r="R48" s="1246"/>
      <c r="S48" s="1246"/>
      <c r="T48" s="1271"/>
      <c r="U48" s="1248"/>
      <c r="V48" s="1238"/>
      <c r="W48" s="1235">
        <f t="shared" si="4"/>
        <v>0</v>
      </c>
      <c r="X48" s="1246"/>
      <c r="Y48" s="1235"/>
      <c r="Z48" s="1246"/>
      <c r="AA48" s="1246"/>
      <c r="AB48" s="1271"/>
      <c r="AC48" s="384"/>
      <c r="AD48" s="384"/>
    </row>
    <row r="49" spans="1:30">
      <c r="A49" s="1288" t="s">
        <v>97</v>
      </c>
      <c r="B49" s="1288" t="s">
        <v>17</v>
      </c>
      <c r="C49" s="1294">
        <f>SUM(C14:C48)</f>
        <v>860000.39999999991</v>
      </c>
      <c r="D49" s="1273"/>
      <c r="E49" s="1273"/>
      <c r="F49" s="1295">
        <f>SUM(F14:F48)</f>
        <v>860000.39999999991</v>
      </c>
      <c r="G49" s="1273">
        <f t="shared" ref="G49:N49" si="5">SUM(G16:G48)</f>
        <v>96907.57</v>
      </c>
      <c r="H49" s="1273">
        <f t="shared" si="5"/>
        <v>0</v>
      </c>
      <c r="I49" s="1273">
        <f t="shared" si="5"/>
        <v>860000.39999999991</v>
      </c>
      <c r="J49" s="1273">
        <f t="shared" si="5"/>
        <v>0</v>
      </c>
      <c r="K49" s="1273">
        <f t="shared" si="5"/>
        <v>0</v>
      </c>
      <c r="L49" s="1273">
        <f t="shared" si="5"/>
        <v>860000.39999999991</v>
      </c>
      <c r="M49" s="1273">
        <f t="shared" si="5"/>
        <v>0</v>
      </c>
      <c r="N49" s="1273">
        <f t="shared" si="5"/>
        <v>96907.57</v>
      </c>
      <c r="O49" s="1273">
        <f>SUM(O14:O48)</f>
        <v>3</v>
      </c>
      <c r="P49" s="1273">
        <f>SUM(P14:P48)</f>
        <v>860000.39999999991</v>
      </c>
      <c r="Q49" s="1273">
        <f>SUM(Q14:Q48)</f>
        <v>1.8</v>
      </c>
      <c r="R49" s="1273">
        <f>SUM(R14:R48)</f>
        <v>464400</v>
      </c>
      <c r="S49" s="1273">
        <f>SUM(S16:S48)</f>
        <v>395600.39999999997</v>
      </c>
      <c r="T49" s="1294">
        <f>W49-L49</f>
        <v>0</v>
      </c>
      <c r="U49" s="1273"/>
      <c r="V49" s="1273"/>
      <c r="W49" s="1295">
        <f>SUM(W15:W48)</f>
        <v>860000.39999999991</v>
      </c>
      <c r="X49" s="1273">
        <f>SUM(X14:X48)</f>
        <v>860000.4</v>
      </c>
      <c r="Y49" s="1273">
        <f>SUM(Y14:Y48)</f>
        <v>96907.57</v>
      </c>
      <c r="Z49" s="1273">
        <f>SUM(Z14:Z48)</f>
        <v>860000.4</v>
      </c>
      <c r="AA49" s="1273">
        <f>SUM(AA14:AA48)</f>
        <v>464400</v>
      </c>
      <c r="AB49" s="1273">
        <f>SUM(AB16:AB48)</f>
        <v>860000.4</v>
      </c>
      <c r="AC49" s="384"/>
      <c r="AD49" s="384"/>
    </row>
    <row r="50" spans="1:30">
      <c r="A50" s="161"/>
      <c r="B50" s="162"/>
      <c r="F50" s="163"/>
      <c r="G50" s="163"/>
      <c r="H50" s="163"/>
      <c r="I50" s="163"/>
      <c r="J50" s="163"/>
      <c r="K50" s="163"/>
      <c r="L50" s="163"/>
      <c r="M50" s="163"/>
      <c r="N50" s="163"/>
      <c r="P50" s="163"/>
      <c r="Q50" s="67"/>
      <c r="R50" s="67"/>
      <c r="W50" s="163"/>
      <c r="AC50" s="384"/>
      <c r="AD50" s="384"/>
    </row>
    <row r="51" spans="1:30">
      <c r="A51" s="164"/>
      <c r="B51" s="162"/>
      <c r="F51" s="163"/>
      <c r="G51" s="163"/>
      <c r="H51" s="163"/>
      <c r="I51" s="163"/>
      <c r="J51" s="163"/>
      <c r="K51" s="163"/>
      <c r="L51" s="163"/>
      <c r="M51" s="163"/>
      <c r="N51" s="163"/>
      <c r="P51" s="163">
        <v>516000</v>
      </c>
      <c r="Q51" s="67">
        <v>464400</v>
      </c>
      <c r="R51" s="67"/>
      <c r="W51" s="163"/>
      <c r="AC51" s="384"/>
      <c r="AD51" s="384"/>
    </row>
    <row r="52" spans="1:30">
      <c r="F52" s="163"/>
      <c r="R52" s="67"/>
      <c r="W52" s="163"/>
      <c r="AC52" s="384"/>
      <c r="AD52" s="384"/>
    </row>
    <row r="53" spans="1:30">
      <c r="F53" s="163"/>
      <c r="P53" s="67">
        <f>+Q51/P51</f>
        <v>0.9</v>
      </c>
      <c r="R53" s="67"/>
      <c r="W53" s="163"/>
      <c r="AC53" s="384"/>
      <c r="AD53" s="384"/>
    </row>
    <row r="54" spans="1:30">
      <c r="R54" s="67"/>
      <c r="AC54" s="384"/>
      <c r="AD54" s="384"/>
    </row>
    <row r="55" spans="1:30">
      <c r="A55" s="67" t="s">
        <v>59</v>
      </c>
      <c r="F55" s="163"/>
      <c r="W55" s="163"/>
      <c r="AC55" s="384"/>
      <c r="AD55" s="384"/>
    </row>
  </sheetData>
  <mergeCells count="7">
    <mergeCell ref="E1:F1"/>
    <mergeCell ref="Z8:Z12"/>
    <mergeCell ref="AA8:AA12"/>
    <mergeCell ref="AB8:AB12"/>
    <mergeCell ref="D6:E6"/>
    <mergeCell ref="X8:X12"/>
    <mergeCell ref="Y8:Y12"/>
  </mergeCells>
  <conditionalFormatting sqref="U8:W9 X8:AC12">
    <cfRule type="cellIs" dxfId="14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6"/>
  <dimension ref="A1:AH63"/>
  <sheetViews>
    <sheetView showGridLines="0" showZeros="0" topLeftCell="L1" zoomScaleNormal="100" workbookViewId="0">
      <selection activeCell="E81" sqref="E81:P81"/>
    </sheetView>
  </sheetViews>
  <sheetFormatPr baseColWidth="10" defaultRowHeight="12.75"/>
  <cols>
    <col min="1" max="1" width="10.25" style="194" customWidth="1"/>
    <col min="2" max="2" width="35.375" style="194" customWidth="1"/>
    <col min="3" max="3" width="10.125" style="1797" customWidth="1"/>
    <col min="4" max="4" width="9" style="1797" customWidth="1"/>
    <col min="5" max="5" width="4.875" style="1797" customWidth="1"/>
    <col min="6" max="9" width="10.25" style="1797" customWidth="1"/>
    <col min="10" max="10" width="12" style="1797" customWidth="1"/>
    <col min="11" max="11" width="10.25" style="1797" customWidth="1"/>
    <col min="12" max="12" width="9" style="1797" customWidth="1"/>
    <col min="13" max="13" width="9.75" style="1797" customWidth="1"/>
    <col min="14" max="14" width="8.75" style="1797" customWidth="1"/>
    <col min="15" max="15" width="6.5" style="1797" customWidth="1"/>
    <col min="16" max="16" width="11" style="1797"/>
    <col min="17" max="17" width="5.875" style="428" customWidth="1"/>
    <col min="18" max="19" width="11" style="428"/>
    <col min="20" max="28" width="10.875" style="428" customWidth="1"/>
    <col min="29" max="30" width="11" style="428"/>
    <col min="31" max="34" width="11" style="429"/>
    <col min="35" max="16384" width="11" style="414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>
      <c r="A2" s="1197" t="s">
        <v>49</v>
      </c>
      <c r="B2" s="1296" t="s">
        <v>235</v>
      </c>
      <c r="C2" s="2041"/>
      <c r="D2" s="2041"/>
      <c r="E2" s="2041"/>
      <c r="F2" s="2041"/>
      <c r="G2" s="2041"/>
      <c r="H2" s="2041"/>
      <c r="Q2" s="1797"/>
      <c r="R2" s="1797"/>
    </row>
    <row r="3" spans="1:34">
      <c r="A3" s="415" t="s">
        <v>60</v>
      </c>
      <c r="B3" s="415" t="s">
        <v>50</v>
      </c>
      <c r="C3" s="385" t="s">
        <v>236</v>
      </c>
      <c r="D3" s="385" t="s">
        <v>52</v>
      </c>
      <c r="E3" s="1796"/>
      <c r="F3" s="65" t="s">
        <v>84</v>
      </c>
      <c r="G3" s="65" t="s">
        <v>106</v>
      </c>
      <c r="H3" s="1796"/>
      <c r="I3" s="1798"/>
      <c r="J3" s="1798"/>
      <c r="K3" s="1798"/>
      <c r="L3" s="1798"/>
      <c r="M3" s="1798"/>
      <c r="N3" s="1798"/>
      <c r="O3" s="1798"/>
      <c r="P3" s="1798"/>
      <c r="Q3" s="1798"/>
      <c r="R3" s="1798"/>
      <c r="S3" s="1799"/>
      <c r="T3" s="1799"/>
      <c r="U3" s="1799"/>
      <c r="V3" s="1799"/>
      <c r="W3" s="1799"/>
      <c r="X3" s="1799"/>
      <c r="Y3" s="1799"/>
      <c r="Z3" s="1799"/>
      <c r="AA3" s="1799"/>
      <c r="AB3" s="1799"/>
    </row>
    <row r="4" spans="1:34">
      <c r="A4" s="1200" t="s">
        <v>61</v>
      </c>
      <c r="B4" s="415" t="s">
        <v>237</v>
      </c>
      <c r="C4" s="1947" t="s">
        <v>81</v>
      </c>
      <c r="D4" s="1796" t="s">
        <v>130</v>
      </c>
      <c r="E4" s="1796"/>
      <c r="F4" s="1801"/>
      <c r="G4" s="1801"/>
      <c r="H4" s="1801"/>
      <c r="I4" s="1800"/>
      <c r="J4" s="1800"/>
      <c r="K4" s="1800"/>
      <c r="L4" s="1800"/>
      <c r="M4" s="1800"/>
      <c r="N4" s="1800"/>
      <c r="O4" s="1798"/>
      <c r="P4" s="1800"/>
      <c r="Q4" s="1798"/>
      <c r="R4" s="1798"/>
      <c r="S4" s="1799"/>
      <c r="T4" s="1799"/>
      <c r="U4" s="1799"/>
      <c r="V4" s="1799"/>
      <c r="W4" s="1799"/>
      <c r="X4" s="1799"/>
      <c r="Y4" s="1799"/>
      <c r="Z4" s="1799"/>
      <c r="AA4" s="1799"/>
      <c r="AB4" s="1799"/>
    </row>
    <row r="5" spans="1:34">
      <c r="A5" s="1199" t="s">
        <v>62</v>
      </c>
      <c r="B5" s="455">
        <v>201000800</v>
      </c>
      <c r="C5" s="1796"/>
      <c r="D5" s="1796"/>
      <c r="E5" s="1796"/>
      <c r="F5" s="1801"/>
      <c r="G5" s="1801"/>
      <c r="H5" s="2041"/>
      <c r="J5" s="1800"/>
      <c r="K5" s="429"/>
      <c r="L5" s="1800"/>
      <c r="M5" s="1800"/>
      <c r="N5" s="1800"/>
      <c r="O5" s="1798"/>
      <c r="P5" s="1800"/>
      <c r="Q5" s="1798"/>
      <c r="R5" s="1798"/>
      <c r="S5" s="1800"/>
      <c r="T5" s="1799"/>
      <c r="U5" s="1799"/>
      <c r="V5" s="1799"/>
      <c r="W5" s="1799"/>
      <c r="X5" s="1799"/>
      <c r="Y5" s="1799"/>
      <c r="Z5" s="1799"/>
      <c r="AA5" s="1799"/>
      <c r="AB5" s="1799"/>
    </row>
    <row r="6" spans="1:34">
      <c r="A6" s="1199" t="s">
        <v>51</v>
      </c>
      <c r="B6" s="415" t="s">
        <v>238</v>
      </c>
      <c r="C6" s="1796"/>
      <c r="D6" s="1796"/>
      <c r="E6" s="1796"/>
      <c r="F6" s="1801"/>
      <c r="G6" s="1801"/>
      <c r="H6" s="1802"/>
      <c r="I6" s="1803"/>
      <c r="J6" s="1804"/>
      <c r="K6" s="1805"/>
      <c r="L6" s="1805"/>
      <c r="M6" s="1799"/>
      <c r="N6" s="428"/>
      <c r="O6" s="428"/>
      <c r="P6" s="428"/>
      <c r="Q6" s="1799"/>
      <c r="R6" s="1798"/>
      <c r="S6" s="1799"/>
      <c r="T6" s="1799"/>
      <c r="U6" s="1799"/>
      <c r="V6" s="1799"/>
      <c r="W6" s="1799"/>
      <c r="X6" s="1799"/>
      <c r="Y6" s="1799"/>
      <c r="Z6" s="1799"/>
      <c r="AA6" s="1799"/>
      <c r="AB6" s="1799"/>
    </row>
    <row r="7" spans="1:34">
      <c r="A7" s="195"/>
      <c r="B7" s="196"/>
      <c r="C7" s="1798"/>
      <c r="D7" s="1798"/>
      <c r="E7" s="1798"/>
      <c r="F7" s="1800"/>
      <c r="G7" s="1800"/>
      <c r="H7" s="1806"/>
      <c r="I7" s="1803"/>
      <c r="J7" s="1804"/>
      <c r="K7" s="1805"/>
      <c r="L7" s="1805"/>
      <c r="M7" s="1799"/>
      <c r="N7" s="428"/>
      <c r="O7" s="428"/>
      <c r="P7" s="428"/>
      <c r="Q7" s="1799"/>
      <c r="R7" s="1798"/>
      <c r="S7" s="1799"/>
      <c r="T7" s="1799"/>
      <c r="U7" s="1799"/>
      <c r="V7" s="1799"/>
      <c r="W7" s="1799"/>
      <c r="X7" s="1799"/>
      <c r="Y7" s="1799"/>
      <c r="Z7" s="1799"/>
      <c r="AA7" s="1799"/>
      <c r="AB7" s="1799"/>
    </row>
    <row r="8" spans="1:34" s="197" customFormat="1" ht="16.5" customHeight="1">
      <c r="A8" s="1201" t="s">
        <v>0</v>
      </c>
      <c r="B8" s="1201" t="s">
        <v>1</v>
      </c>
      <c r="C8" s="1807" t="s">
        <v>2</v>
      </c>
      <c r="D8" s="1808" t="s">
        <v>3</v>
      </c>
      <c r="E8" s="1809"/>
      <c r="F8" s="1810"/>
      <c r="G8" s="1811" t="s">
        <v>4</v>
      </c>
      <c r="H8" s="1812"/>
      <c r="I8" s="1811" t="s">
        <v>5</v>
      </c>
      <c r="J8" s="1812"/>
      <c r="K8" s="1813" t="s">
        <v>6</v>
      </c>
      <c r="L8" s="1813"/>
      <c r="M8" s="1813"/>
      <c r="N8" s="1813"/>
      <c r="O8" s="1809" t="s">
        <v>7</v>
      </c>
      <c r="P8" s="1810"/>
      <c r="Q8" s="1809" t="s">
        <v>8</v>
      </c>
      <c r="R8" s="1810"/>
      <c r="S8" s="1814"/>
      <c r="T8" s="1815"/>
      <c r="U8" s="90" t="s">
        <v>82</v>
      </c>
      <c r="V8" s="91"/>
      <c r="W8" s="92"/>
      <c r="X8" s="2450" t="str">
        <f>"Production cumulée au 31/12/"&amp;(YEAR($E$1)-1)</f>
        <v>Production cumulée au 31/12/2014</v>
      </c>
      <c r="Y8" s="2450" t="str">
        <f>"sous traitance cumulée au 31/12/"&amp;(YEAR($E$1)-1)</f>
        <v>sous traitance cumulée au 31/12/2014</v>
      </c>
      <c r="Z8" s="2450" t="str">
        <f>"Facturation cumulée au 31/12/"&amp;(YEAR($E$1)-1)</f>
        <v>Facturation cumulée au 31/12/2014</v>
      </c>
      <c r="AA8" s="2450" t="str">
        <f>"Encaissement cumulé au 31/12/"&amp;(YEAR($E$1)-1)</f>
        <v>Encaissement cumulé au 31/12/2014</v>
      </c>
      <c r="AB8" s="2450" t="s">
        <v>64</v>
      </c>
      <c r="AC8" s="1816"/>
      <c r="AD8" s="1816"/>
      <c r="AE8" s="1817"/>
      <c r="AF8" s="1817"/>
      <c r="AG8" s="1817"/>
      <c r="AH8" s="1817"/>
    </row>
    <row r="9" spans="1:34" s="197" customFormat="1" ht="10.5" customHeight="1">
      <c r="A9" s="1203" t="s">
        <v>9</v>
      </c>
      <c r="B9" s="1205"/>
      <c r="C9" s="1818"/>
      <c r="D9" s="1819"/>
      <c r="E9" s="1820"/>
      <c r="F9" s="1821"/>
      <c r="G9" s="1822"/>
      <c r="H9" s="1823"/>
      <c r="I9" s="1822" t="s">
        <v>10</v>
      </c>
      <c r="J9" s="1822"/>
      <c r="K9" s="1824" t="s">
        <v>11</v>
      </c>
      <c r="L9" s="1824"/>
      <c r="M9" s="1824"/>
      <c r="N9" s="1824" t="s">
        <v>12</v>
      </c>
      <c r="O9" s="1820"/>
      <c r="P9" s="1821"/>
      <c r="Q9" s="1820"/>
      <c r="R9" s="1825"/>
      <c r="S9" s="1826" t="s">
        <v>13</v>
      </c>
      <c r="T9" s="1827" t="s">
        <v>14</v>
      </c>
      <c r="U9" s="1732"/>
      <c r="V9" s="1733"/>
      <c r="W9" s="1734"/>
      <c r="X9" s="2451"/>
      <c r="Y9" s="2451"/>
      <c r="Z9" s="2451"/>
      <c r="AA9" s="2451"/>
      <c r="AB9" s="2451"/>
      <c r="AC9" s="1816"/>
      <c r="AD9" s="1816"/>
      <c r="AE9" s="1817"/>
      <c r="AF9" s="1817"/>
      <c r="AG9" s="1817"/>
      <c r="AH9" s="1817"/>
    </row>
    <row r="10" spans="1:34" s="197" customFormat="1" ht="8.25" customHeight="1">
      <c r="A10" s="1205"/>
      <c r="B10" s="1205"/>
      <c r="C10" s="1818"/>
      <c r="D10" s="1828" t="s">
        <v>15</v>
      </c>
      <c r="E10" s="1828" t="s">
        <v>16</v>
      </c>
      <c r="F10" s="1813" t="s">
        <v>17</v>
      </c>
      <c r="G10" s="1822"/>
      <c r="H10" s="1823"/>
      <c r="I10" s="1822"/>
      <c r="J10" s="1822"/>
      <c r="K10" s="1829" t="s">
        <v>18</v>
      </c>
      <c r="L10" s="1829" t="s">
        <v>17</v>
      </c>
      <c r="M10" s="1829" t="s">
        <v>19</v>
      </c>
      <c r="N10" s="1829" t="s">
        <v>20</v>
      </c>
      <c r="O10" s="1828" t="s">
        <v>16</v>
      </c>
      <c r="P10" s="1813" t="s">
        <v>17</v>
      </c>
      <c r="Q10" s="1828" t="s">
        <v>16</v>
      </c>
      <c r="R10" s="1813" t="s">
        <v>17</v>
      </c>
      <c r="S10" s="1826" t="s">
        <v>21</v>
      </c>
      <c r="T10" s="1827" t="s">
        <v>22</v>
      </c>
      <c r="U10" s="1741" t="s">
        <v>15</v>
      </c>
      <c r="V10" s="1741" t="s">
        <v>16</v>
      </c>
      <c r="W10" s="1728" t="s">
        <v>17</v>
      </c>
      <c r="X10" s="2451"/>
      <c r="Y10" s="2451"/>
      <c r="Z10" s="2451"/>
      <c r="AA10" s="2451"/>
      <c r="AB10" s="2451"/>
      <c r="AC10" s="1816"/>
      <c r="AD10" s="1816"/>
      <c r="AE10" s="1817"/>
      <c r="AF10" s="1817"/>
      <c r="AG10" s="1817"/>
      <c r="AH10" s="1817"/>
    </row>
    <row r="11" spans="1:34" s="197" customFormat="1" ht="8.25" customHeight="1">
      <c r="A11" s="1205"/>
      <c r="B11" s="1205"/>
      <c r="C11" s="1818"/>
      <c r="D11" s="1826" t="s">
        <v>23</v>
      </c>
      <c r="E11" s="1826"/>
      <c r="F11" s="1824" t="s">
        <v>23</v>
      </c>
      <c r="G11" s="1813" t="s">
        <v>24</v>
      </c>
      <c r="H11" s="1813" t="s">
        <v>25</v>
      </c>
      <c r="I11" s="1813" t="s">
        <v>26</v>
      </c>
      <c r="J11" s="1813" t="s">
        <v>27</v>
      </c>
      <c r="K11" s="1824" t="s">
        <v>28</v>
      </c>
      <c r="L11" s="1824" t="s">
        <v>29</v>
      </c>
      <c r="M11" s="1824" t="s">
        <v>30</v>
      </c>
      <c r="N11" s="1824" t="s">
        <v>31</v>
      </c>
      <c r="O11" s="1826"/>
      <c r="P11" s="1824" t="s">
        <v>23</v>
      </c>
      <c r="Q11" s="1826"/>
      <c r="R11" s="1824" t="s">
        <v>23</v>
      </c>
      <c r="S11" s="1818"/>
      <c r="T11" s="1827" t="s">
        <v>32</v>
      </c>
      <c r="U11" s="1739" t="s">
        <v>56</v>
      </c>
      <c r="V11" s="1739"/>
      <c r="W11" s="1737" t="s">
        <v>56</v>
      </c>
      <c r="X11" s="2451"/>
      <c r="Y11" s="2451"/>
      <c r="Z11" s="2451"/>
      <c r="AA11" s="2451"/>
      <c r="AB11" s="2451"/>
      <c r="AC11" s="1816"/>
      <c r="AD11" s="1816"/>
      <c r="AE11" s="1817"/>
      <c r="AF11" s="1817"/>
      <c r="AG11" s="1817"/>
      <c r="AH11" s="1817"/>
    </row>
    <row r="12" spans="1:34">
      <c r="A12" s="1205"/>
      <c r="B12" s="1205"/>
      <c r="C12" s="1818"/>
      <c r="D12" s="1818"/>
      <c r="E12" s="1818"/>
      <c r="F12" s="1830"/>
      <c r="G12" s="1830"/>
      <c r="H12" s="1830"/>
      <c r="I12" s="1830"/>
      <c r="J12" s="1824" t="s">
        <v>33</v>
      </c>
      <c r="K12" s="1824" t="s">
        <v>34</v>
      </c>
      <c r="L12" s="1824"/>
      <c r="M12" s="1824"/>
      <c r="N12" s="1824"/>
      <c r="O12" s="1818"/>
      <c r="P12" s="1830"/>
      <c r="Q12" s="1818"/>
      <c r="R12" s="1830"/>
      <c r="S12" s="1831"/>
      <c r="T12" s="1832"/>
      <c r="U12" s="1731"/>
      <c r="V12" s="1731"/>
      <c r="W12" s="1743"/>
      <c r="X12" s="2452"/>
      <c r="Y12" s="2452"/>
      <c r="Z12" s="2452"/>
      <c r="AA12" s="2452"/>
      <c r="AB12" s="2452"/>
    </row>
    <row r="13" spans="1:34">
      <c r="A13" s="1206"/>
      <c r="B13" s="1206" t="s">
        <v>35</v>
      </c>
      <c r="C13" s="1833" t="s">
        <v>36</v>
      </c>
      <c r="D13" s="1833"/>
      <c r="E13" s="1833"/>
      <c r="F13" s="1834" t="s">
        <v>37</v>
      </c>
      <c r="G13" s="1834" t="s">
        <v>38</v>
      </c>
      <c r="H13" s="1834" t="s">
        <v>39</v>
      </c>
      <c r="I13" s="1834" t="s">
        <v>40</v>
      </c>
      <c r="J13" s="1834" t="s">
        <v>41</v>
      </c>
      <c r="K13" s="1834" t="s">
        <v>42</v>
      </c>
      <c r="L13" s="1834" t="s">
        <v>43</v>
      </c>
      <c r="M13" s="1834" t="s">
        <v>44</v>
      </c>
      <c r="N13" s="1834" t="s">
        <v>45</v>
      </c>
      <c r="O13" s="1833"/>
      <c r="P13" s="1834" t="s">
        <v>37</v>
      </c>
      <c r="Q13" s="1833" t="s">
        <v>46</v>
      </c>
      <c r="R13" s="1833"/>
      <c r="S13" s="1835" t="s">
        <v>47</v>
      </c>
      <c r="T13" s="1836" t="s">
        <v>48</v>
      </c>
      <c r="U13" s="1836" t="s">
        <v>91</v>
      </c>
      <c r="V13" s="1836" t="s">
        <v>92</v>
      </c>
      <c r="W13" s="1836" t="s">
        <v>93</v>
      </c>
      <c r="X13" s="1837" t="s">
        <v>86</v>
      </c>
      <c r="Y13" s="1837"/>
      <c r="Z13" s="1837"/>
      <c r="AA13" s="1837"/>
      <c r="AB13" s="1837"/>
    </row>
    <row r="14" spans="1:34">
      <c r="A14" s="420"/>
      <c r="B14" s="456"/>
      <c r="C14" s="2042"/>
      <c r="D14" s="2042"/>
      <c r="E14" s="2042"/>
      <c r="F14" s="2043"/>
      <c r="G14" s="2043"/>
      <c r="H14" s="2043"/>
      <c r="I14" s="2043"/>
      <c r="J14" s="2043"/>
      <c r="K14" s="2043"/>
      <c r="L14" s="2043"/>
      <c r="M14" s="2043"/>
      <c r="N14" s="2043"/>
      <c r="O14" s="2042"/>
      <c r="P14" s="2043">
        <f>O14*D14</f>
        <v>0</v>
      </c>
      <c r="Q14" s="2042"/>
      <c r="R14" s="2042">
        <f>Q14*D14</f>
        <v>0</v>
      </c>
      <c r="S14" s="2042"/>
      <c r="T14" s="2044"/>
      <c r="U14" s="2044"/>
      <c r="V14" s="2044"/>
      <c r="W14" s="2044"/>
      <c r="X14" s="2043"/>
      <c r="Y14" s="2043"/>
      <c r="Z14" s="2043">
        <v>0</v>
      </c>
      <c r="AA14" s="2042">
        <v>0</v>
      </c>
      <c r="AB14" s="2044"/>
    </row>
    <row r="15" spans="1:34">
      <c r="A15" s="198">
        <v>1</v>
      </c>
      <c r="B15" s="199" t="s">
        <v>239</v>
      </c>
      <c r="C15" s="1214"/>
      <c r="D15" s="1214"/>
      <c r="E15" s="1214"/>
      <c r="F15" s="1214"/>
      <c r="G15" s="1214"/>
      <c r="H15" s="1214"/>
      <c r="I15" s="1214"/>
      <c r="J15" s="1214"/>
      <c r="K15" s="1214"/>
      <c r="L15" s="1214"/>
      <c r="M15" s="1214"/>
      <c r="N15" s="1214"/>
      <c r="O15" s="1214"/>
      <c r="P15" s="1214"/>
      <c r="Q15" s="1214"/>
      <c r="R15" s="1218"/>
      <c r="S15" s="1218"/>
      <c r="T15" s="2045"/>
      <c r="U15" s="2045"/>
      <c r="V15" s="2045"/>
      <c r="W15" s="2045"/>
      <c r="X15" s="1214"/>
      <c r="Y15" s="1214"/>
      <c r="Z15" s="1214"/>
      <c r="AA15" s="1218"/>
      <c r="AB15" s="2045"/>
    </row>
    <row r="16" spans="1:34">
      <c r="A16" s="200"/>
      <c r="B16" s="201" t="s">
        <v>240</v>
      </c>
      <c r="C16" s="1214"/>
      <c r="D16" s="1214"/>
      <c r="E16" s="1213"/>
      <c r="F16" s="1214"/>
      <c r="G16" s="1214"/>
      <c r="H16" s="1214"/>
      <c r="I16" s="1214"/>
      <c r="J16" s="1214"/>
      <c r="K16" s="1214"/>
      <c r="L16" s="1214"/>
      <c r="M16" s="1214"/>
      <c r="N16" s="1214"/>
      <c r="O16" s="1214"/>
      <c r="P16" s="1214"/>
      <c r="Q16" s="1214"/>
      <c r="R16" s="1218"/>
      <c r="S16" s="1218"/>
      <c r="T16" s="1220"/>
      <c r="U16" s="1220"/>
      <c r="V16" s="1220"/>
      <c r="W16" s="1220"/>
      <c r="X16" s="1214"/>
      <c r="Y16" s="1214"/>
      <c r="Z16" s="1214"/>
      <c r="AA16" s="1218"/>
      <c r="AB16" s="1220"/>
    </row>
    <row r="17" spans="1:28">
      <c r="A17" s="202"/>
      <c r="B17" s="193" t="s">
        <v>241</v>
      </c>
      <c r="C17" s="1214"/>
      <c r="D17" s="1214"/>
      <c r="E17" s="1213"/>
      <c r="F17" s="1214"/>
      <c r="G17" s="1212"/>
      <c r="H17" s="1212"/>
      <c r="I17" s="1212"/>
      <c r="J17" s="1212"/>
      <c r="K17" s="1212"/>
      <c r="L17" s="1212"/>
      <c r="M17" s="1212"/>
      <c r="N17" s="1212"/>
      <c r="O17" s="1212"/>
      <c r="P17" s="1212"/>
      <c r="Q17" s="1212"/>
      <c r="R17" s="1212"/>
      <c r="S17" s="1212"/>
      <c r="T17" s="1212"/>
      <c r="U17" s="1214"/>
      <c r="V17" s="1213"/>
      <c r="W17" s="1212"/>
      <c r="X17" s="1212"/>
      <c r="Y17" s="1212"/>
      <c r="Z17" s="1212"/>
      <c r="AA17" s="1212"/>
      <c r="AB17" s="1212"/>
    </row>
    <row r="18" spans="1:28" ht="12" customHeight="1">
      <c r="A18" s="202"/>
      <c r="B18" s="203" t="s">
        <v>242</v>
      </c>
      <c r="C18" s="1212"/>
      <c r="D18" s="1212"/>
      <c r="E18" s="1213"/>
      <c r="F18" s="1214"/>
      <c r="G18" s="1212"/>
      <c r="H18" s="1212"/>
      <c r="I18" s="1212"/>
      <c r="J18" s="1212"/>
      <c r="K18" s="1212"/>
      <c r="L18" s="1212"/>
      <c r="M18" s="1212"/>
      <c r="N18" s="1212"/>
      <c r="O18" s="1212"/>
      <c r="P18" s="1212"/>
      <c r="Q18" s="1212"/>
      <c r="R18" s="1212"/>
      <c r="S18" s="1212"/>
      <c r="T18" s="1212"/>
      <c r="U18" s="1212"/>
      <c r="V18" s="1213"/>
      <c r="W18" s="1212"/>
      <c r="X18" s="1212"/>
      <c r="Y18" s="1212"/>
      <c r="Z18" s="1212"/>
      <c r="AA18" s="1212"/>
      <c r="AB18" s="1212"/>
    </row>
    <row r="19" spans="1:28">
      <c r="A19" s="202"/>
      <c r="B19" s="203"/>
      <c r="C19" s="1212"/>
      <c r="D19" s="1212"/>
      <c r="E19" s="1213"/>
      <c r="F19" s="1214"/>
      <c r="G19" s="1212"/>
      <c r="H19" s="1212"/>
      <c r="I19" s="1212"/>
      <c r="J19" s="1212"/>
      <c r="K19" s="1212"/>
      <c r="L19" s="1212"/>
      <c r="M19" s="1212"/>
      <c r="N19" s="1212"/>
      <c r="O19" s="1212"/>
      <c r="P19" s="1212"/>
      <c r="Q19" s="1212"/>
      <c r="R19" s="1212"/>
      <c r="S19" s="1212"/>
      <c r="T19" s="1212"/>
      <c r="U19" s="1212"/>
      <c r="V19" s="1213"/>
      <c r="W19" s="1212"/>
      <c r="X19" s="1212"/>
      <c r="Y19" s="1212"/>
      <c r="Z19" s="1212"/>
      <c r="AA19" s="1212"/>
      <c r="AB19" s="1212"/>
    </row>
    <row r="20" spans="1:28">
      <c r="A20" s="204">
        <v>2</v>
      </c>
      <c r="B20" s="203" t="s">
        <v>243</v>
      </c>
      <c r="C20" s="1212">
        <f>(191550/5)*4</f>
        <v>153240</v>
      </c>
      <c r="D20" s="1212">
        <f>191550/5</f>
        <v>38310</v>
      </c>
      <c r="E20" s="1213">
        <v>4</v>
      </c>
      <c r="F20" s="1214">
        <f>D20*E20</f>
        <v>153240</v>
      </c>
      <c r="G20" s="1212"/>
      <c r="H20" s="2046"/>
      <c r="I20" s="1212">
        <f>W20</f>
        <v>153240</v>
      </c>
      <c r="J20" s="1212"/>
      <c r="K20" s="1212"/>
      <c r="L20" s="500">
        <f>I20-J20+K20</f>
        <v>153240</v>
      </c>
      <c r="M20" s="1212"/>
      <c r="N20" s="1297">
        <v>0</v>
      </c>
      <c r="O20" s="1212"/>
      <c r="P20" s="1212">
        <v>96000</v>
      </c>
      <c r="Q20" s="1212"/>
      <c r="R20" s="1212"/>
      <c r="S20" s="1212">
        <f>+P20-R20</f>
        <v>96000</v>
      </c>
      <c r="T20" s="1212">
        <f>F20-L20</f>
        <v>0</v>
      </c>
      <c r="U20" s="1212">
        <f>D20</f>
        <v>38310</v>
      </c>
      <c r="V20" s="1212">
        <f>E20</f>
        <v>4</v>
      </c>
      <c r="W20" s="1212">
        <f>F20</f>
        <v>153240</v>
      </c>
      <c r="X20" s="1950">
        <v>153240</v>
      </c>
      <c r="Y20" s="1212">
        <v>0</v>
      </c>
      <c r="Z20" s="1212">
        <v>96000</v>
      </c>
      <c r="AA20" s="1212"/>
      <c r="AB20" s="1212">
        <f>F20</f>
        <v>153240</v>
      </c>
    </row>
    <row r="21" spans="1:28" ht="12.75" customHeight="1">
      <c r="A21" s="202"/>
      <c r="B21" s="203"/>
      <c r="C21" s="1212"/>
      <c r="D21" s="1212"/>
      <c r="E21" s="1213"/>
      <c r="F21" s="1214"/>
      <c r="G21" s="1212"/>
      <c r="H21" s="1212"/>
      <c r="I21" s="1212"/>
      <c r="J21" s="1212"/>
      <c r="K21" s="1212"/>
      <c r="L21" s="1212"/>
      <c r="M21" s="1212"/>
      <c r="N21" s="1212"/>
      <c r="O21" s="1212"/>
      <c r="P21" s="1212"/>
      <c r="Q21" s="1212"/>
      <c r="R21" s="1212"/>
      <c r="S21" s="1212"/>
      <c r="T21" s="1212"/>
      <c r="U21" s="1212"/>
      <c r="V21" s="1212"/>
      <c r="W21" s="1212"/>
      <c r="X21" s="1212"/>
      <c r="Y21" s="1212"/>
      <c r="Z21" s="1212"/>
      <c r="AA21" s="1212"/>
      <c r="AB21" s="1212"/>
    </row>
    <row r="22" spans="1:28" ht="12.75" customHeight="1">
      <c r="A22" s="202"/>
      <c r="B22" s="203"/>
      <c r="C22" s="1212"/>
      <c r="D22" s="1212"/>
      <c r="E22" s="1213"/>
      <c r="F22" s="1214"/>
      <c r="G22" s="1212"/>
      <c r="H22" s="1212"/>
      <c r="I22" s="1212"/>
      <c r="J22" s="1212"/>
      <c r="K22" s="1212"/>
      <c r="L22" s="1212"/>
      <c r="M22" s="1212"/>
      <c r="N22" s="1212"/>
      <c r="O22" s="1212"/>
      <c r="P22" s="1212"/>
      <c r="Q22" s="1212"/>
      <c r="R22" s="1212"/>
      <c r="S22" s="1212"/>
      <c r="T22" s="1212"/>
      <c r="U22" s="1212"/>
      <c r="V22" s="1212"/>
      <c r="W22" s="1212"/>
      <c r="X22" s="1212"/>
      <c r="Y22" s="1212"/>
      <c r="Z22" s="1212"/>
      <c r="AA22" s="1212"/>
      <c r="AB22" s="1212"/>
    </row>
    <row r="23" spans="1:28">
      <c r="A23" s="202"/>
      <c r="B23" s="203"/>
      <c r="C23" s="1212"/>
      <c r="D23" s="1212"/>
      <c r="E23" s="1213"/>
      <c r="F23" s="1214"/>
      <c r="G23" s="1212"/>
      <c r="H23" s="1212"/>
      <c r="I23" s="1212"/>
      <c r="J23" s="1212"/>
      <c r="K23" s="1212"/>
      <c r="L23" s="1212"/>
      <c r="M23" s="1212"/>
      <c r="N23" s="1212"/>
      <c r="O23" s="1212"/>
      <c r="P23" s="1212"/>
      <c r="Q23" s="1212"/>
      <c r="R23" s="1212"/>
      <c r="S23" s="1212"/>
      <c r="T23" s="1212"/>
      <c r="U23" s="1212"/>
      <c r="V23" s="1212"/>
      <c r="W23" s="1212"/>
      <c r="X23" s="1212"/>
      <c r="Y23" s="1212"/>
      <c r="Z23" s="1212"/>
      <c r="AA23" s="1212"/>
      <c r="AB23" s="1212"/>
    </row>
    <row r="24" spans="1:28">
      <c r="B24" s="206"/>
      <c r="C24" s="1212"/>
      <c r="D24" s="1212"/>
      <c r="E24" s="1213"/>
      <c r="F24" s="1214"/>
      <c r="G24" s="1212"/>
      <c r="H24" s="1212"/>
      <c r="I24" s="1212"/>
      <c r="J24" s="1212"/>
      <c r="K24" s="1212"/>
      <c r="L24" s="1212"/>
      <c r="M24" s="1212"/>
      <c r="N24" s="1212"/>
      <c r="O24" s="1212"/>
      <c r="P24" s="1212"/>
      <c r="Q24" s="1212"/>
      <c r="R24" s="1212"/>
      <c r="S24" s="1212"/>
      <c r="T24" s="1212"/>
      <c r="U24" s="1212"/>
      <c r="V24" s="1212"/>
      <c r="W24" s="1212"/>
      <c r="X24" s="1212"/>
      <c r="Y24" s="1212"/>
      <c r="Z24" s="1212"/>
      <c r="AA24" s="1212"/>
      <c r="AB24" s="1212"/>
    </row>
    <row r="25" spans="1:28">
      <c r="A25" s="200"/>
      <c r="B25" s="206"/>
      <c r="C25" s="1214"/>
      <c r="D25" s="1214"/>
      <c r="E25" s="1213"/>
      <c r="F25" s="1214"/>
      <c r="G25" s="1212"/>
      <c r="H25" s="1212"/>
      <c r="I25" s="1212"/>
      <c r="J25" s="1212"/>
      <c r="K25" s="1212"/>
      <c r="L25" s="1212"/>
      <c r="M25" s="1212"/>
      <c r="N25" s="1212"/>
      <c r="O25" s="1212"/>
      <c r="P25" s="1212"/>
      <c r="Q25" s="1212"/>
      <c r="R25" s="1212"/>
      <c r="S25" s="1212"/>
      <c r="T25" s="1212"/>
      <c r="U25" s="1212"/>
      <c r="V25" s="1212"/>
      <c r="W25" s="1212"/>
      <c r="X25" s="1212"/>
      <c r="Y25" s="1212"/>
      <c r="Z25" s="1212"/>
      <c r="AA25" s="1212"/>
      <c r="AB25" s="1212"/>
    </row>
    <row r="26" spans="1:28">
      <c r="A26" s="205"/>
      <c r="B26" s="206"/>
      <c r="C26" s="1212"/>
      <c r="D26" s="1212"/>
      <c r="E26" s="1213"/>
      <c r="F26" s="1214"/>
      <c r="G26" s="1212"/>
      <c r="H26" s="1212"/>
      <c r="I26" s="1212"/>
      <c r="J26" s="1212"/>
      <c r="K26" s="1212"/>
      <c r="L26" s="1212"/>
      <c r="M26" s="1212"/>
      <c r="N26" s="1212"/>
      <c r="O26" s="1212"/>
      <c r="P26" s="1212"/>
      <c r="Q26" s="1212"/>
      <c r="R26" s="1212"/>
      <c r="S26" s="1212"/>
      <c r="T26" s="1212"/>
      <c r="U26" s="1212"/>
      <c r="V26" s="1212"/>
      <c r="W26" s="1212"/>
      <c r="X26" s="1212"/>
      <c r="Y26" s="1212"/>
      <c r="Z26" s="1212"/>
      <c r="AA26" s="1212"/>
      <c r="AB26" s="1212"/>
    </row>
    <row r="27" spans="1:28">
      <c r="A27" s="200"/>
      <c r="B27" s="206"/>
      <c r="C27" s="1212"/>
      <c r="D27" s="1212"/>
      <c r="E27" s="1213"/>
      <c r="F27" s="1214"/>
      <c r="G27" s="1212"/>
      <c r="H27" s="1212"/>
      <c r="I27" s="1212"/>
      <c r="J27" s="1212"/>
      <c r="K27" s="1212"/>
      <c r="L27" s="1212"/>
      <c r="M27" s="1212"/>
      <c r="N27" s="1212"/>
      <c r="O27" s="1212"/>
      <c r="P27" s="1212"/>
      <c r="Q27" s="1212"/>
      <c r="R27" s="1212"/>
      <c r="S27" s="1212"/>
      <c r="T27" s="1212"/>
      <c r="U27" s="1212"/>
      <c r="V27" s="1212"/>
      <c r="W27" s="1212"/>
      <c r="X27" s="1212"/>
      <c r="Y27" s="1212"/>
      <c r="Z27" s="1212"/>
      <c r="AA27" s="1212"/>
      <c r="AB27" s="1212"/>
    </row>
    <row r="28" spans="1:28">
      <c r="A28" s="207"/>
      <c r="B28" s="206"/>
      <c r="C28" s="1212"/>
      <c r="D28" s="1212"/>
      <c r="E28" s="1213"/>
      <c r="F28" s="1214"/>
      <c r="G28" s="1212"/>
      <c r="H28" s="1212"/>
      <c r="I28" s="1212"/>
      <c r="J28" s="1212"/>
      <c r="K28" s="1212"/>
      <c r="L28" s="1212"/>
      <c r="M28" s="1212"/>
      <c r="N28" s="1212"/>
      <c r="O28" s="1212"/>
      <c r="P28" s="1212"/>
      <c r="Q28" s="1212"/>
      <c r="R28" s="1212"/>
      <c r="S28" s="1212"/>
      <c r="T28" s="1212"/>
      <c r="U28" s="1212"/>
      <c r="V28" s="1212"/>
      <c r="W28" s="1212"/>
      <c r="X28" s="1212"/>
      <c r="Y28" s="1212"/>
      <c r="Z28" s="1212"/>
      <c r="AA28" s="1212"/>
      <c r="AB28" s="1212"/>
    </row>
    <row r="29" spans="1:28">
      <c r="A29" s="207"/>
      <c r="B29" s="206"/>
      <c r="C29" s="1212"/>
      <c r="D29" s="1212"/>
      <c r="E29" s="1213"/>
      <c r="F29" s="1214"/>
      <c r="G29" s="1212"/>
      <c r="H29" s="1212"/>
      <c r="I29" s="1212"/>
      <c r="J29" s="1212"/>
      <c r="K29" s="1212"/>
      <c r="L29" s="1212"/>
      <c r="M29" s="1212"/>
      <c r="N29" s="1212"/>
      <c r="O29" s="1212"/>
      <c r="P29" s="1212"/>
      <c r="Q29" s="1212"/>
      <c r="R29" s="1212"/>
      <c r="S29" s="1212"/>
      <c r="T29" s="1212"/>
      <c r="U29" s="1212"/>
      <c r="V29" s="1212"/>
      <c r="W29" s="1212"/>
      <c r="X29" s="1212"/>
      <c r="Y29" s="1212"/>
      <c r="Z29" s="1212"/>
      <c r="AA29" s="1212"/>
      <c r="AB29" s="1212"/>
    </row>
    <row r="30" spans="1:28" ht="13.5" customHeight="1">
      <c r="A30" s="207"/>
      <c r="B30" s="206"/>
      <c r="C30" s="1214"/>
      <c r="D30" s="1212"/>
      <c r="E30" s="1213"/>
      <c r="F30" s="1214"/>
      <c r="G30" s="1212"/>
      <c r="H30" s="1212"/>
      <c r="I30" s="1212"/>
      <c r="J30" s="1212"/>
      <c r="K30" s="1212"/>
      <c r="L30" s="1212"/>
      <c r="M30" s="1212"/>
      <c r="N30" s="1212"/>
      <c r="O30" s="1212"/>
      <c r="P30" s="1212"/>
      <c r="Q30" s="1212"/>
      <c r="R30" s="1212"/>
      <c r="S30" s="1212"/>
      <c r="T30" s="1212"/>
      <c r="U30" s="1212"/>
      <c r="V30" s="1212"/>
      <c r="W30" s="1212"/>
      <c r="X30" s="1212"/>
      <c r="Y30" s="1212"/>
      <c r="Z30" s="1212"/>
      <c r="AA30" s="1212"/>
      <c r="AB30" s="1212"/>
    </row>
    <row r="31" spans="1:28">
      <c r="A31" s="457"/>
      <c r="B31" s="206"/>
      <c r="C31" s="1214"/>
      <c r="D31" s="1212"/>
      <c r="E31" s="1213"/>
      <c r="F31" s="1214"/>
      <c r="G31" s="1212"/>
      <c r="H31" s="1212"/>
      <c r="I31" s="1212"/>
      <c r="J31" s="1212"/>
      <c r="K31" s="1212"/>
      <c r="L31" s="1212"/>
      <c r="M31" s="1212"/>
      <c r="N31" s="1212"/>
      <c r="O31" s="1212"/>
      <c r="P31" s="1212"/>
      <c r="Q31" s="1212"/>
      <c r="R31" s="1212"/>
      <c r="S31" s="1212"/>
      <c r="T31" s="1212"/>
      <c r="U31" s="1212"/>
      <c r="V31" s="1212"/>
      <c r="W31" s="1212"/>
      <c r="X31" s="1212"/>
      <c r="Y31" s="1212"/>
      <c r="Z31" s="1212"/>
      <c r="AA31" s="1212"/>
      <c r="AB31" s="1212"/>
    </row>
    <row r="32" spans="1:28">
      <c r="A32" s="457"/>
      <c r="B32" s="199"/>
      <c r="C32" s="1214"/>
      <c r="D32" s="1212"/>
      <c r="E32" s="1217"/>
      <c r="F32" s="1214"/>
      <c r="G32" s="1212"/>
      <c r="H32" s="1212"/>
      <c r="I32" s="1212"/>
      <c r="J32" s="1212"/>
      <c r="K32" s="1212"/>
      <c r="L32" s="1212"/>
      <c r="M32" s="1212"/>
      <c r="N32" s="1212"/>
      <c r="O32" s="1212"/>
      <c r="P32" s="1212"/>
      <c r="Q32" s="1212"/>
      <c r="R32" s="1212"/>
      <c r="S32" s="1212"/>
      <c r="T32" s="1212"/>
      <c r="U32" s="1212"/>
      <c r="V32" s="1212"/>
      <c r="W32" s="1212"/>
      <c r="X32" s="1212"/>
      <c r="Y32" s="1212"/>
      <c r="Z32" s="1212"/>
      <c r="AA32" s="1212"/>
      <c r="AB32" s="1212"/>
    </row>
    <row r="33" spans="1:28">
      <c r="A33" s="207"/>
      <c r="B33" s="206"/>
      <c r="C33" s="1214"/>
      <c r="D33" s="1212"/>
      <c r="E33" s="1217"/>
      <c r="F33" s="1214"/>
      <c r="G33" s="1212"/>
      <c r="H33" s="1212"/>
      <c r="I33" s="1212"/>
      <c r="J33" s="1212"/>
      <c r="K33" s="1212"/>
      <c r="L33" s="1212"/>
      <c r="M33" s="1212"/>
      <c r="N33" s="1212"/>
      <c r="O33" s="1212"/>
      <c r="P33" s="1212"/>
      <c r="Q33" s="1212"/>
      <c r="R33" s="1212"/>
      <c r="S33" s="1212"/>
      <c r="T33" s="1212"/>
      <c r="U33" s="1212"/>
      <c r="V33" s="1212"/>
      <c r="W33" s="1212"/>
      <c r="X33" s="1212"/>
      <c r="Y33" s="1212"/>
      <c r="Z33" s="1212"/>
      <c r="AA33" s="1212"/>
      <c r="AB33" s="1212"/>
    </row>
    <row r="34" spans="1:28">
      <c r="A34" s="207"/>
      <c r="B34" s="206"/>
      <c r="C34" s="1214"/>
      <c r="D34" s="1212"/>
      <c r="E34" s="1217"/>
      <c r="F34" s="1214"/>
      <c r="G34" s="1212"/>
      <c r="H34" s="1212"/>
      <c r="I34" s="1212"/>
      <c r="J34" s="1212"/>
      <c r="K34" s="1212"/>
      <c r="L34" s="1212"/>
      <c r="M34" s="1212"/>
      <c r="N34" s="1212"/>
      <c r="O34" s="1212"/>
      <c r="P34" s="1212"/>
      <c r="Q34" s="1212"/>
      <c r="R34" s="1212"/>
      <c r="S34" s="1212"/>
      <c r="T34" s="1212"/>
      <c r="U34" s="1212"/>
      <c r="V34" s="1212"/>
      <c r="W34" s="1212"/>
      <c r="X34" s="1212"/>
      <c r="Y34" s="1212"/>
      <c r="Z34" s="1212"/>
      <c r="AA34" s="1212"/>
      <c r="AB34" s="1212"/>
    </row>
    <row r="35" spans="1:28">
      <c r="A35" s="207"/>
      <c r="B35" s="206"/>
      <c r="C35" s="1214"/>
      <c r="D35" s="1212"/>
      <c r="E35" s="1217"/>
      <c r="F35" s="1214"/>
      <c r="G35" s="1212"/>
      <c r="H35" s="1212"/>
      <c r="I35" s="1212"/>
      <c r="J35" s="1212"/>
      <c r="K35" s="1212"/>
      <c r="L35" s="1212"/>
      <c r="M35" s="1212"/>
      <c r="N35" s="1212"/>
      <c r="O35" s="1212"/>
      <c r="P35" s="1212"/>
      <c r="Q35" s="1212"/>
      <c r="R35" s="1212"/>
      <c r="S35" s="1212"/>
      <c r="T35" s="1212"/>
      <c r="U35" s="1212"/>
      <c r="V35" s="1212"/>
      <c r="W35" s="1212"/>
      <c r="X35" s="1212"/>
      <c r="Y35" s="1212"/>
      <c r="Z35" s="1212"/>
      <c r="AA35" s="1212"/>
      <c r="AB35" s="1212"/>
    </row>
    <row r="36" spans="1:28">
      <c r="A36" s="207"/>
      <c r="B36" s="206"/>
      <c r="C36" s="1212"/>
      <c r="D36" s="1212"/>
      <c r="E36" s="1217"/>
      <c r="F36" s="1214"/>
      <c r="G36" s="1214"/>
      <c r="H36" s="1214"/>
      <c r="I36" s="1218"/>
      <c r="J36" s="1214"/>
      <c r="K36" s="1214"/>
      <c r="L36" s="1212"/>
      <c r="M36" s="1214"/>
      <c r="N36" s="1214"/>
      <c r="O36" s="1214"/>
      <c r="P36" s="1212"/>
      <c r="Q36" s="1214"/>
      <c r="R36" s="1212"/>
      <c r="S36" s="1212"/>
      <c r="T36" s="1220"/>
      <c r="U36" s="1220"/>
      <c r="V36" s="1220"/>
      <c r="W36" s="1220"/>
      <c r="X36" s="1212"/>
      <c r="Y36" s="1214"/>
      <c r="Z36" s="1212"/>
      <c r="AA36" s="1212"/>
      <c r="AB36" s="1220"/>
    </row>
    <row r="37" spans="1:28">
      <c r="A37" s="207"/>
      <c r="B37" s="206"/>
      <c r="C37" s="1214"/>
      <c r="D37" s="1214"/>
      <c r="E37" s="1217"/>
      <c r="F37" s="1214"/>
      <c r="G37" s="1214"/>
      <c r="H37" s="1214"/>
      <c r="I37" s="1218"/>
      <c r="J37" s="1214"/>
      <c r="K37" s="1214"/>
      <c r="L37" s="1212"/>
      <c r="M37" s="1214"/>
      <c r="N37" s="1214"/>
      <c r="O37" s="1214"/>
      <c r="P37" s="1212"/>
      <c r="Q37" s="1214"/>
      <c r="R37" s="1212"/>
      <c r="S37" s="1212"/>
      <c r="T37" s="1220"/>
      <c r="U37" s="1220"/>
      <c r="V37" s="1220"/>
      <c r="W37" s="1220"/>
      <c r="X37" s="1212"/>
      <c r="Y37" s="1214"/>
      <c r="Z37" s="1212"/>
      <c r="AA37" s="1212"/>
      <c r="AB37" s="1220"/>
    </row>
    <row r="38" spans="1:28">
      <c r="A38" s="207"/>
      <c r="B38" s="206"/>
      <c r="C38" s="1214"/>
      <c r="D38" s="1214"/>
      <c r="E38" s="1217"/>
      <c r="F38" s="1214"/>
      <c r="G38" s="1214"/>
      <c r="H38" s="1214"/>
      <c r="I38" s="1218"/>
      <c r="J38" s="1214"/>
      <c r="K38" s="1214"/>
      <c r="L38" s="1212"/>
      <c r="M38" s="1214"/>
      <c r="N38" s="1214"/>
      <c r="O38" s="1214"/>
      <c r="P38" s="1212"/>
      <c r="Q38" s="1214"/>
      <c r="R38" s="1212"/>
      <c r="S38" s="1212"/>
      <c r="T38" s="1220"/>
      <c r="U38" s="1220"/>
      <c r="V38" s="1220"/>
      <c r="W38" s="1220"/>
      <c r="X38" s="1212"/>
      <c r="Y38" s="1214"/>
      <c r="Z38" s="1212"/>
      <c r="AA38" s="1212"/>
      <c r="AB38" s="1220"/>
    </row>
    <row r="39" spans="1:28">
      <c r="A39" s="207"/>
      <c r="B39" s="206"/>
      <c r="C39" s="1214"/>
      <c r="D39" s="1214"/>
      <c r="E39" s="1217"/>
      <c r="F39" s="1214"/>
      <c r="G39" s="1214"/>
      <c r="H39" s="1214"/>
      <c r="I39" s="1218"/>
      <c r="J39" s="1214"/>
      <c r="K39" s="1214"/>
      <c r="L39" s="1212"/>
      <c r="M39" s="1214"/>
      <c r="N39" s="1214"/>
      <c r="O39" s="1214"/>
      <c r="P39" s="1212"/>
      <c r="Q39" s="1214"/>
      <c r="R39" s="1212"/>
      <c r="S39" s="1212"/>
      <c r="T39" s="1220"/>
      <c r="U39" s="1220"/>
      <c r="V39" s="1220"/>
      <c r="W39" s="1220"/>
      <c r="X39" s="1212"/>
      <c r="Y39" s="1214"/>
      <c r="Z39" s="1212"/>
      <c r="AA39" s="1212"/>
      <c r="AB39" s="1220"/>
    </row>
    <row r="40" spans="1:28">
      <c r="A40" s="207"/>
      <c r="B40" s="206"/>
      <c r="C40" s="1214"/>
      <c r="D40" s="1214"/>
      <c r="E40" s="1217"/>
      <c r="F40" s="1214"/>
      <c r="G40" s="1214"/>
      <c r="H40" s="1214"/>
      <c r="I40" s="1218"/>
      <c r="J40" s="1214"/>
      <c r="K40" s="1214"/>
      <c r="L40" s="1212"/>
      <c r="M40" s="1214"/>
      <c r="N40" s="1214"/>
      <c r="O40" s="1214"/>
      <c r="P40" s="1212"/>
      <c r="Q40" s="1214"/>
      <c r="R40" s="1212"/>
      <c r="S40" s="1212"/>
      <c r="T40" s="1220"/>
      <c r="U40" s="1220"/>
      <c r="V40" s="1220"/>
      <c r="W40" s="1220"/>
      <c r="X40" s="1212"/>
      <c r="Y40" s="1214"/>
      <c r="Z40" s="1212"/>
      <c r="AA40" s="1212"/>
      <c r="AB40" s="1220"/>
    </row>
    <row r="41" spans="1:28">
      <c r="A41" s="207"/>
      <c r="B41" s="206"/>
      <c r="C41" s="1214"/>
      <c r="D41" s="1214"/>
      <c r="E41" s="1217"/>
      <c r="F41" s="1212"/>
      <c r="G41" s="1214"/>
      <c r="H41" s="1214"/>
      <c r="I41" s="1218"/>
      <c r="J41" s="1214"/>
      <c r="K41" s="1214"/>
      <c r="L41" s="1212"/>
      <c r="M41" s="1214"/>
      <c r="N41" s="1214"/>
      <c r="O41" s="1214"/>
      <c r="P41" s="1212"/>
      <c r="Q41" s="1214"/>
      <c r="R41" s="1212"/>
      <c r="S41" s="1212"/>
      <c r="T41" s="1220"/>
      <c r="U41" s="1220"/>
      <c r="V41" s="1220"/>
      <c r="W41" s="1220"/>
      <c r="X41" s="1212"/>
      <c r="Y41" s="1214"/>
      <c r="Z41" s="1212"/>
      <c r="AA41" s="1212"/>
      <c r="AB41" s="1220"/>
    </row>
    <row r="42" spans="1:28">
      <c r="A42" s="207"/>
      <c r="B42" s="206"/>
      <c r="C42" s="1214"/>
      <c r="D42" s="1214"/>
      <c r="E42" s="1217"/>
      <c r="F42" s="1212"/>
      <c r="G42" s="1214"/>
      <c r="H42" s="1214"/>
      <c r="I42" s="1218"/>
      <c r="J42" s="1214"/>
      <c r="K42" s="1214"/>
      <c r="L42" s="1212"/>
      <c r="M42" s="1214"/>
      <c r="N42" s="1214"/>
      <c r="O42" s="1214"/>
      <c r="P42" s="1212"/>
      <c r="Q42" s="1214"/>
      <c r="R42" s="1212"/>
      <c r="S42" s="1212"/>
      <c r="T42" s="1220"/>
      <c r="U42" s="1220"/>
      <c r="V42" s="1220"/>
      <c r="W42" s="1220"/>
      <c r="X42" s="1212"/>
      <c r="Y42" s="1214"/>
      <c r="Z42" s="1212"/>
      <c r="AA42" s="1212"/>
      <c r="AB42" s="1220"/>
    </row>
    <row r="43" spans="1:28">
      <c r="A43" s="207"/>
      <c r="B43" s="206"/>
      <c r="C43" s="1214"/>
      <c r="D43" s="1214"/>
      <c r="E43" s="1217"/>
      <c r="F43" s="1212"/>
      <c r="G43" s="1214"/>
      <c r="H43" s="1214"/>
      <c r="I43" s="1218"/>
      <c r="J43" s="1214"/>
      <c r="K43" s="1214"/>
      <c r="L43" s="1212"/>
      <c r="M43" s="1214"/>
      <c r="N43" s="1214"/>
      <c r="O43" s="1214"/>
      <c r="P43" s="1212"/>
      <c r="Q43" s="1214"/>
      <c r="R43" s="1212"/>
      <c r="S43" s="1212"/>
      <c r="T43" s="1220"/>
      <c r="U43" s="1220"/>
      <c r="V43" s="1220"/>
      <c r="W43" s="1220"/>
      <c r="X43" s="1212"/>
      <c r="Y43" s="1214"/>
      <c r="Z43" s="1212"/>
      <c r="AA43" s="1212"/>
      <c r="AB43" s="1220"/>
    </row>
    <row r="44" spans="1:28">
      <c r="A44" s="207"/>
      <c r="B44" s="206"/>
      <c r="C44" s="1214"/>
      <c r="D44" s="1214"/>
      <c r="E44" s="2047"/>
      <c r="F44" s="1212"/>
      <c r="G44" s="1214"/>
      <c r="H44" s="1214"/>
      <c r="I44" s="1218"/>
      <c r="J44" s="1214"/>
      <c r="K44" s="1214"/>
      <c r="L44" s="1212"/>
      <c r="M44" s="1214"/>
      <c r="N44" s="1214"/>
      <c r="O44" s="1214"/>
      <c r="P44" s="1212"/>
      <c r="Q44" s="1214"/>
      <c r="R44" s="1212"/>
      <c r="S44" s="1212"/>
      <c r="T44" s="1220"/>
      <c r="U44" s="1220"/>
      <c r="V44" s="1220"/>
      <c r="W44" s="1220"/>
      <c r="X44" s="1212"/>
      <c r="Y44" s="1214"/>
      <c r="Z44" s="1212"/>
      <c r="AA44" s="1212"/>
      <c r="AB44" s="1220"/>
    </row>
    <row r="45" spans="1:28">
      <c r="A45" s="207"/>
      <c r="B45" s="206"/>
      <c r="C45" s="1214"/>
      <c r="D45" s="1214"/>
      <c r="E45" s="2047"/>
      <c r="F45" s="1212"/>
      <c r="G45" s="1214"/>
      <c r="H45" s="1214"/>
      <c r="I45" s="1218"/>
      <c r="J45" s="1214"/>
      <c r="K45" s="1214"/>
      <c r="L45" s="1212"/>
      <c r="M45" s="1214"/>
      <c r="N45" s="1214"/>
      <c r="O45" s="1214"/>
      <c r="P45" s="1212"/>
      <c r="Q45" s="1214"/>
      <c r="R45" s="1212"/>
      <c r="S45" s="1212"/>
      <c r="T45" s="1220"/>
      <c r="U45" s="1220"/>
      <c r="V45" s="1220"/>
      <c r="W45" s="1220"/>
      <c r="X45" s="1212"/>
      <c r="Y45" s="1214"/>
      <c r="Z45" s="1212"/>
      <c r="AA45" s="1212"/>
      <c r="AB45" s="1220"/>
    </row>
    <row r="46" spans="1:28">
      <c r="A46" s="207"/>
      <c r="B46" s="206"/>
      <c r="C46" s="1214"/>
      <c r="D46" s="1214"/>
      <c r="E46" s="2047"/>
      <c r="F46" s="1212"/>
      <c r="G46" s="1214"/>
      <c r="H46" s="1214"/>
      <c r="I46" s="1218"/>
      <c r="J46" s="1214"/>
      <c r="K46" s="1214"/>
      <c r="L46" s="1212"/>
      <c r="M46" s="1214"/>
      <c r="N46" s="1214"/>
      <c r="O46" s="1214"/>
      <c r="P46" s="1212"/>
      <c r="Q46" s="1214"/>
      <c r="R46" s="1212"/>
      <c r="S46" s="1212"/>
      <c r="T46" s="1220"/>
      <c r="U46" s="1220"/>
      <c r="V46" s="1220"/>
      <c r="W46" s="1220"/>
      <c r="X46" s="1212"/>
      <c r="Y46" s="1214"/>
      <c r="Z46" s="1212"/>
      <c r="AA46" s="1212"/>
      <c r="AB46" s="1220"/>
    </row>
    <row r="47" spans="1:28">
      <c r="A47" s="207"/>
      <c r="B47" s="206"/>
      <c r="C47" s="1214"/>
      <c r="D47" s="1214"/>
      <c r="E47" s="2047"/>
      <c r="F47" s="1212"/>
      <c r="G47" s="1214"/>
      <c r="H47" s="1214"/>
      <c r="I47" s="1218"/>
      <c r="J47" s="1214"/>
      <c r="K47" s="1214"/>
      <c r="L47" s="1212"/>
      <c r="M47" s="1214"/>
      <c r="N47" s="1214"/>
      <c r="O47" s="1214"/>
      <c r="P47" s="1212"/>
      <c r="Q47" s="1214"/>
      <c r="R47" s="1212"/>
      <c r="S47" s="1212"/>
      <c r="T47" s="1220"/>
      <c r="U47" s="1220"/>
      <c r="V47" s="1220"/>
      <c r="W47" s="1220"/>
      <c r="X47" s="1212"/>
      <c r="Y47" s="1214"/>
      <c r="Z47" s="1212"/>
      <c r="AA47" s="1212"/>
      <c r="AB47" s="1220"/>
    </row>
    <row r="48" spans="1:28">
      <c r="A48" s="207"/>
      <c r="B48" s="206"/>
      <c r="C48" s="1214"/>
      <c r="D48" s="1214"/>
      <c r="E48" s="2047"/>
      <c r="F48" s="1212"/>
      <c r="G48" s="1214"/>
      <c r="H48" s="1214"/>
      <c r="I48" s="1218"/>
      <c r="J48" s="1214"/>
      <c r="K48" s="1214"/>
      <c r="L48" s="1212"/>
      <c r="M48" s="1214"/>
      <c r="N48" s="1214"/>
      <c r="O48" s="1214"/>
      <c r="P48" s="1212"/>
      <c r="Q48" s="1214"/>
      <c r="R48" s="1212"/>
      <c r="S48" s="1212"/>
      <c r="T48" s="1220"/>
      <c r="U48" s="1220"/>
      <c r="V48" s="1220"/>
      <c r="W48" s="1220"/>
      <c r="X48" s="1212"/>
      <c r="Y48" s="1214"/>
      <c r="Z48" s="1212"/>
      <c r="AA48" s="1212"/>
      <c r="AB48" s="1220"/>
    </row>
    <row r="49" spans="1:28">
      <c r="A49" s="207"/>
      <c r="B49" s="206"/>
      <c r="C49" s="1214"/>
      <c r="D49" s="1214"/>
      <c r="E49" s="2047"/>
      <c r="F49" s="1212"/>
      <c r="G49" s="1214"/>
      <c r="H49" s="1214"/>
      <c r="I49" s="1218"/>
      <c r="J49" s="1214"/>
      <c r="K49" s="1214"/>
      <c r="L49" s="1212"/>
      <c r="M49" s="1214"/>
      <c r="N49" s="1214"/>
      <c r="O49" s="1214"/>
      <c r="P49" s="1212"/>
      <c r="Q49" s="1214"/>
      <c r="R49" s="1212"/>
      <c r="S49" s="1212"/>
      <c r="T49" s="1220"/>
      <c r="U49" s="1220"/>
      <c r="V49" s="1220"/>
      <c r="W49" s="1220"/>
      <c r="X49" s="1212"/>
      <c r="Y49" s="1214"/>
      <c r="Z49" s="1212"/>
      <c r="AA49" s="1212"/>
      <c r="AB49" s="1220"/>
    </row>
    <row r="50" spans="1:28">
      <c r="A50" s="207"/>
      <c r="B50" s="206"/>
      <c r="C50" s="1214"/>
      <c r="D50" s="1214"/>
      <c r="E50" s="2047"/>
      <c r="F50" s="1212"/>
      <c r="G50" s="1214"/>
      <c r="H50" s="1214"/>
      <c r="I50" s="1218"/>
      <c r="J50" s="1214"/>
      <c r="K50" s="1214"/>
      <c r="L50" s="1212"/>
      <c r="M50" s="1214"/>
      <c r="N50" s="1214"/>
      <c r="O50" s="1214"/>
      <c r="P50" s="1212"/>
      <c r="Q50" s="1214"/>
      <c r="R50" s="1212"/>
      <c r="S50" s="1212"/>
      <c r="T50" s="1220"/>
      <c r="U50" s="1220"/>
      <c r="V50" s="1220"/>
      <c r="W50" s="1220"/>
      <c r="X50" s="1212"/>
      <c r="Y50" s="1214"/>
      <c r="Z50" s="1212"/>
      <c r="AA50" s="1212"/>
      <c r="AB50" s="1220"/>
    </row>
    <row r="51" spans="1:28">
      <c r="A51" s="207"/>
      <c r="B51" s="206"/>
      <c r="C51" s="1214"/>
      <c r="D51" s="1214"/>
      <c r="E51" s="2047"/>
      <c r="F51" s="1212"/>
      <c r="G51" s="1214"/>
      <c r="H51" s="1214"/>
      <c r="I51" s="1218"/>
      <c r="J51" s="1214"/>
      <c r="K51" s="1214"/>
      <c r="L51" s="1212"/>
      <c r="M51" s="1214"/>
      <c r="N51" s="1214"/>
      <c r="O51" s="1214"/>
      <c r="P51" s="1212"/>
      <c r="Q51" s="1214"/>
      <c r="R51" s="1212"/>
      <c r="S51" s="1212"/>
      <c r="T51" s="1220"/>
      <c r="U51" s="1220"/>
      <c r="V51" s="1220"/>
      <c r="W51" s="1220"/>
      <c r="X51" s="1212"/>
      <c r="Y51" s="1214"/>
      <c r="Z51" s="1212"/>
      <c r="AA51" s="1212"/>
      <c r="AB51" s="1220"/>
    </row>
    <row r="52" spans="1:28">
      <c r="A52" s="207"/>
      <c r="B52" s="206"/>
      <c r="C52" s="1214"/>
      <c r="D52" s="1214"/>
      <c r="E52" s="2047"/>
      <c r="F52" s="1212"/>
      <c r="G52" s="1214"/>
      <c r="H52" s="1214"/>
      <c r="I52" s="1218"/>
      <c r="J52" s="1214"/>
      <c r="K52" s="1214"/>
      <c r="L52" s="1212"/>
      <c r="M52" s="1214"/>
      <c r="N52" s="1214"/>
      <c r="O52" s="1214"/>
      <c r="P52" s="1212"/>
      <c r="Q52" s="1214"/>
      <c r="R52" s="1212"/>
      <c r="S52" s="1212"/>
      <c r="T52" s="1220"/>
      <c r="U52" s="1220"/>
      <c r="V52" s="1220"/>
      <c r="W52" s="1220"/>
      <c r="X52" s="1212"/>
      <c r="Y52" s="1214"/>
      <c r="Z52" s="1212"/>
      <c r="AA52" s="1212"/>
      <c r="AB52" s="1220"/>
    </row>
    <row r="53" spans="1:28">
      <c r="A53" s="207"/>
      <c r="B53" s="199"/>
      <c r="C53" s="1212"/>
      <c r="D53" s="1214"/>
      <c r="E53" s="1214"/>
      <c r="F53" s="1212"/>
      <c r="G53" s="1214"/>
      <c r="H53" s="1214"/>
      <c r="I53" s="1214"/>
      <c r="J53" s="1214"/>
      <c r="K53" s="1214"/>
      <c r="L53" s="1212"/>
      <c r="M53" s="1214"/>
      <c r="N53" s="1214"/>
      <c r="O53" s="1214"/>
      <c r="P53" s="1212"/>
      <c r="Q53" s="1214"/>
      <c r="R53" s="1212"/>
      <c r="S53" s="1212"/>
      <c r="T53" s="1220"/>
      <c r="U53" s="1220"/>
      <c r="V53" s="1220"/>
      <c r="W53" s="1220"/>
      <c r="X53" s="1212"/>
      <c r="Y53" s="1214"/>
      <c r="Z53" s="1212"/>
      <c r="AA53" s="1212"/>
      <c r="AB53" s="1220"/>
    </row>
    <row r="54" spans="1:28">
      <c r="A54" s="207"/>
      <c r="B54" s="458"/>
      <c r="C54" s="1212"/>
      <c r="D54" s="1214"/>
      <c r="E54" s="1214"/>
      <c r="F54" s="1214"/>
      <c r="G54" s="1214"/>
      <c r="H54" s="1214"/>
      <c r="I54" s="1214"/>
      <c r="J54" s="1214"/>
      <c r="K54" s="1214"/>
      <c r="L54" s="1212"/>
      <c r="M54" s="1214"/>
      <c r="N54" s="1214"/>
      <c r="O54" s="1214"/>
      <c r="P54" s="1212"/>
      <c r="Q54" s="1214"/>
      <c r="R54" s="1212"/>
      <c r="S54" s="1212"/>
      <c r="T54" s="1220"/>
      <c r="U54" s="1220"/>
      <c r="V54" s="1220"/>
      <c r="W54" s="1220"/>
      <c r="X54" s="1212"/>
      <c r="Y54" s="1214"/>
      <c r="Z54" s="1212"/>
      <c r="AA54" s="1212"/>
      <c r="AB54" s="1220"/>
    </row>
    <row r="55" spans="1:28">
      <c r="A55" s="207"/>
      <c r="B55" s="458"/>
      <c r="C55" s="1212"/>
      <c r="D55" s="1214"/>
      <c r="E55" s="1214"/>
      <c r="F55" s="1214"/>
      <c r="G55" s="1214"/>
      <c r="H55" s="1214"/>
      <c r="I55" s="1214"/>
      <c r="J55" s="1214"/>
      <c r="K55" s="1214"/>
      <c r="L55" s="1212"/>
      <c r="M55" s="1214"/>
      <c r="N55" s="1214"/>
      <c r="O55" s="1214"/>
      <c r="P55" s="1212"/>
      <c r="Q55" s="1214"/>
      <c r="R55" s="1212"/>
      <c r="S55" s="1212"/>
      <c r="T55" s="1220"/>
      <c r="U55" s="1220"/>
      <c r="V55" s="1220"/>
      <c r="W55" s="1220"/>
      <c r="X55" s="1212"/>
      <c r="Y55" s="1214"/>
      <c r="Z55" s="1212"/>
      <c r="AA55" s="1212"/>
      <c r="AB55" s="1220"/>
    </row>
    <row r="56" spans="1:28">
      <c r="A56" s="207"/>
      <c r="B56" s="199"/>
      <c r="C56" s="1212"/>
      <c r="D56" s="1214"/>
      <c r="E56" s="1214"/>
      <c r="F56" s="1214"/>
      <c r="G56" s="1214"/>
      <c r="H56" s="1214"/>
      <c r="I56" s="1214"/>
      <c r="J56" s="1214"/>
      <c r="K56" s="1214"/>
      <c r="L56" s="1212"/>
      <c r="M56" s="1214"/>
      <c r="N56" s="1214"/>
      <c r="O56" s="1214"/>
      <c r="P56" s="1212"/>
      <c r="Q56" s="1214"/>
      <c r="R56" s="1212"/>
      <c r="S56" s="1212"/>
      <c r="T56" s="1220"/>
      <c r="U56" s="1220"/>
      <c r="V56" s="1220"/>
      <c r="W56" s="1220"/>
      <c r="X56" s="1212"/>
      <c r="Y56" s="1214"/>
      <c r="Z56" s="1212"/>
      <c r="AA56" s="1212"/>
      <c r="AB56" s="1220"/>
    </row>
    <row r="57" spans="1:28">
      <c r="A57" s="208"/>
      <c r="B57" s="209" t="s">
        <v>17</v>
      </c>
      <c r="C57" s="892">
        <f t="shared" ref="C57:AB57" si="0">SUM(C15:C56)</f>
        <v>153240</v>
      </c>
      <c r="D57" s="892">
        <f t="shared" si="0"/>
        <v>38310</v>
      </c>
      <c r="E57" s="892">
        <f t="shared" si="0"/>
        <v>4</v>
      </c>
      <c r="F57" s="892">
        <f t="shared" si="0"/>
        <v>153240</v>
      </c>
      <c r="G57" s="892">
        <f t="shared" si="0"/>
        <v>0</v>
      </c>
      <c r="H57" s="892">
        <f t="shared" si="0"/>
        <v>0</v>
      </c>
      <c r="I57" s="892">
        <f t="shared" si="0"/>
        <v>153240</v>
      </c>
      <c r="J57" s="892">
        <f t="shared" si="0"/>
        <v>0</v>
      </c>
      <c r="K57" s="892">
        <f t="shared" si="0"/>
        <v>0</v>
      </c>
      <c r="L57" s="892">
        <f t="shared" si="0"/>
        <v>153240</v>
      </c>
      <c r="M57" s="892">
        <f t="shared" si="0"/>
        <v>0</v>
      </c>
      <c r="N57" s="892">
        <f t="shared" si="0"/>
        <v>0</v>
      </c>
      <c r="O57" s="892">
        <f t="shared" si="0"/>
        <v>0</v>
      </c>
      <c r="P57" s="892">
        <f t="shared" si="0"/>
        <v>96000</v>
      </c>
      <c r="Q57" s="892">
        <f t="shared" si="0"/>
        <v>0</v>
      </c>
      <c r="R57" s="892">
        <f t="shared" si="0"/>
        <v>0</v>
      </c>
      <c r="S57" s="892">
        <f t="shared" si="0"/>
        <v>96000</v>
      </c>
      <c r="T57" s="893">
        <f>W57-L57</f>
        <v>0</v>
      </c>
      <c r="U57" s="892">
        <f t="shared" si="0"/>
        <v>38310</v>
      </c>
      <c r="V57" s="892">
        <f t="shared" si="0"/>
        <v>4</v>
      </c>
      <c r="W57" s="892">
        <f t="shared" si="0"/>
        <v>153240</v>
      </c>
      <c r="X57" s="892">
        <f t="shared" si="0"/>
        <v>153240</v>
      </c>
      <c r="Y57" s="892">
        <f t="shared" si="0"/>
        <v>0</v>
      </c>
      <c r="Z57" s="892">
        <f t="shared" si="0"/>
        <v>96000</v>
      </c>
      <c r="AA57" s="892">
        <f t="shared" si="0"/>
        <v>0</v>
      </c>
      <c r="AB57" s="892">
        <f t="shared" si="0"/>
        <v>153240</v>
      </c>
    </row>
    <row r="58" spans="1:28">
      <c r="A58" s="210"/>
      <c r="B58" s="211"/>
      <c r="F58" s="1853"/>
      <c r="G58" s="1853"/>
      <c r="H58" s="1853"/>
      <c r="I58" s="1853"/>
      <c r="J58" s="1853"/>
      <c r="K58" s="1853"/>
      <c r="L58" s="1853"/>
      <c r="M58" s="1853"/>
      <c r="N58" s="1853"/>
      <c r="P58" s="1853"/>
      <c r="Q58" s="1797"/>
      <c r="R58" s="1797"/>
    </row>
    <row r="59" spans="1:28">
      <c r="A59" s="210"/>
      <c r="B59" s="211"/>
      <c r="F59" s="1853"/>
      <c r="G59" s="1853"/>
      <c r="H59" s="1853"/>
      <c r="I59" s="1853"/>
      <c r="J59" s="1853"/>
      <c r="K59" s="1853"/>
      <c r="L59" s="1853"/>
      <c r="M59" s="1853"/>
      <c r="N59" s="1853"/>
      <c r="P59" s="1853"/>
      <c r="Q59" s="1797"/>
      <c r="R59" s="1797"/>
    </row>
    <row r="60" spans="1:28">
      <c r="F60" s="1853"/>
      <c r="R60" s="1797"/>
    </row>
    <row r="61" spans="1:28">
      <c r="F61" s="1853"/>
      <c r="R61" s="1797"/>
    </row>
    <row r="62" spans="1:28">
      <c r="R62" s="1797"/>
    </row>
    <row r="63" spans="1:28">
      <c r="A63" s="194" t="s">
        <v>59</v>
      </c>
      <c r="F63" s="1853"/>
    </row>
  </sheetData>
  <mergeCells count="6">
    <mergeCell ref="AB8:AB12"/>
    <mergeCell ref="E1:F1"/>
    <mergeCell ref="X8:X12"/>
    <mergeCell ref="Y8:Y12"/>
    <mergeCell ref="Z8:Z12"/>
    <mergeCell ref="AA8:AA12"/>
  </mergeCells>
  <phoneticPr fontId="0" type="noConversion"/>
  <conditionalFormatting sqref="U8:AC8 C4 U9:W12 AC9:AC12">
    <cfRule type="cellIs" dxfId="13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drawing r:id="rId1"/>
  <legacy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/>
  <dimension ref="A1:BQ89"/>
  <sheetViews>
    <sheetView showGridLines="0" showZeros="0" zoomScaleNormal="100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6" width="11" style="792"/>
    <col min="7" max="7" width="11.5" style="792" bestFit="1" customWidth="1"/>
    <col min="8" max="9" width="11" style="792"/>
    <col min="10" max="10" width="12.5" style="792" bestFit="1" customWidth="1"/>
    <col min="11" max="34" width="11" style="792"/>
  </cols>
  <sheetData>
    <row r="1" spans="1:6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64" s="459" customFormat="1" ht="12.75">
      <c r="A2" s="1298" t="s">
        <v>65</v>
      </c>
      <c r="B2" s="1299" t="s">
        <v>244</v>
      </c>
      <c r="C2" s="1979"/>
      <c r="D2" s="1979"/>
      <c r="E2" s="1979"/>
      <c r="F2" s="1979"/>
      <c r="G2" s="1979"/>
      <c r="H2" s="1979"/>
      <c r="I2" s="1980"/>
      <c r="J2" s="1980"/>
      <c r="K2" s="1980"/>
      <c r="L2" s="1980"/>
      <c r="M2" s="1980"/>
      <c r="N2" s="1980"/>
      <c r="O2" s="1980"/>
      <c r="P2" s="1980"/>
      <c r="Q2" s="1980"/>
      <c r="R2" s="1980"/>
      <c r="S2" s="1981"/>
      <c r="T2" s="1981"/>
      <c r="U2" s="1980"/>
      <c r="V2" s="1980"/>
      <c r="W2" s="1980"/>
      <c r="X2" s="212"/>
      <c r="Y2" s="212"/>
      <c r="Z2" s="212"/>
      <c r="AA2" s="212"/>
      <c r="AB2" s="212"/>
      <c r="AC2" s="1982"/>
      <c r="AD2" s="1982"/>
      <c r="AE2" s="1982"/>
      <c r="AF2" s="1982"/>
      <c r="AG2" s="1982"/>
      <c r="AH2" s="1982"/>
    </row>
    <row r="3" spans="1:64" s="459" customFormat="1" ht="12.75">
      <c r="A3" s="1300" t="s">
        <v>245</v>
      </c>
      <c r="B3" s="1301" t="s">
        <v>71</v>
      </c>
      <c r="C3" s="1983" t="s">
        <v>66</v>
      </c>
      <c r="D3" s="1979" t="s">
        <v>52</v>
      </c>
      <c r="E3" s="1979"/>
      <c r="F3" s="65" t="s">
        <v>84</v>
      </c>
      <c r="G3" s="65" t="s">
        <v>106</v>
      </c>
      <c r="H3" s="1979"/>
      <c r="I3" s="1979"/>
      <c r="J3" s="1979"/>
      <c r="K3" s="1979"/>
      <c r="L3" s="1979"/>
      <c r="M3" s="1979"/>
      <c r="N3" s="1979"/>
      <c r="O3" s="1979"/>
      <c r="P3" s="1979"/>
      <c r="Q3" s="1979"/>
      <c r="R3" s="1979"/>
      <c r="S3" s="1984"/>
      <c r="T3" s="1984"/>
      <c r="U3" s="1979"/>
      <c r="V3" s="1979"/>
      <c r="W3" s="1979"/>
      <c r="X3" s="212"/>
      <c r="Y3" s="212"/>
      <c r="Z3" s="212"/>
      <c r="AA3" s="212"/>
      <c r="AB3" s="212"/>
      <c r="AC3" s="1982"/>
      <c r="AD3" s="1982"/>
      <c r="AE3" s="1982"/>
      <c r="AF3" s="1982"/>
      <c r="AG3" s="1982"/>
      <c r="AH3" s="1982"/>
    </row>
    <row r="4" spans="1:64" s="459" customFormat="1" ht="12.75">
      <c r="A4" s="1298" t="s">
        <v>246</v>
      </c>
      <c r="B4" s="1302" t="s">
        <v>247</v>
      </c>
      <c r="C4" s="1979"/>
      <c r="D4" s="1979"/>
      <c r="E4" s="1979"/>
      <c r="F4" s="1985"/>
      <c r="G4" s="1985"/>
      <c r="H4" s="1985"/>
      <c r="I4" s="1985"/>
      <c r="J4" s="1985"/>
      <c r="K4" s="1985"/>
      <c r="L4" s="1985"/>
      <c r="M4" s="1985"/>
      <c r="N4" s="1985"/>
      <c r="O4" s="1979"/>
      <c r="P4" s="1985"/>
      <c r="Q4" s="1979"/>
      <c r="R4" s="1979"/>
      <c r="S4" s="1984"/>
      <c r="T4" s="1984"/>
      <c r="U4" s="1979"/>
      <c r="V4" s="1979"/>
      <c r="W4" s="1985"/>
      <c r="X4" s="212"/>
      <c r="Y4" s="212"/>
      <c r="Z4" s="212"/>
      <c r="AA4" s="212"/>
      <c r="AB4" s="212"/>
      <c r="AC4" s="1982"/>
      <c r="AD4" s="1982"/>
      <c r="AE4" s="1982"/>
      <c r="AF4" s="1982"/>
      <c r="AG4" s="1982"/>
      <c r="AH4" s="1982"/>
    </row>
    <row r="5" spans="1:64" s="459" customFormat="1" ht="12.75">
      <c r="A5" s="1298" t="s">
        <v>248</v>
      </c>
      <c r="B5" s="1302">
        <v>201000727</v>
      </c>
      <c r="C5" s="1979"/>
      <c r="D5" s="1979"/>
      <c r="E5" s="1979"/>
      <c r="F5" s="1985"/>
      <c r="G5" s="1985"/>
      <c r="H5" s="1979"/>
      <c r="I5" s="1986"/>
      <c r="J5" s="1985"/>
      <c r="K5" s="1987"/>
      <c r="L5" s="1985"/>
      <c r="M5" s="1985"/>
      <c r="N5" s="1985"/>
      <c r="O5" s="1979"/>
      <c r="P5" s="1985"/>
      <c r="Q5" s="1979"/>
      <c r="R5" s="1979"/>
      <c r="S5" s="1985"/>
      <c r="T5" s="1984"/>
      <c r="U5" s="1979"/>
      <c r="V5" s="1979"/>
      <c r="W5" s="1985"/>
      <c r="X5" s="212"/>
      <c r="Y5" s="212"/>
      <c r="Z5" s="212"/>
      <c r="AA5" s="212"/>
      <c r="AB5" s="212"/>
      <c r="AC5" s="1982"/>
      <c r="AD5" s="1982"/>
      <c r="AE5" s="1982"/>
      <c r="AF5" s="1982"/>
      <c r="AG5" s="1982"/>
      <c r="AH5" s="1982"/>
    </row>
    <row r="6" spans="1:64" s="459" customFormat="1" ht="12.75">
      <c r="A6" s="1298" t="s">
        <v>80</v>
      </c>
      <c r="B6" s="461" t="s">
        <v>249</v>
      </c>
      <c r="C6" s="1979"/>
      <c r="D6" s="1979"/>
      <c r="E6" s="1979"/>
      <c r="F6" s="1985"/>
      <c r="G6" s="1985"/>
      <c r="H6" s="1988"/>
      <c r="I6" s="1989" t="s">
        <v>76</v>
      </c>
      <c r="J6" s="1990"/>
      <c r="K6" s="1991"/>
      <c r="L6" s="1991"/>
      <c r="M6" s="1984"/>
      <c r="N6" s="1982"/>
      <c r="O6" s="1982"/>
      <c r="P6" s="1982"/>
      <c r="Q6" s="1984"/>
      <c r="R6" s="1979"/>
      <c r="S6" s="1984"/>
      <c r="T6" s="1984"/>
      <c r="U6" s="1979"/>
      <c r="V6" s="1979"/>
      <c r="W6" s="1985"/>
      <c r="X6" s="212"/>
      <c r="Y6" s="212"/>
      <c r="Z6" s="212"/>
      <c r="AA6" s="212"/>
      <c r="AB6" s="212"/>
      <c r="AC6" s="1982"/>
      <c r="AD6" s="1982"/>
      <c r="AE6" s="1982"/>
      <c r="AF6" s="1982"/>
      <c r="AG6" s="1982"/>
      <c r="AH6" s="1982"/>
    </row>
    <row r="7" spans="1:64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1"/>
      <c r="AM7" s="212"/>
      <c r="AN7" s="212"/>
      <c r="AO7" s="212"/>
      <c r="AP7" s="212"/>
      <c r="AQ7" s="212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s="459" customFormat="1" ht="16.5" customHeight="1">
      <c r="A8" s="1303" t="s">
        <v>0</v>
      </c>
      <c r="B8" s="1303" t="s">
        <v>1</v>
      </c>
      <c r="C8" s="1992" t="s">
        <v>2</v>
      </c>
      <c r="D8" s="1993" t="s">
        <v>3</v>
      </c>
      <c r="E8" s="1994"/>
      <c r="F8" s="1995"/>
      <c r="G8" s="1996" t="s">
        <v>4</v>
      </c>
      <c r="H8" s="1997"/>
      <c r="I8" s="1996" t="s">
        <v>5</v>
      </c>
      <c r="J8" s="1997"/>
      <c r="K8" s="1998" t="s">
        <v>6</v>
      </c>
      <c r="L8" s="1998"/>
      <c r="M8" s="1998"/>
      <c r="N8" s="1998"/>
      <c r="O8" s="1994" t="s">
        <v>7</v>
      </c>
      <c r="P8" s="1995"/>
      <c r="Q8" s="1994" t="s">
        <v>8</v>
      </c>
      <c r="R8" s="1995"/>
      <c r="S8" s="1999"/>
      <c r="T8" s="2000"/>
      <c r="U8" s="2399" t="s">
        <v>63</v>
      </c>
      <c r="V8" s="2400"/>
      <c r="W8" s="2401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396" t="s">
        <v>64</v>
      </c>
      <c r="AC8" s="1982"/>
      <c r="AD8" s="1982"/>
      <c r="AE8" s="1982"/>
      <c r="AF8" s="1982"/>
      <c r="AG8" s="1982"/>
      <c r="AH8" s="1982"/>
    </row>
    <row r="9" spans="1:64" s="459" customFormat="1" ht="8.25" customHeight="1">
      <c r="A9" s="1304" t="s">
        <v>9</v>
      </c>
      <c r="B9" s="1305"/>
      <c r="C9" s="2001"/>
      <c r="D9" s="2002"/>
      <c r="E9" s="2003"/>
      <c r="F9" s="2004"/>
      <c r="G9" s="2005"/>
      <c r="H9" s="2006"/>
      <c r="I9" s="2005" t="s">
        <v>10</v>
      </c>
      <c r="J9" s="2005"/>
      <c r="K9" s="2007" t="s">
        <v>11</v>
      </c>
      <c r="L9" s="2007"/>
      <c r="M9" s="2007"/>
      <c r="N9" s="2007" t="s">
        <v>12</v>
      </c>
      <c r="O9" s="2003"/>
      <c r="P9" s="2004"/>
      <c r="Q9" s="2003"/>
      <c r="R9" s="2008"/>
      <c r="S9" s="2009" t="s">
        <v>13</v>
      </c>
      <c r="T9" s="2010" t="s">
        <v>14</v>
      </c>
      <c r="U9" s="2402"/>
      <c r="V9" s="2403"/>
      <c r="W9" s="2404"/>
      <c r="X9" s="2407"/>
      <c r="Y9" s="2407"/>
      <c r="Z9" s="2407"/>
      <c r="AA9" s="2407"/>
      <c r="AB9" s="2397"/>
      <c r="AC9" s="1982"/>
      <c r="AD9" s="1982"/>
      <c r="AE9" s="1982"/>
      <c r="AF9" s="1982"/>
      <c r="AG9" s="1982"/>
      <c r="AH9" s="1982"/>
    </row>
    <row r="10" spans="1:64" s="459" customFormat="1" ht="8.25" customHeight="1">
      <c r="A10" s="1305"/>
      <c r="B10" s="1305"/>
      <c r="C10" s="2001"/>
      <c r="D10" s="2011" t="s">
        <v>15</v>
      </c>
      <c r="E10" s="2011" t="s">
        <v>16</v>
      </c>
      <c r="F10" s="1998" t="s">
        <v>17</v>
      </c>
      <c r="G10" s="2005"/>
      <c r="H10" s="2006"/>
      <c r="I10" s="2005"/>
      <c r="J10" s="2005"/>
      <c r="K10" s="2012" t="s">
        <v>18</v>
      </c>
      <c r="L10" s="2012" t="s">
        <v>17</v>
      </c>
      <c r="M10" s="2012" t="s">
        <v>19</v>
      </c>
      <c r="N10" s="2012" t="s">
        <v>20</v>
      </c>
      <c r="O10" s="2011" t="s">
        <v>16</v>
      </c>
      <c r="P10" s="1998" t="s">
        <v>17</v>
      </c>
      <c r="Q10" s="2011" t="s">
        <v>16</v>
      </c>
      <c r="R10" s="1998" t="s">
        <v>17</v>
      </c>
      <c r="S10" s="2009" t="s">
        <v>21</v>
      </c>
      <c r="T10" s="2010" t="s">
        <v>22</v>
      </c>
      <c r="U10" s="1686" t="s">
        <v>15</v>
      </c>
      <c r="V10" s="1686" t="s">
        <v>16</v>
      </c>
      <c r="W10" s="1687" t="s">
        <v>17</v>
      </c>
      <c r="X10" s="2407"/>
      <c r="Y10" s="2407"/>
      <c r="Z10" s="2407"/>
      <c r="AA10" s="2407"/>
      <c r="AB10" s="2397"/>
      <c r="AC10" s="1982"/>
      <c r="AD10" s="1982"/>
      <c r="AE10" s="1982"/>
      <c r="AF10" s="1982"/>
      <c r="AG10" s="1982"/>
      <c r="AH10" s="1982"/>
    </row>
    <row r="11" spans="1:64" s="459" customFormat="1" ht="12.75">
      <c r="A11" s="1305"/>
      <c r="B11" s="1305"/>
      <c r="C11" s="2001"/>
      <c r="D11" s="2009" t="s">
        <v>23</v>
      </c>
      <c r="E11" s="2009"/>
      <c r="F11" s="2007" t="s">
        <v>23</v>
      </c>
      <c r="G11" s="1998" t="s">
        <v>24</v>
      </c>
      <c r="H11" s="1998" t="s">
        <v>25</v>
      </c>
      <c r="I11" s="1998" t="s">
        <v>26</v>
      </c>
      <c r="J11" s="1998" t="s">
        <v>27</v>
      </c>
      <c r="K11" s="2007" t="s">
        <v>28</v>
      </c>
      <c r="L11" s="2007" t="s">
        <v>29</v>
      </c>
      <c r="M11" s="2007" t="s">
        <v>30</v>
      </c>
      <c r="N11" s="2007" t="s">
        <v>31</v>
      </c>
      <c r="O11" s="2009"/>
      <c r="P11" s="2007" t="s">
        <v>23</v>
      </c>
      <c r="Q11" s="2009"/>
      <c r="R11" s="2007" t="s">
        <v>23</v>
      </c>
      <c r="S11" s="2001"/>
      <c r="T11" s="2010" t="s">
        <v>32</v>
      </c>
      <c r="U11" s="1688" t="s">
        <v>56</v>
      </c>
      <c r="V11" s="1688"/>
      <c r="W11" s="1689" t="s">
        <v>56</v>
      </c>
      <c r="X11" s="2407"/>
      <c r="Y11" s="2407"/>
      <c r="Z11" s="2407"/>
      <c r="AA11" s="2407"/>
      <c r="AB11" s="2397"/>
      <c r="AC11" s="1982"/>
      <c r="AD11" s="1982"/>
      <c r="AE11" s="1982"/>
      <c r="AF11" s="1982"/>
      <c r="AG11" s="1982"/>
      <c r="AH11" s="1982"/>
    </row>
    <row r="12" spans="1:64" s="459" customFormat="1" ht="12.75">
      <c r="A12" s="1305"/>
      <c r="B12" s="1305"/>
      <c r="C12" s="2001"/>
      <c r="D12" s="2001"/>
      <c r="E12" s="2001"/>
      <c r="F12" s="2013"/>
      <c r="G12" s="2013"/>
      <c r="H12" s="2013"/>
      <c r="I12" s="2013"/>
      <c r="J12" s="2007" t="s">
        <v>33</v>
      </c>
      <c r="K12" s="2007" t="s">
        <v>34</v>
      </c>
      <c r="L12" s="2007"/>
      <c r="M12" s="2007"/>
      <c r="N12" s="2007"/>
      <c r="O12" s="2001"/>
      <c r="P12" s="2013"/>
      <c r="Q12" s="2001"/>
      <c r="R12" s="2013"/>
      <c r="S12" s="2014"/>
      <c r="T12" s="2015"/>
      <c r="U12" s="1693"/>
      <c r="V12" s="1693"/>
      <c r="W12" s="1694"/>
      <c r="X12" s="2407"/>
      <c r="Y12" s="2407"/>
      <c r="Z12" s="2407"/>
      <c r="AA12" s="2407"/>
      <c r="AB12" s="2397"/>
      <c r="AC12" s="1982"/>
      <c r="AD12" s="1982"/>
      <c r="AE12" s="1982"/>
      <c r="AF12" s="1982"/>
      <c r="AG12" s="1982"/>
      <c r="AH12" s="1982"/>
    </row>
    <row r="13" spans="1:64" s="459" customFormat="1" ht="12.75">
      <c r="A13" s="1306"/>
      <c r="B13" s="1306" t="s">
        <v>35</v>
      </c>
      <c r="C13" s="2016" t="s">
        <v>36</v>
      </c>
      <c r="D13" s="2016"/>
      <c r="E13" s="2016"/>
      <c r="F13" s="2017" t="s">
        <v>37</v>
      </c>
      <c r="G13" s="2017" t="s">
        <v>38</v>
      </c>
      <c r="H13" s="2017" t="s">
        <v>39</v>
      </c>
      <c r="I13" s="2017" t="s">
        <v>40</v>
      </c>
      <c r="J13" s="2017" t="s">
        <v>41</v>
      </c>
      <c r="K13" s="2017" t="s">
        <v>42</v>
      </c>
      <c r="L13" s="2017" t="s">
        <v>43</v>
      </c>
      <c r="M13" s="2017" t="s">
        <v>44</v>
      </c>
      <c r="N13" s="2017" t="s">
        <v>45</v>
      </c>
      <c r="O13" s="2016"/>
      <c r="P13" s="2017" t="s">
        <v>37</v>
      </c>
      <c r="Q13" s="2016" t="s">
        <v>46</v>
      </c>
      <c r="R13" s="2016"/>
      <c r="S13" s="2018" t="s">
        <v>47</v>
      </c>
      <c r="T13" s="2019" t="s">
        <v>48</v>
      </c>
      <c r="U13" s="2016"/>
      <c r="V13" s="2016"/>
      <c r="W13" s="2017" t="s">
        <v>37</v>
      </c>
      <c r="X13" s="289"/>
      <c r="Y13" s="289"/>
      <c r="Z13" s="289"/>
      <c r="AA13" s="289"/>
      <c r="AB13" s="289"/>
      <c r="AC13" s="1982"/>
      <c r="AD13" s="1982"/>
      <c r="AE13" s="1982"/>
      <c r="AF13" s="1982"/>
      <c r="AG13" s="1982"/>
      <c r="AH13" s="1982"/>
    </row>
    <row r="14" spans="1:64" s="459" customFormat="1" ht="12.75">
      <c r="A14" s="462"/>
      <c r="B14" s="463"/>
      <c r="C14" s="2020"/>
      <c r="D14" s="2021"/>
      <c r="E14" s="2022"/>
      <c r="F14" s="2023"/>
      <c r="G14" s="2024"/>
      <c r="H14" s="2024"/>
      <c r="I14" s="2024"/>
      <c r="J14" s="2024"/>
      <c r="K14" s="2024"/>
      <c r="L14" s="2024"/>
      <c r="M14" s="2024"/>
      <c r="N14" s="2024"/>
      <c r="O14" s="2025"/>
      <c r="P14" s="2024"/>
      <c r="Q14" s="2025"/>
      <c r="R14" s="2025"/>
      <c r="S14" s="2025"/>
      <c r="T14" s="2026"/>
      <c r="U14" s="2025"/>
      <c r="V14" s="2025"/>
      <c r="W14" s="2024"/>
      <c r="X14" s="464"/>
      <c r="Y14" s="464"/>
      <c r="Z14" s="464"/>
      <c r="AA14" s="464"/>
      <c r="AB14" s="398"/>
      <c r="AC14" s="1982"/>
      <c r="AD14" s="1982"/>
      <c r="AE14" s="1982"/>
      <c r="AF14" s="1982"/>
      <c r="AG14" s="1982"/>
      <c r="AH14" s="1982"/>
    </row>
    <row r="15" spans="1:64" s="459" customFormat="1" ht="12.75">
      <c r="A15" s="1307"/>
      <c r="B15" s="1308"/>
      <c r="C15" s="465"/>
      <c r="D15" s="466"/>
      <c r="E15" s="467"/>
      <c r="F15" s="468"/>
      <c r="G15" s="2027"/>
      <c r="H15" s="469" t="s">
        <v>250</v>
      </c>
      <c r="I15" s="2028"/>
      <c r="J15" s="2028"/>
      <c r="K15" s="2028"/>
      <c r="L15" s="2028"/>
      <c r="M15" s="2029"/>
      <c r="N15" s="2030">
        <v>0</v>
      </c>
      <c r="O15" s="2027"/>
      <c r="P15" s="2029"/>
      <c r="Q15" s="2027"/>
      <c r="R15" s="2031"/>
      <c r="S15" s="2031"/>
      <c r="T15" s="2032"/>
      <c r="U15" s="2027"/>
      <c r="V15" s="2027"/>
      <c r="W15" s="2027"/>
      <c r="X15" s="824"/>
      <c r="Y15" s="824"/>
      <c r="Z15" s="824"/>
      <c r="AA15" s="824"/>
      <c r="AB15" s="888"/>
      <c r="AC15" s="1982"/>
      <c r="AD15" s="1982"/>
      <c r="AE15" s="1982"/>
      <c r="AF15" s="1982"/>
      <c r="AG15" s="1982"/>
      <c r="AH15" s="1982"/>
    </row>
    <row r="16" spans="1:64" s="459" customFormat="1" ht="12.75">
      <c r="A16" s="1307"/>
      <c r="B16" s="1308"/>
      <c r="C16" s="1315"/>
      <c r="D16" s="1316"/>
      <c r="E16" s="1317"/>
      <c r="F16" s="480"/>
      <c r="G16" s="2033"/>
      <c r="H16" s="1318" t="s">
        <v>251</v>
      </c>
      <c r="I16" s="2034"/>
      <c r="J16" s="2034"/>
      <c r="K16" s="2034"/>
      <c r="L16" s="2034"/>
      <c r="M16" s="2033"/>
      <c r="N16" s="1297">
        <v>0</v>
      </c>
      <c r="O16" s="2033"/>
      <c r="P16" s="2033"/>
      <c r="Q16" s="2033"/>
      <c r="R16" s="2035"/>
      <c r="S16" s="2035"/>
      <c r="T16" s="2036"/>
      <c r="U16" s="2033"/>
      <c r="V16" s="2033"/>
      <c r="W16" s="2033"/>
      <c r="X16" s="891"/>
      <c r="Y16" s="891"/>
      <c r="Z16" s="891"/>
      <c r="AA16" s="891"/>
      <c r="AB16" s="891"/>
      <c r="AC16" s="1982"/>
      <c r="AD16" s="1982"/>
      <c r="AE16" s="1982"/>
      <c r="AF16" s="1982"/>
      <c r="AG16" s="1982"/>
      <c r="AH16" s="1982"/>
    </row>
    <row r="17" spans="1:69" s="459" customFormat="1" ht="12.75">
      <c r="A17" s="1309"/>
      <c r="B17" s="507"/>
      <c r="C17" s="470"/>
      <c r="D17" s="471"/>
      <c r="E17" s="1310"/>
      <c r="F17" s="470"/>
      <c r="G17" s="2034"/>
      <c r="H17" s="1319" t="s">
        <v>252</v>
      </c>
      <c r="I17" s="2034"/>
      <c r="J17" s="2034"/>
      <c r="K17" s="2034"/>
      <c r="L17" s="2034"/>
      <c r="M17" s="2034"/>
      <c r="N17" s="2034"/>
      <c r="O17" s="2034"/>
      <c r="P17" s="2034"/>
      <c r="Q17" s="2034"/>
      <c r="R17" s="2034"/>
      <c r="S17" s="2034"/>
      <c r="T17" s="2036"/>
      <c r="U17" s="2034"/>
      <c r="V17" s="2034"/>
      <c r="W17" s="2034"/>
      <c r="X17" s="891"/>
      <c r="Y17" s="891"/>
      <c r="Z17" s="891"/>
      <c r="AA17" s="891"/>
      <c r="AB17" s="891"/>
      <c r="AC17" s="2037"/>
      <c r="AD17" s="2037"/>
      <c r="AE17" s="2037"/>
      <c r="AF17" s="2037"/>
      <c r="AG17" s="2037"/>
      <c r="AH17" s="2037"/>
      <c r="AI17" s="473"/>
      <c r="AJ17" s="472"/>
      <c r="AK17" s="472"/>
      <c r="AL17" s="472"/>
      <c r="AM17" s="474"/>
      <c r="AN17" s="474"/>
      <c r="AO17" s="474"/>
      <c r="AP17" s="474"/>
      <c r="AQ17" s="475"/>
      <c r="AR17" s="472"/>
      <c r="AS17" s="476"/>
      <c r="AT17" s="476"/>
      <c r="AU17" s="476"/>
      <c r="AV17" s="476"/>
      <c r="AW17" s="476"/>
      <c r="AX17" s="476"/>
      <c r="AY17" s="476"/>
      <c r="AZ17" s="476"/>
      <c r="BA17" s="476"/>
      <c r="BB17" s="476"/>
      <c r="BC17" s="476"/>
      <c r="BD17" s="476"/>
      <c r="BE17" s="476"/>
      <c r="BF17" s="476"/>
      <c r="BG17" s="476"/>
      <c r="BH17" s="476"/>
      <c r="BI17" s="476"/>
      <c r="BJ17" s="476"/>
      <c r="BK17" s="476"/>
      <c r="BL17" s="476"/>
      <c r="BM17" s="476"/>
      <c r="BN17" s="476"/>
      <c r="BO17" s="476"/>
      <c r="BP17" s="476"/>
      <c r="BQ17" s="476"/>
    </row>
    <row r="18" spans="1:69" s="459" customFormat="1" ht="22.5">
      <c r="A18" s="1309" t="s">
        <v>253</v>
      </c>
      <c r="B18" s="507" t="s">
        <v>254</v>
      </c>
      <c r="C18" s="470"/>
      <c r="D18" s="471"/>
      <c r="E18" s="1310"/>
      <c r="F18" s="470"/>
      <c r="G18" s="2034"/>
      <c r="H18" s="2034"/>
      <c r="I18" s="2034"/>
      <c r="J18" s="2034"/>
      <c r="K18" s="2034"/>
      <c r="L18" s="2034"/>
      <c r="M18" s="2034"/>
      <c r="N18" s="2034"/>
      <c r="O18" s="2034"/>
      <c r="P18" s="2034"/>
      <c r="Q18" s="2034"/>
      <c r="R18" s="2034"/>
      <c r="S18" s="2034"/>
      <c r="T18" s="2036"/>
      <c r="U18" s="2034"/>
      <c r="V18" s="2034"/>
      <c r="W18" s="2034"/>
      <c r="X18" s="891"/>
      <c r="Y18" s="891"/>
      <c r="Z18" s="891"/>
      <c r="AA18" s="891"/>
      <c r="AB18" s="891"/>
      <c r="AC18" s="1982"/>
      <c r="AD18" s="1982"/>
      <c r="AE18" s="1982"/>
      <c r="AF18" s="1982"/>
      <c r="AG18" s="1982"/>
      <c r="AH18" s="1982"/>
    </row>
    <row r="19" spans="1:69" s="459" customFormat="1" ht="33.75">
      <c r="A19" s="1309" t="s">
        <v>255</v>
      </c>
      <c r="B19" s="509" t="s">
        <v>256</v>
      </c>
      <c r="C19" s="470">
        <v>65400</v>
      </c>
      <c r="D19" s="471">
        <f>C19</f>
        <v>65400</v>
      </c>
      <c r="E19" s="1310">
        <v>1</v>
      </c>
      <c r="F19" s="470">
        <f>D19*E19</f>
        <v>65400</v>
      </c>
      <c r="G19" s="2034"/>
      <c r="H19" s="2034"/>
      <c r="I19" s="470">
        <f>W19</f>
        <v>65400</v>
      </c>
      <c r="J19" s="470"/>
      <c r="K19" s="2034"/>
      <c r="L19" s="470">
        <f>I19-J19+K19</f>
        <v>65400</v>
      </c>
      <c r="M19" s="2034"/>
      <c r="N19" s="2034"/>
      <c r="O19" s="2034"/>
      <c r="P19" s="2034"/>
      <c r="Q19" s="2034"/>
      <c r="R19" s="2034"/>
      <c r="S19" s="2034"/>
      <c r="T19" s="470">
        <f>U19-L19</f>
        <v>0</v>
      </c>
      <c r="U19" s="470">
        <f>F19</f>
        <v>65400</v>
      </c>
      <c r="V19" s="477">
        <v>1</v>
      </c>
      <c r="W19" s="470">
        <f>F19</f>
        <v>65400</v>
      </c>
      <c r="X19" s="470">
        <v>65400</v>
      </c>
      <c r="Y19" s="2034"/>
      <c r="Z19" s="2034"/>
      <c r="AA19" s="891"/>
      <c r="AB19" s="890">
        <f>W19</f>
        <v>65400</v>
      </c>
      <c r="AC19" s="1982"/>
      <c r="AD19" s="1982"/>
      <c r="AE19" s="1982"/>
      <c r="AF19" s="1982"/>
      <c r="AG19" s="1982"/>
      <c r="AH19" s="1982"/>
    </row>
    <row r="20" spans="1:69" s="459" customFormat="1" ht="12.75">
      <c r="A20" s="1309"/>
      <c r="B20" s="509"/>
      <c r="C20" s="470"/>
      <c r="D20" s="471"/>
      <c r="E20" s="1310"/>
      <c r="F20" s="470"/>
      <c r="G20" s="2034"/>
      <c r="H20" s="2034"/>
      <c r="I20" s="470">
        <f>W20</f>
        <v>0</v>
      </c>
      <c r="J20" s="470"/>
      <c r="K20" s="2034"/>
      <c r="L20" s="470"/>
      <c r="M20" s="2034"/>
      <c r="N20" s="2034"/>
      <c r="O20" s="2034"/>
      <c r="P20" s="2034"/>
      <c r="Q20" s="2034"/>
      <c r="R20" s="2034"/>
      <c r="S20" s="2034"/>
      <c r="T20" s="470"/>
      <c r="U20" s="470"/>
      <c r="V20" s="477"/>
      <c r="W20" s="470"/>
      <c r="X20" s="470"/>
      <c r="Y20" s="2034"/>
      <c r="Z20" s="2034"/>
      <c r="AA20" s="891"/>
      <c r="AB20" s="891"/>
      <c r="AC20" s="1982"/>
      <c r="AD20" s="1982"/>
      <c r="AE20" s="1982"/>
      <c r="AF20" s="1982"/>
      <c r="AG20" s="1982"/>
      <c r="AH20" s="1982"/>
    </row>
    <row r="21" spans="1:69" s="459" customFormat="1" ht="22.5">
      <c r="A21" s="1309" t="s">
        <v>257</v>
      </c>
      <c r="B21" s="509" t="s">
        <v>258</v>
      </c>
      <c r="C21" s="470">
        <v>73200</v>
      </c>
      <c r="D21" s="471">
        <f>C21</f>
        <v>73200</v>
      </c>
      <c r="E21" s="1310">
        <v>1</v>
      </c>
      <c r="F21" s="470">
        <f>D21*E21</f>
        <v>73200</v>
      </c>
      <c r="G21" s="2034"/>
      <c r="H21" s="2034"/>
      <c r="I21" s="470">
        <f>W21</f>
        <v>73200</v>
      </c>
      <c r="J21" s="470"/>
      <c r="K21" s="2034"/>
      <c r="L21" s="470">
        <f>I21-J21+K21</f>
        <v>73200</v>
      </c>
      <c r="M21" s="2034"/>
      <c r="N21" s="2034"/>
      <c r="O21" s="2034"/>
      <c r="P21" s="2034"/>
      <c r="Q21" s="2034"/>
      <c r="R21" s="2034"/>
      <c r="S21" s="2034"/>
      <c r="T21" s="470">
        <f>U21-L21</f>
        <v>0</v>
      </c>
      <c r="U21" s="470">
        <f>F21</f>
        <v>73200</v>
      </c>
      <c r="V21" s="477">
        <v>1</v>
      </c>
      <c r="W21" s="470">
        <f>F21</f>
        <v>73200</v>
      </c>
      <c r="X21" s="470">
        <v>73200</v>
      </c>
      <c r="Y21" s="2034"/>
      <c r="Z21" s="2034"/>
      <c r="AA21" s="891"/>
      <c r="AB21" s="890">
        <f>W21</f>
        <v>73200</v>
      </c>
      <c r="AC21" s="1982"/>
      <c r="AD21" s="1982"/>
      <c r="AE21" s="1982"/>
      <c r="AF21" s="1982"/>
      <c r="AG21" s="1982"/>
      <c r="AH21" s="1982"/>
    </row>
    <row r="22" spans="1:69" s="459" customFormat="1" ht="12.75">
      <c r="A22" s="1309"/>
      <c r="B22" s="509"/>
      <c r="C22" s="470"/>
      <c r="D22" s="471"/>
      <c r="E22" s="1310"/>
      <c r="F22" s="470"/>
      <c r="G22" s="2034"/>
      <c r="H22" s="2034"/>
      <c r="I22" s="470">
        <f>W22</f>
        <v>0</v>
      </c>
      <c r="J22" s="470"/>
      <c r="K22" s="2034"/>
      <c r="L22" s="470"/>
      <c r="M22" s="2034"/>
      <c r="N22" s="2034"/>
      <c r="O22" s="2034"/>
      <c r="P22" s="2034"/>
      <c r="Q22" s="2034"/>
      <c r="R22" s="2034"/>
      <c r="S22" s="2034"/>
      <c r="T22" s="470"/>
      <c r="U22" s="470"/>
      <c r="V22" s="477"/>
      <c r="W22" s="470"/>
      <c r="X22" s="478"/>
      <c r="Y22" s="1311"/>
      <c r="Z22" s="891"/>
      <c r="AA22" s="891"/>
      <c r="AB22" s="891"/>
      <c r="AC22" s="1982"/>
      <c r="AD22" s="1982"/>
      <c r="AE22" s="1982"/>
      <c r="AF22" s="1982"/>
      <c r="AG22" s="1982"/>
      <c r="AH22" s="1982"/>
    </row>
    <row r="23" spans="1:69" s="459" customFormat="1" ht="12.75">
      <c r="A23" s="1309" t="s">
        <v>259</v>
      </c>
      <c r="B23" s="509" t="s">
        <v>260</v>
      </c>
      <c r="C23" s="470">
        <v>32400</v>
      </c>
      <c r="D23" s="471">
        <f>C23</f>
        <v>32400</v>
      </c>
      <c r="E23" s="1310">
        <v>1</v>
      </c>
      <c r="F23" s="470">
        <f>D23*E23</f>
        <v>32400</v>
      </c>
      <c r="G23" s="2034"/>
      <c r="H23" s="2034"/>
      <c r="I23" s="470"/>
      <c r="J23" s="470"/>
      <c r="K23" s="2034"/>
      <c r="L23" s="470"/>
      <c r="M23" s="2034"/>
      <c r="N23" s="2034"/>
      <c r="O23" s="2034"/>
      <c r="P23" s="2034"/>
      <c r="Q23" s="2034"/>
      <c r="R23" s="2034"/>
      <c r="S23" s="2034"/>
      <c r="T23" s="470"/>
      <c r="U23" s="470">
        <f>AI23</f>
        <v>0</v>
      </c>
      <c r="V23" s="477"/>
      <c r="W23" s="470"/>
      <c r="X23" s="1311">
        <v>0</v>
      </c>
      <c r="Y23" s="1311">
        <v>0</v>
      </c>
      <c r="Z23" s="891"/>
      <c r="AA23" s="891"/>
      <c r="AB23" s="890">
        <f>W23</f>
        <v>0</v>
      </c>
      <c r="AC23" s="1982"/>
      <c r="AD23" s="1982"/>
      <c r="AE23" s="1982"/>
      <c r="AF23" s="1982"/>
      <c r="AG23" s="1982"/>
      <c r="AH23" s="1982"/>
    </row>
    <row r="24" spans="1:69" s="459" customFormat="1" ht="12.75">
      <c r="A24" s="1309"/>
      <c r="B24" s="507"/>
      <c r="C24" s="470"/>
      <c r="D24" s="471"/>
      <c r="E24" s="1310"/>
      <c r="F24" s="470"/>
      <c r="G24" s="2034"/>
      <c r="H24" s="2034"/>
      <c r="I24" s="470">
        <f>+W24</f>
        <v>0</v>
      </c>
      <c r="J24" s="2034"/>
      <c r="K24" s="2034"/>
      <c r="L24" s="2034"/>
      <c r="M24" s="2034"/>
      <c r="N24" s="2034"/>
      <c r="O24" s="2034"/>
      <c r="P24" s="2034"/>
      <c r="Q24" s="2034"/>
      <c r="R24" s="2034"/>
      <c r="S24" s="2034"/>
      <c r="T24" s="2036"/>
      <c r="U24" s="2034"/>
      <c r="V24" s="2034"/>
      <c r="W24" s="2034"/>
      <c r="X24" s="891"/>
      <c r="Y24" s="891"/>
      <c r="Z24" s="891"/>
      <c r="AA24" s="891"/>
      <c r="AB24" s="891"/>
      <c r="AC24" s="1982"/>
      <c r="AD24" s="1982"/>
      <c r="AE24" s="1982"/>
      <c r="AF24" s="1982"/>
      <c r="AG24" s="1982"/>
      <c r="AH24" s="1982"/>
    </row>
    <row r="25" spans="1:69" s="459" customFormat="1" ht="12.75">
      <c r="A25" s="1309"/>
      <c r="B25" s="507"/>
      <c r="C25" s="470"/>
      <c r="D25" s="471"/>
      <c r="E25" s="1310"/>
      <c r="F25" s="470"/>
      <c r="G25" s="2034"/>
      <c r="H25" s="2034"/>
      <c r="I25" s="2034"/>
      <c r="J25" s="2034"/>
      <c r="K25" s="2034"/>
      <c r="L25" s="2034"/>
      <c r="M25" s="2034"/>
      <c r="N25" s="2034"/>
      <c r="O25" s="2034"/>
      <c r="P25" s="2034"/>
      <c r="Q25" s="2034"/>
      <c r="R25" s="2034"/>
      <c r="S25" s="2034"/>
      <c r="T25" s="2036"/>
      <c r="U25" s="2034"/>
      <c r="V25" s="2034"/>
      <c r="W25" s="2034"/>
      <c r="X25" s="891"/>
      <c r="Y25" s="891"/>
      <c r="Z25" s="891"/>
      <c r="AA25" s="891"/>
      <c r="AB25" s="891"/>
      <c r="AC25" s="1982"/>
      <c r="AD25" s="1982"/>
      <c r="AE25" s="1982"/>
      <c r="AF25" s="1982"/>
      <c r="AG25" s="1982"/>
      <c r="AH25" s="1982"/>
    </row>
    <row r="26" spans="1:69" s="459" customFormat="1" ht="12.75">
      <c r="A26" s="1309"/>
      <c r="B26" s="507"/>
      <c r="C26" s="470"/>
      <c r="D26" s="471"/>
      <c r="E26" s="1310"/>
      <c r="F26" s="470"/>
      <c r="G26" s="2034"/>
      <c r="H26" s="2034"/>
      <c r="I26" s="2034"/>
      <c r="J26" s="2034"/>
      <c r="K26" s="2034"/>
      <c r="L26" s="2034"/>
      <c r="M26" s="2034"/>
      <c r="N26" s="2034"/>
      <c r="O26" s="2034"/>
      <c r="P26" s="2034"/>
      <c r="Q26" s="2034"/>
      <c r="R26" s="2034"/>
      <c r="S26" s="2034"/>
      <c r="T26" s="2036"/>
      <c r="U26" s="2034"/>
      <c r="V26" s="2034"/>
      <c r="W26" s="2034"/>
      <c r="X26" s="891"/>
      <c r="Y26" s="891"/>
      <c r="Z26" s="891"/>
      <c r="AA26" s="891"/>
      <c r="AB26" s="891"/>
      <c r="AC26" s="1982"/>
      <c r="AD26" s="1982"/>
      <c r="AE26" s="1982"/>
      <c r="AF26" s="1982"/>
      <c r="AG26" s="1982"/>
      <c r="AH26" s="1982"/>
    </row>
    <row r="27" spans="1:69" s="459" customFormat="1" ht="12.75">
      <c r="A27" s="1309"/>
      <c r="B27" s="506"/>
      <c r="C27" s="1315"/>
      <c r="D27" s="1320"/>
      <c r="E27" s="1310"/>
      <c r="F27" s="480"/>
      <c r="G27" s="2034"/>
      <c r="H27" s="2034"/>
      <c r="I27" s="2034"/>
      <c r="J27" s="2034"/>
      <c r="K27" s="2034"/>
      <c r="L27" s="2034"/>
      <c r="M27" s="2034"/>
      <c r="N27" s="2034"/>
      <c r="O27" s="2034"/>
      <c r="P27" s="2034"/>
      <c r="Q27" s="2034"/>
      <c r="R27" s="2034"/>
      <c r="S27" s="2034"/>
      <c r="T27" s="2036"/>
      <c r="U27" s="2034"/>
      <c r="V27" s="2034"/>
      <c r="W27" s="2034"/>
      <c r="X27" s="891"/>
      <c r="Y27" s="891"/>
      <c r="Z27" s="891"/>
      <c r="AA27" s="891"/>
      <c r="AB27" s="891"/>
      <c r="AC27" s="1982"/>
      <c r="AD27" s="1982"/>
      <c r="AE27" s="1982"/>
      <c r="AF27" s="1982"/>
      <c r="AG27" s="1982"/>
      <c r="AH27" s="1982"/>
    </row>
    <row r="28" spans="1:69" s="459" customFormat="1" ht="12.75">
      <c r="A28" s="1309"/>
      <c r="B28" s="507"/>
      <c r="C28" s="1315"/>
      <c r="D28" s="1320"/>
      <c r="E28" s="1310"/>
      <c r="F28" s="480"/>
      <c r="G28" s="2034"/>
      <c r="H28" s="2034"/>
      <c r="I28" s="2034"/>
      <c r="J28" s="2034"/>
      <c r="K28" s="2034"/>
      <c r="L28" s="2034"/>
      <c r="M28" s="2034"/>
      <c r="N28" s="2034"/>
      <c r="O28" s="2034"/>
      <c r="P28" s="2034"/>
      <c r="Q28" s="2034"/>
      <c r="R28" s="2034"/>
      <c r="S28" s="2034"/>
      <c r="T28" s="2036"/>
      <c r="U28" s="2034"/>
      <c r="V28" s="2034"/>
      <c r="W28" s="2034"/>
      <c r="X28" s="891"/>
      <c r="Y28" s="891"/>
      <c r="Z28" s="891"/>
      <c r="AA28" s="891"/>
      <c r="AB28" s="890"/>
      <c r="AC28" s="1982"/>
      <c r="AD28" s="1982"/>
      <c r="AE28" s="1982"/>
      <c r="AF28" s="1982"/>
      <c r="AG28" s="1982"/>
      <c r="AH28" s="1982"/>
    </row>
    <row r="29" spans="1:69" s="459" customFormat="1" ht="12.75">
      <c r="A29" s="1312"/>
      <c r="B29" s="509"/>
      <c r="C29" s="470"/>
      <c r="D29" s="1316"/>
      <c r="E29" s="1310"/>
      <c r="F29" s="480"/>
      <c r="G29" s="2034"/>
      <c r="H29" s="2034"/>
      <c r="I29" s="2034"/>
      <c r="J29" s="2034"/>
      <c r="K29" s="2034"/>
      <c r="L29" s="2034"/>
      <c r="M29" s="2034"/>
      <c r="N29" s="2034"/>
      <c r="O29" s="2034"/>
      <c r="P29" s="2034"/>
      <c r="Q29" s="2034"/>
      <c r="R29" s="2034"/>
      <c r="S29" s="2034"/>
      <c r="T29" s="2036"/>
      <c r="U29" s="2034"/>
      <c r="V29" s="2034"/>
      <c r="W29" s="2034"/>
      <c r="X29" s="891"/>
      <c r="Y29" s="891"/>
      <c r="Z29" s="891"/>
      <c r="AA29" s="891"/>
      <c r="AB29" s="891"/>
      <c r="AC29" s="1982"/>
      <c r="AD29" s="1982"/>
      <c r="AE29" s="1982"/>
      <c r="AF29" s="1982"/>
      <c r="AG29" s="1982"/>
      <c r="AH29" s="1982"/>
    </row>
    <row r="30" spans="1:69" s="459" customFormat="1" ht="12.75">
      <c r="A30" s="1312"/>
      <c r="B30" s="509"/>
      <c r="C30" s="470"/>
      <c r="D30" s="1316"/>
      <c r="E30" s="1310"/>
      <c r="F30" s="480"/>
      <c r="G30" s="2034"/>
      <c r="H30" s="2034"/>
      <c r="I30" s="2034"/>
      <c r="J30" s="2034"/>
      <c r="K30" s="2034"/>
      <c r="L30" s="2034"/>
      <c r="M30" s="2034"/>
      <c r="N30" s="2034"/>
      <c r="O30" s="2034"/>
      <c r="P30" s="2034"/>
      <c r="Q30" s="2034"/>
      <c r="R30" s="2034"/>
      <c r="S30" s="2034"/>
      <c r="T30" s="2034"/>
      <c r="U30" s="2034"/>
      <c r="V30" s="2034"/>
      <c r="W30" s="2034"/>
      <c r="X30" s="2034"/>
      <c r="Y30" s="2034"/>
      <c r="Z30" s="2034"/>
      <c r="AA30" s="2034"/>
      <c r="AB30" s="2034"/>
      <c r="AC30" s="1982"/>
      <c r="AD30" s="1982"/>
      <c r="AE30" s="1982"/>
      <c r="AF30" s="1982"/>
      <c r="AG30" s="1982"/>
      <c r="AH30" s="1982"/>
    </row>
    <row r="31" spans="1:69" s="459" customFormat="1" ht="12.75">
      <c r="A31" s="1309"/>
      <c r="B31" s="507"/>
      <c r="C31" s="470"/>
      <c r="D31" s="1316"/>
      <c r="E31" s="1310"/>
      <c r="F31" s="480"/>
      <c r="G31" s="2034"/>
      <c r="H31" s="2034"/>
      <c r="I31" s="2034"/>
      <c r="J31" s="2034"/>
      <c r="K31" s="2034"/>
      <c r="L31" s="2034"/>
      <c r="M31" s="2034"/>
      <c r="N31" s="2034"/>
      <c r="O31" s="2034"/>
      <c r="P31" s="2034"/>
      <c r="Q31" s="2034"/>
      <c r="R31" s="2034"/>
      <c r="S31" s="2034"/>
      <c r="T31" s="2034"/>
      <c r="U31" s="2034"/>
      <c r="V31" s="2034"/>
      <c r="W31" s="2034"/>
      <c r="X31" s="2034"/>
      <c r="Y31" s="2034"/>
      <c r="Z31" s="2034"/>
      <c r="AA31" s="2034"/>
      <c r="AB31" s="2034"/>
      <c r="AC31" s="1982"/>
      <c r="AD31" s="1982"/>
      <c r="AE31" s="1982"/>
      <c r="AF31" s="1982"/>
      <c r="AG31" s="1982"/>
      <c r="AH31" s="1982"/>
    </row>
    <row r="32" spans="1:69" s="459" customFormat="1" ht="12.75">
      <c r="A32" s="1309"/>
      <c r="B32" s="507"/>
      <c r="C32" s="470"/>
      <c r="D32" s="1320"/>
      <c r="E32" s="1310"/>
      <c r="F32" s="480"/>
      <c r="G32" s="2034"/>
      <c r="H32" s="2034"/>
      <c r="I32" s="2034"/>
      <c r="J32" s="2034"/>
      <c r="K32" s="2034"/>
      <c r="L32" s="2034"/>
      <c r="M32" s="2034"/>
      <c r="N32" s="2034"/>
      <c r="O32" s="2034"/>
      <c r="P32" s="2034"/>
      <c r="Q32" s="2034"/>
      <c r="R32" s="2034"/>
      <c r="S32" s="2034"/>
      <c r="T32" s="2034"/>
      <c r="U32" s="2034"/>
      <c r="V32" s="2034"/>
      <c r="W32" s="2034"/>
      <c r="X32" s="2034"/>
      <c r="Y32" s="2034"/>
      <c r="Z32" s="2034"/>
      <c r="AA32" s="2034"/>
      <c r="AB32" s="2034"/>
      <c r="AC32" s="1982"/>
      <c r="AD32" s="1982"/>
      <c r="AE32" s="1982"/>
      <c r="AF32" s="1982"/>
      <c r="AG32" s="1982"/>
      <c r="AH32" s="1982"/>
    </row>
    <row r="33" spans="1:34" s="459" customFormat="1" ht="12.75">
      <c r="A33" s="1309"/>
      <c r="B33" s="507"/>
      <c r="C33" s="1315"/>
      <c r="D33" s="1316"/>
      <c r="E33" s="1310"/>
      <c r="F33" s="480"/>
      <c r="G33" s="2034"/>
      <c r="H33" s="2034"/>
      <c r="I33" s="2034"/>
      <c r="J33" s="2034"/>
      <c r="K33" s="2034"/>
      <c r="L33" s="2034"/>
      <c r="M33" s="2034"/>
      <c r="N33" s="2034"/>
      <c r="O33" s="2034"/>
      <c r="P33" s="2034"/>
      <c r="Q33" s="2034"/>
      <c r="R33" s="2034"/>
      <c r="S33" s="2034"/>
      <c r="T33" s="2034"/>
      <c r="U33" s="2034"/>
      <c r="V33" s="2034"/>
      <c r="W33" s="2034"/>
      <c r="X33" s="2034"/>
      <c r="Y33" s="2034"/>
      <c r="Z33" s="2034"/>
      <c r="AA33" s="2034"/>
      <c r="AB33" s="2034"/>
      <c r="AC33" s="1982"/>
      <c r="AD33" s="1982"/>
      <c r="AE33" s="1982"/>
      <c r="AF33" s="1982"/>
      <c r="AG33" s="1982"/>
      <c r="AH33" s="1982"/>
    </row>
    <row r="34" spans="1:34" s="459" customFormat="1" ht="12.75">
      <c r="A34" s="1312"/>
      <c r="B34" s="509"/>
      <c r="C34" s="470"/>
      <c r="D34" s="1316"/>
      <c r="E34" s="1310"/>
      <c r="F34" s="480"/>
      <c r="G34" s="2034"/>
      <c r="H34" s="2034"/>
      <c r="I34" s="2034"/>
      <c r="J34" s="2034"/>
      <c r="K34" s="2034"/>
      <c r="L34" s="2034"/>
      <c r="M34" s="2034"/>
      <c r="N34" s="2034"/>
      <c r="O34" s="2034"/>
      <c r="P34" s="2034"/>
      <c r="Q34" s="2034"/>
      <c r="R34" s="2034"/>
      <c r="S34" s="2034"/>
      <c r="T34" s="2034"/>
      <c r="U34" s="2034"/>
      <c r="V34" s="2034"/>
      <c r="W34" s="2034"/>
      <c r="X34" s="2034"/>
      <c r="Y34" s="2034"/>
      <c r="Z34" s="2034"/>
      <c r="AA34" s="2034"/>
      <c r="AB34" s="2034"/>
      <c r="AC34" s="1982"/>
      <c r="AD34" s="1982"/>
      <c r="AE34" s="1982"/>
      <c r="AF34" s="1982"/>
      <c r="AG34" s="1982"/>
      <c r="AH34" s="1982"/>
    </row>
    <row r="35" spans="1:34" s="459" customFormat="1" ht="12.75">
      <c r="A35" s="1312"/>
      <c r="B35" s="509"/>
      <c r="C35" s="470"/>
      <c r="D35" s="479"/>
      <c r="E35" s="1310"/>
      <c r="F35" s="480"/>
      <c r="G35" s="2034"/>
      <c r="H35" s="2034"/>
      <c r="I35" s="2034"/>
      <c r="J35" s="2034"/>
      <c r="K35" s="2034"/>
      <c r="L35" s="2034"/>
      <c r="M35" s="2034"/>
      <c r="N35" s="2034"/>
      <c r="O35" s="2034"/>
      <c r="P35" s="2034"/>
      <c r="Q35" s="2034"/>
      <c r="R35" s="2034"/>
      <c r="S35" s="2034"/>
      <c r="T35" s="2034"/>
      <c r="U35" s="2034"/>
      <c r="V35" s="2034"/>
      <c r="W35" s="2034"/>
      <c r="X35" s="2034"/>
      <c r="Y35" s="2034"/>
      <c r="Z35" s="2034"/>
      <c r="AA35" s="2034"/>
      <c r="AB35" s="2034"/>
      <c r="AC35" s="1982"/>
      <c r="AD35" s="1982"/>
      <c r="AE35" s="1982"/>
      <c r="AF35" s="1982"/>
      <c r="AG35" s="1982"/>
      <c r="AH35" s="1982"/>
    </row>
    <row r="36" spans="1:34" s="459" customFormat="1" ht="12.75">
      <c r="A36" s="1312"/>
      <c r="B36" s="509"/>
      <c r="C36" s="1315"/>
      <c r="D36" s="1321"/>
      <c r="E36" s="1310"/>
      <c r="F36" s="480"/>
      <c r="G36" s="2034"/>
      <c r="H36" s="2034"/>
      <c r="I36" s="2034"/>
      <c r="J36" s="2034"/>
      <c r="K36" s="2034"/>
      <c r="L36" s="2034"/>
      <c r="M36" s="2034"/>
      <c r="N36" s="2034"/>
      <c r="O36" s="2034"/>
      <c r="P36" s="2034"/>
      <c r="Q36" s="2034"/>
      <c r="R36" s="2034"/>
      <c r="S36" s="2034"/>
      <c r="T36" s="2036"/>
      <c r="U36" s="2034"/>
      <c r="V36" s="2034"/>
      <c r="W36" s="2034"/>
      <c r="X36" s="891"/>
      <c r="Y36" s="891"/>
      <c r="Z36" s="891"/>
      <c r="AA36" s="891"/>
      <c r="AB36" s="891"/>
      <c r="AC36" s="1982"/>
      <c r="AD36" s="1982"/>
      <c r="AE36" s="1982"/>
      <c r="AF36" s="1982"/>
      <c r="AG36" s="1982"/>
      <c r="AH36" s="1982"/>
    </row>
    <row r="37" spans="1:34" s="459" customFormat="1" ht="12.75">
      <c r="A37" s="1312"/>
      <c r="B37" s="509"/>
      <c r="C37" s="470"/>
      <c r="D37" s="1321"/>
      <c r="E37" s="1310"/>
      <c r="F37" s="480"/>
      <c r="G37" s="2034"/>
      <c r="H37" s="2034"/>
      <c r="I37" s="2034"/>
      <c r="J37" s="2034"/>
      <c r="K37" s="2034"/>
      <c r="L37" s="2034"/>
      <c r="M37" s="2034"/>
      <c r="N37" s="2034"/>
      <c r="O37" s="2034"/>
      <c r="P37" s="2034"/>
      <c r="Q37" s="2034"/>
      <c r="R37" s="2034"/>
      <c r="S37" s="2034"/>
      <c r="T37" s="2036"/>
      <c r="U37" s="2034"/>
      <c r="V37" s="2034"/>
      <c r="W37" s="2034"/>
      <c r="X37" s="891"/>
      <c r="Y37" s="891"/>
      <c r="Z37" s="891"/>
      <c r="AA37" s="891"/>
      <c r="AB37" s="891"/>
      <c r="AC37" s="1982"/>
      <c r="AD37" s="1982"/>
      <c r="AE37" s="1982"/>
      <c r="AF37" s="1982"/>
      <c r="AG37" s="1982"/>
      <c r="AH37" s="1982"/>
    </row>
    <row r="38" spans="1:34" s="459" customFormat="1" ht="12.75">
      <c r="A38" s="1312"/>
      <c r="B38" s="509"/>
      <c r="C38" s="470"/>
      <c r="D38" s="479"/>
      <c r="E38" s="1310"/>
      <c r="F38" s="480"/>
      <c r="G38" s="2034"/>
      <c r="H38" s="2034"/>
      <c r="I38" s="2034"/>
      <c r="J38" s="2034"/>
      <c r="K38" s="2034"/>
      <c r="L38" s="2034"/>
      <c r="M38" s="2034"/>
      <c r="N38" s="2034"/>
      <c r="O38" s="2034"/>
      <c r="P38" s="2034"/>
      <c r="Q38" s="2034"/>
      <c r="R38" s="2034"/>
      <c r="S38" s="2034"/>
      <c r="T38" s="2036"/>
      <c r="U38" s="2034"/>
      <c r="V38" s="2034"/>
      <c r="W38" s="2034"/>
      <c r="X38" s="891"/>
      <c r="Y38" s="891"/>
      <c r="Z38" s="891"/>
      <c r="AA38" s="891"/>
      <c r="AB38" s="891"/>
      <c r="AC38" s="1982"/>
      <c r="AD38" s="1982"/>
      <c r="AE38" s="1982"/>
      <c r="AF38" s="1982"/>
      <c r="AG38" s="1982"/>
      <c r="AH38" s="1982"/>
    </row>
    <row r="39" spans="1:34" s="459" customFormat="1" ht="12.75">
      <c r="A39" s="1312"/>
      <c r="B39" s="509"/>
      <c r="C39" s="470"/>
      <c r="D39" s="1321"/>
      <c r="E39" s="1310"/>
      <c r="F39" s="480"/>
      <c r="G39" s="2034"/>
      <c r="H39" s="2034"/>
      <c r="I39" s="2034"/>
      <c r="J39" s="2034"/>
      <c r="K39" s="2034"/>
      <c r="L39" s="2034"/>
      <c r="M39" s="2034"/>
      <c r="N39" s="2034"/>
      <c r="O39" s="2034"/>
      <c r="P39" s="2034"/>
      <c r="Q39" s="2034"/>
      <c r="R39" s="2034"/>
      <c r="S39" s="2034"/>
      <c r="T39" s="2036"/>
      <c r="U39" s="2034"/>
      <c r="V39" s="2034"/>
      <c r="W39" s="2034"/>
      <c r="X39" s="891"/>
      <c r="Y39" s="891"/>
      <c r="Z39" s="891"/>
      <c r="AA39" s="891"/>
      <c r="AB39" s="891"/>
      <c r="AC39" s="1982"/>
      <c r="AD39" s="1982"/>
      <c r="AE39" s="1982"/>
      <c r="AF39" s="1982"/>
      <c r="AG39" s="1982"/>
      <c r="AH39" s="1982"/>
    </row>
    <row r="40" spans="1:34" s="459" customFormat="1" ht="12.75">
      <c r="A40" s="1312"/>
      <c r="B40" s="509"/>
      <c r="C40" s="470"/>
      <c r="D40" s="1321"/>
      <c r="E40" s="1310"/>
      <c r="F40" s="480"/>
      <c r="G40" s="2034"/>
      <c r="H40" s="2034"/>
      <c r="I40" s="2034"/>
      <c r="J40" s="2034"/>
      <c r="K40" s="2034"/>
      <c r="L40" s="2034"/>
      <c r="M40" s="2034"/>
      <c r="N40" s="2034"/>
      <c r="O40" s="2034"/>
      <c r="P40" s="2034"/>
      <c r="Q40" s="2034"/>
      <c r="R40" s="2034"/>
      <c r="S40" s="2034"/>
      <c r="T40" s="2036"/>
      <c r="U40" s="2034"/>
      <c r="V40" s="2034"/>
      <c r="W40" s="2034"/>
      <c r="X40" s="891"/>
      <c r="Y40" s="891"/>
      <c r="Z40" s="891"/>
      <c r="AA40" s="891"/>
      <c r="AB40" s="891"/>
      <c r="AC40" s="1982"/>
      <c r="AD40" s="1982"/>
      <c r="AE40" s="1982"/>
      <c r="AF40" s="1982"/>
      <c r="AG40" s="1982"/>
      <c r="AH40" s="1982"/>
    </row>
    <row r="41" spans="1:34" s="459" customFormat="1" ht="12.75">
      <c r="A41" s="1312"/>
      <c r="B41" s="509"/>
      <c r="C41" s="470"/>
      <c r="D41" s="1321"/>
      <c r="E41" s="1310"/>
      <c r="F41" s="480"/>
      <c r="G41" s="2034"/>
      <c r="H41" s="2034"/>
      <c r="I41" s="2034"/>
      <c r="J41" s="2034"/>
      <c r="K41" s="2034"/>
      <c r="L41" s="2034"/>
      <c r="M41" s="2034"/>
      <c r="N41" s="2034"/>
      <c r="O41" s="2034"/>
      <c r="P41" s="2034"/>
      <c r="Q41" s="2034"/>
      <c r="R41" s="2034"/>
      <c r="S41" s="2034"/>
      <c r="T41" s="2036"/>
      <c r="U41" s="2034"/>
      <c r="V41" s="2034"/>
      <c r="W41" s="2034"/>
      <c r="X41" s="891"/>
      <c r="Y41" s="891"/>
      <c r="Z41" s="891"/>
      <c r="AA41" s="891"/>
      <c r="AB41" s="891"/>
      <c r="AC41" s="1982"/>
      <c r="AD41" s="1982"/>
      <c r="AE41" s="1982"/>
      <c r="AF41" s="1982"/>
      <c r="AG41" s="1982"/>
      <c r="AH41" s="1982"/>
    </row>
    <row r="42" spans="1:34" s="459" customFormat="1" ht="12.75">
      <c r="A42" s="1312"/>
      <c r="B42" s="509"/>
      <c r="C42" s="470"/>
      <c r="D42" s="1321"/>
      <c r="E42" s="1310"/>
      <c r="F42" s="480"/>
      <c r="G42" s="2034"/>
      <c r="H42" s="2034"/>
      <c r="I42" s="2034"/>
      <c r="J42" s="2034"/>
      <c r="K42" s="2034"/>
      <c r="L42" s="2034"/>
      <c r="M42" s="2034"/>
      <c r="N42" s="2034"/>
      <c r="O42" s="2034"/>
      <c r="P42" s="2034"/>
      <c r="Q42" s="2034"/>
      <c r="R42" s="2034"/>
      <c r="S42" s="2034"/>
      <c r="T42" s="2036"/>
      <c r="U42" s="2034"/>
      <c r="V42" s="2034"/>
      <c r="W42" s="2034"/>
      <c r="X42" s="891"/>
      <c r="Y42" s="891"/>
      <c r="Z42" s="891"/>
      <c r="AA42" s="891"/>
      <c r="AB42" s="891"/>
      <c r="AC42" s="1982"/>
      <c r="AD42" s="1982"/>
      <c r="AE42" s="1982"/>
      <c r="AF42" s="1982"/>
      <c r="AG42" s="1982"/>
      <c r="AH42" s="1982"/>
    </row>
    <row r="43" spans="1:34" s="459" customFormat="1" ht="12.75">
      <c r="A43" s="1312"/>
      <c r="B43" s="509"/>
      <c r="C43" s="470"/>
      <c r="D43" s="1321"/>
      <c r="E43" s="1310"/>
      <c r="F43" s="480"/>
      <c r="G43" s="2034"/>
      <c r="H43" s="2034"/>
      <c r="I43" s="2034"/>
      <c r="J43" s="2034"/>
      <c r="K43" s="2034"/>
      <c r="L43" s="2034"/>
      <c r="M43" s="2034"/>
      <c r="N43" s="2034"/>
      <c r="O43" s="2034"/>
      <c r="P43" s="2034"/>
      <c r="Q43" s="2034"/>
      <c r="R43" s="2034"/>
      <c r="S43" s="2034"/>
      <c r="T43" s="2036"/>
      <c r="U43" s="2034"/>
      <c r="V43" s="2034"/>
      <c r="W43" s="2034"/>
      <c r="X43" s="891"/>
      <c r="Y43" s="891"/>
      <c r="Z43" s="891"/>
      <c r="AA43" s="891"/>
      <c r="AB43" s="891"/>
      <c r="AC43" s="1982"/>
      <c r="AD43" s="1982"/>
      <c r="AE43" s="1982"/>
      <c r="AF43" s="1982"/>
      <c r="AG43" s="1982"/>
      <c r="AH43" s="1982"/>
    </row>
    <row r="44" spans="1:34" s="459" customFormat="1" ht="12.75">
      <c r="A44" s="1312"/>
      <c r="B44" s="509"/>
      <c r="C44" s="470"/>
      <c r="D44" s="1321"/>
      <c r="E44" s="1310"/>
      <c r="F44" s="480"/>
      <c r="G44" s="2034"/>
      <c r="H44" s="2034"/>
      <c r="I44" s="2034"/>
      <c r="J44" s="2034"/>
      <c r="K44" s="2034"/>
      <c r="L44" s="2034"/>
      <c r="M44" s="2034"/>
      <c r="N44" s="2034"/>
      <c r="O44" s="2034"/>
      <c r="P44" s="2034"/>
      <c r="Q44" s="2034"/>
      <c r="R44" s="2034"/>
      <c r="S44" s="2034"/>
      <c r="T44" s="2036"/>
      <c r="U44" s="2034"/>
      <c r="V44" s="2034"/>
      <c r="W44" s="2034"/>
      <c r="X44" s="891"/>
      <c r="Y44" s="891"/>
      <c r="Z44" s="891"/>
      <c r="AA44" s="891"/>
      <c r="AB44" s="891"/>
      <c r="AC44" s="1982"/>
      <c r="AD44" s="1982"/>
      <c r="AE44" s="1982"/>
      <c r="AF44" s="1982"/>
      <c r="AG44" s="1982"/>
      <c r="AH44" s="1982"/>
    </row>
    <row r="45" spans="1:34" s="459" customFormat="1" ht="12.75">
      <c r="A45" s="1312"/>
      <c r="B45" s="509"/>
      <c r="C45" s="470"/>
      <c r="D45" s="1321"/>
      <c r="E45" s="1310"/>
      <c r="F45" s="480"/>
      <c r="G45" s="2034"/>
      <c r="H45" s="2034"/>
      <c r="I45" s="2034"/>
      <c r="J45" s="2034"/>
      <c r="K45" s="2034"/>
      <c r="L45" s="2034"/>
      <c r="M45" s="2034"/>
      <c r="N45" s="2034"/>
      <c r="O45" s="2034"/>
      <c r="P45" s="2034"/>
      <c r="Q45" s="2034"/>
      <c r="R45" s="2034"/>
      <c r="S45" s="2034"/>
      <c r="T45" s="2036"/>
      <c r="U45" s="2034"/>
      <c r="V45" s="2034"/>
      <c r="W45" s="2034"/>
      <c r="X45" s="891"/>
      <c r="Y45" s="891"/>
      <c r="Z45" s="891"/>
      <c r="AA45" s="891"/>
      <c r="AB45" s="891"/>
      <c r="AC45" s="1982"/>
      <c r="AD45" s="1982"/>
      <c r="AE45" s="1982"/>
      <c r="AF45" s="1982"/>
      <c r="AG45" s="1982"/>
      <c r="AH45" s="1982"/>
    </row>
    <row r="46" spans="1:34" s="459" customFormat="1" ht="12.75">
      <c r="A46" s="1312"/>
      <c r="B46" s="509"/>
      <c r="C46" s="470"/>
      <c r="D46" s="1321"/>
      <c r="E46" s="1310"/>
      <c r="F46" s="480"/>
      <c r="G46" s="2034"/>
      <c r="H46" s="2034"/>
      <c r="I46" s="2034"/>
      <c r="J46" s="2034"/>
      <c r="K46" s="2034"/>
      <c r="L46" s="2034"/>
      <c r="M46" s="2034"/>
      <c r="N46" s="2034"/>
      <c r="O46" s="2034"/>
      <c r="P46" s="2034"/>
      <c r="Q46" s="2034"/>
      <c r="R46" s="2034"/>
      <c r="S46" s="2034"/>
      <c r="T46" s="2036"/>
      <c r="U46" s="2034"/>
      <c r="V46" s="2034"/>
      <c r="W46" s="2034"/>
      <c r="X46" s="891"/>
      <c r="Y46" s="891"/>
      <c r="Z46" s="891"/>
      <c r="AA46" s="891"/>
      <c r="AB46" s="891"/>
      <c r="AC46" s="1982"/>
      <c r="AD46" s="1982"/>
      <c r="AE46" s="1982"/>
      <c r="AF46" s="1982"/>
      <c r="AG46" s="1982"/>
      <c r="AH46" s="1982"/>
    </row>
    <row r="47" spans="1:34" s="459" customFormat="1" ht="12.75">
      <c r="A47" s="1309"/>
      <c r="B47" s="507"/>
      <c r="C47" s="1322"/>
      <c r="D47" s="1321"/>
      <c r="E47" s="1310"/>
      <c r="F47" s="480"/>
      <c r="G47" s="2034"/>
      <c r="H47" s="2034"/>
      <c r="I47" s="2034"/>
      <c r="J47" s="2034"/>
      <c r="K47" s="2034"/>
      <c r="L47" s="2034"/>
      <c r="M47" s="2034"/>
      <c r="N47" s="2034"/>
      <c r="O47" s="2034"/>
      <c r="P47" s="2034"/>
      <c r="Q47" s="2034"/>
      <c r="R47" s="2034"/>
      <c r="S47" s="2034"/>
      <c r="T47" s="2036"/>
      <c r="U47" s="2034"/>
      <c r="V47" s="2034"/>
      <c r="W47" s="2034"/>
      <c r="X47" s="891"/>
      <c r="Y47" s="891"/>
      <c r="Z47" s="891"/>
      <c r="AA47" s="891"/>
      <c r="AB47" s="891"/>
      <c r="AC47" s="1982"/>
      <c r="AD47" s="1982"/>
      <c r="AE47" s="1982"/>
      <c r="AF47" s="1982"/>
      <c r="AG47" s="1982"/>
      <c r="AH47" s="1982"/>
    </row>
    <row r="48" spans="1:34" s="459" customFormat="1" ht="12.75">
      <c r="A48" s="1312"/>
      <c r="B48" s="509"/>
      <c r="C48" s="470"/>
      <c r="D48" s="1321"/>
      <c r="E48" s="1310"/>
      <c r="F48" s="480"/>
      <c r="G48" s="2034"/>
      <c r="H48" s="2034"/>
      <c r="I48" s="2034"/>
      <c r="J48" s="2034"/>
      <c r="K48" s="2034"/>
      <c r="L48" s="2034"/>
      <c r="M48" s="2034"/>
      <c r="N48" s="2034"/>
      <c r="O48" s="2034"/>
      <c r="P48" s="2034"/>
      <c r="Q48" s="2034"/>
      <c r="R48" s="2034"/>
      <c r="S48" s="2034"/>
      <c r="T48" s="2036"/>
      <c r="U48" s="2034"/>
      <c r="V48" s="2034"/>
      <c r="W48" s="2034"/>
      <c r="X48" s="891"/>
      <c r="Y48" s="891"/>
      <c r="Z48" s="891"/>
      <c r="AA48" s="891"/>
      <c r="AB48" s="891"/>
      <c r="AC48" s="1982"/>
      <c r="AD48" s="1982"/>
      <c r="AE48" s="1982"/>
      <c r="AF48" s="1982"/>
      <c r="AG48" s="1982"/>
      <c r="AH48" s="1982"/>
    </row>
    <row r="49" spans="1:34" s="459" customFormat="1" ht="12.75">
      <c r="A49" s="1313"/>
      <c r="B49" s="1314"/>
      <c r="C49" s="470"/>
      <c r="D49" s="1321"/>
      <c r="E49" s="1310"/>
      <c r="F49" s="480"/>
      <c r="G49" s="2034"/>
      <c r="H49" s="2034"/>
      <c r="I49" s="2034"/>
      <c r="J49" s="2034"/>
      <c r="K49" s="2034"/>
      <c r="L49" s="2034"/>
      <c r="M49" s="2034"/>
      <c r="N49" s="2034"/>
      <c r="O49" s="2034"/>
      <c r="P49" s="2034"/>
      <c r="Q49" s="2034"/>
      <c r="R49" s="2034"/>
      <c r="S49" s="2034"/>
      <c r="T49" s="2036"/>
      <c r="U49" s="2034"/>
      <c r="V49" s="2034"/>
      <c r="W49" s="2034"/>
      <c r="X49" s="891"/>
      <c r="Y49" s="891"/>
      <c r="Z49" s="891"/>
      <c r="AA49" s="891"/>
      <c r="AB49" s="891"/>
      <c r="AC49" s="1982"/>
      <c r="AD49" s="1982"/>
      <c r="AE49" s="1982"/>
      <c r="AF49" s="1982"/>
      <c r="AG49" s="1982"/>
      <c r="AH49" s="1982"/>
    </row>
    <row r="50" spans="1:34" s="459" customFormat="1" ht="12.75">
      <c r="A50" s="1312"/>
      <c r="B50" s="509"/>
      <c r="C50" s="470"/>
      <c r="D50" s="1321"/>
      <c r="E50" s="1310"/>
      <c r="F50" s="480"/>
      <c r="G50" s="2034"/>
      <c r="H50" s="2034"/>
      <c r="I50" s="2034"/>
      <c r="J50" s="2034"/>
      <c r="K50" s="2034"/>
      <c r="L50" s="2034"/>
      <c r="M50" s="2034"/>
      <c r="N50" s="2034"/>
      <c r="O50" s="2034"/>
      <c r="P50" s="2034"/>
      <c r="Q50" s="2034"/>
      <c r="R50" s="2034"/>
      <c r="S50" s="2034"/>
      <c r="T50" s="2036"/>
      <c r="U50" s="2034"/>
      <c r="V50" s="2034"/>
      <c r="W50" s="2034"/>
      <c r="X50" s="891"/>
      <c r="Y50" s="891"/>
      <c r="Z50" s="891"/>
      <c r="AA50" s="891"/>
      <c r="AB50" s="891"/>
      <c r="AC50" s="1982"/>
      <c r="AD50" s="1982"/>
      <c r="AE50" s="1982"/>
      <c r="AF50" s="1982"/>
      <c r="AG50" s="1982"/>
      <c r="AH50" s="1982"/>
    </row>
    <row r="51" spans="1:34" s="459" customFormat="1" ht="12.75">
      <c r="A51" s="1312"/>
      <c r="B51" s="509"/>
      <c r="C51" s="470"/>
      <c r="D51" s="1321"/>
      <c r="E51" s="1310"/>
      <c r="F51" s="480"/>
      <c r="G51" s="2034"/>
      <c r="H51" s="2034"/>
      <c r="I51" s="2034"/>
      <c r="J51" s="2034"/>
      <c r="K51" s="2034"/>
      <c r="L51" s="2034"/>
      <c r="M51" s="2034"/>
      <c r="N51" s="2034"/>
      <c r="O51" s="2034"/>
      <c r="P51" s="2034"/>
      <c r="Q51" s="2034"/>
      <c r="R51" s="2034"/>
      <c r="S51" s="2034"/>
      <c r="T51" s="2036"/>
      <c r="U51" s="2034"/>
      <c r="V51" s="2034"/>
      <c r="W51" s="2034"/>
      <c r="X51" s="891"/>
      <c r="Y51" s="891"/>
      <c r="Z51" s="891"/>
      <c r="AA51" s="891"/>
      <c r="AB51" s="891"/>
      <c r="AC51" s="1982"/>
      <c r="AD51" s="1982"/>
      <c r="AE51" s="1982"/>
      <c r="AF51" s="1982"/>
      <c r="AG51" s="1982"/>
      <c r="AH51" s="1982"/>
    </row>
    <row r="52" spans="1:34" s="459" customFormat="1" ht="12.75">
      <c r="A52" s="1312"/>
      <c r="B52" s="509"/>
      <c r="C52" s="470"/>
      <c r="D52" s="1320"/>
      <c r="E52" s="1310"/>
      <c r="F52" s="480"/>
      <c r="G52" s="2034"/>
      <c r="H52" s="2034"/>
      <c r="I52" s="2034"/>
      <c r="J52" s="2034"/>
      <c r="K52" s="2034"/>
      <c r="L52" s="2034"/>
      <c r="M52" s="2034"/>
      <c r="N52" s="2034"/>
      <c r="O52" s="2034"/>
      <c r="P52" s="2034"/>
      <c r="Q52" s="2034"/>
      <c r="R52" s="2034"/>
      <c r="S52" s="2034"/>
      <c r="T52" s="2036"/>
      <c r="U52" s="2034"/>
      <c r="V52" s="2034"/>
      <c r="W52" s="2034"/>
      <c r="X52" s="891"/>
      <c r="Y52" s="891"/>
      <c r="Z52" s="891"/>
      <c r="AA52" s="891"/>
      <c r="AB52" s="891"/>
      <c r="AC52" s="1982"/>
      <c r="AD52" s="1982"/>
      <c r="AE52" s="1982"/>
      <c r="AF52" s="1982"/>
      <c r="AG52" s="1982"/>
      <c r="AH52" s="1982"/>
    </row>
    <row r="53" spans="1:34" s="459" customFormat="1" ht="12.75">
      <c r="A53" s="1312"/>
      <c r="B53" s="509"/>
      <c r="C53" s="470"/>
      <c r="D53" s="1320"/>
      <c r="E53" s="1310"/>
      <c r="F53" s="480"/>
      <c r="G53" s="2034"/>
      <c r="H53" s="2034"/>
      <c r="I53" s="2034"/>
      <c r="J53" s="2034"/>
      <c r="K53" s="2034"/>
      <c r="L53" s="2034"/>
      <c r="M53" s="2034"/>
      <c r="N53" s="2034"/>
      <c r="O53" s="2034"/>
      <c r="P53" s="2034"/>
      <c r="Q53" s="2034"/>
      <c r="R53" s="2034"/>
      <c r="S53" s="2034"/>
      <c r="T53" s="2036"/>
      <c r="U53" s="2034"/>
      <c r="V53" s="2034"/>
      <c r="W53" s="2034"/>
      <c r="X53" s="891"/>
      <c r="Y53" s="891"/>
      <c r="Z53" s="891"/>
      <c r="AA53" s="891"/>
      <c r="AB53" s="891"/>
      <c r="AC53" s="1982"/>
      <c r="AD53" s="1982"/>
      <c r="AE53" s="1982"/>
      <c r="AF53" s="1982"/>
      <c r="AG53" s="1982"/>
      <c r="AH53" s="1982"/>
    </row>
    <row r="54" spans="1:34" s="459" customFormat="1" ht="12.75">
      <c r="A54" s="1312"/>
      <c r="B54" s="509"/>
      <c r="C54" s="470"/>
      <c r="D54" s="1320"/>
      <c r="E54" s="1310"/>
      <c r="F54" s="480"/>
      <c r="G54" s="2034"/>
      <c r="H54" s="2034"/>
      <c r="I54" s="2034"/>
      <c r="J54" s="2034"/>
      <c r="K54" s="2034"/>
      <c r="L54" s="2034"/>
      <c r="M54" s="2034"/>
      <c r="N54" s="2034"/>
      <c r="O54" s="2034"/>
      <c r="P54" s="2034"/>
      <c r="Q54" s="2034"/>
      <c r="R54" s="2034"/>
      <c r="S54" s="2034"/>
      <c r="T54" s="2036"/>
      <c r="U54" s="2034"/>
      <c r="V54" s="2034"/>
      <c r="W54" s="2034"/>
      <c r="X54" s="891"/>
      <c r="Y54" s="891"/>
      <c r="Z54" s="891"/>
      <c r="AA54" s="891"/>
      <c r="AB54" s="891"/>
      <c r="AC54" s="1982"/>
      <c r="AD54" s="1982"/>
      <c r="AE54" s="1982"/>
      <c r="AF54" s="1982"/>
      <c r="AG54" s="1982"/>
      <c r="AH54" s="1982"/>
    </row>
    <row r="55" spans="1:34" s="459" customFormat="1" ht="12.75">
      <c r="A55" s="1309"/>
      <c r="B55" s="507"/>
      <c r="C55" s="470"/>
      <c r="D55" s="1320"/>
      <c r="E55" s="1310"/>
      <c r="F55" s="480"/>
      <c r="G55" s="2034"/>
      <c r="H55" s="2034"/>
      <c r="I55" s="2034"/>
      <c r="J55" s="2034"/>
      <c r="K55" s="2034"/>
      <c r="L55" s="2034"/>
      <c r="M55" s="2034"/>
      <c r="N55" s="2034"/>
      <c r="O55" s="2034"/>
      <c r="P55" s="2034"/>
      <c r="Q55" s="2034"/>
      <c r="R55" s="2034"/>
      <c r="S55" s="2034"/>
      <c r="T55" s="2036"/>
      <c r="U55" s="2034"/>
      <c r="V55" s="2034"/>
      <c r="W55" s="2034"/>
      <c r="X55" s="891"/>
      <c r="Y55" s="891"/>
      <c r="Z55" s="891"/>
      <c r="AA55" s="891"/>
      <c r="AB55" s="891"/>
      <c r="AC55" s="1982"/>
      <c r="AD55" s="1982"/>
      <c r="AE55" s="1982"/>
      <c r="AF55" s="1982"/>
      <c r="AG55" s="1982"/>
      <c r="AH55" s="1982"/>
    </row>
    <row r="56" spans="1:34" s="459" customFormat="1" ht="12.75">
      <c r="A56" s="1309"/>
      <c r="B56" s="507"/>
      <c r="C56" s="470"/>
      <c r="D56" s="1321"/>
      <c r="E56" s="1310"/>
      <c r="F56" s="480"/>
      <c r="G56" s="2034"/>
      <c r="H56" s="2034"/>
      <c r="I56" s="2034"/>
      <c r="J56" s="2034"/>
      <c r="K56" s="2034"/>
      <c r="L56" s="2034"/>
      <c r="M56" s="2034"/>
      <c r="N56" s="2034"/>
      <c r="O56" s="2034"/>
      <c r="P56" s="2034"/>
      <c r="Q56" s="2034"/>
      <c r="R56" s="2034"/>
      <c r="S56" s="2034"/>
      <c r="T56" s="2036"/>
      <c r="U56" s="2034"/>
      <c r="V56" s="2034"/>
      <c r="W56" s="2034"/>
      <c r="X56" s="891"/>
      <c r="Y56" s="891"/>
      <c r="Z56" s="891"/>
      <c r="AA56" s="891"/>
      <c r="AB56" s="891"/>
      <c r="AC56" s="1982"/>
      <c r="AD56" s="1982"/>
      <c r="AE56" s="1982"/>
      <c r="AF56" s="1982"/>
      <c r="AG56" s="1982"/>
      <c r="AH56" s="1982"/>
    </row>
    <row r="57" spans="1:34" s="459" customFormat="1" ht="12.75">
      <c r="A57" s="481"/>
      <c r="B57" s="482" t="s">
        <v>17</v>
      </c>
      <c r="C57" s="892">
        <f t="shared" ref="C57:AB57" si="0">SUM(C15:C56)</f>
        <v>171000</v>
      </c>
      <c r="D57" s="892">
        <f t="shared" si="0"/>
        <v>171000</v>
      </c>
      <c r="E57" s="892">
        <f t="shared" si="0"/>
        <v>3</v>
      </c>
      <c r="F57" s="892">
        <f t="shared" si="0"/>
        <v>171000</v>
      </c>
      <c r="G57" s="892">
        <f t="shared" si="0"/>
        <v>0</v>
      </c>
      <c r="H57" s="892">
        <f t="shared" si="0"/>
        <v>0</v>
      </c>
      <c r="I57" s="892">
        <f t="shared" si="0"/>
        <v>138600</v>
      </c>
      <c r="J57" s="892">
        <f t="shared" si="0"/>
        <v>0</v>
      </c>
      <c r="K57" s="892">
        <f t="shared" si="0"/>
        <v>0</v>
      </c>
      <c r="L57" s="892">
        <f t="shared" si="0"/>
        <v>138600</v>
      </c>
      <c r="M57" s="892">
        <f t="shared" si="0"/>
        <v>0</v>
      </c>
      <c r="N57" s="892">
        <f t="shared" si="0"/>
        <v>0</v>
      </c>
      <c r="O57" s="892">
        <f t="shared" si="0"/>
        <v>0</v>
      </c>
      <c r="P57" s="892">
        <f t="shared" si="0"/>
        <v>0</v>
      </c>
      <c r="Q57" s="892">
        <f t="shared" si="0"/>
        <v>0</v>
      </c>
      <c r="R57" s="892">
        <f t="shared" si="0"/>
        <v>0</v>
      </c>
      <c r="S57" s="892">
        <f t="shared" si="0"/>
        <v>0</v>
      </c>
      <c r="T57" s="893">
        <f>W57-L57</f>
        <v>0</v>
      </c>
      <c r="U57" s="892">
        <f t="shared" si="0"/>
        <v>138600</v>
      </c>
      <c r="V57" s="892">
        <f t="shared" si="0"/>
        <v>2</v>
      </c>
      <c r="W57" s="892">
        <f t="shared" si="0"/>
        <v>138600</v>
      </c>
      <c r="X57" s="892">
        <f t="shared" si="0"/>
        <v>138600</v>
      </c>
      <c r="Y57" s="892">
        <f t="shared" si="0"/>
        <v>0</v>
      </c>
      <c r="Z57" s="892">
        <f t="shared" si="0"/>
        <v>0</v>
      </c>
      <c r="AA57" s="892">
        <f t="shared" si="0"/>
        <v>0</v>
      </c>
      <c r="AB57" s="892">
        <f t="shared" si="0"/>
        <v>138600</v>
      </c>
      <c r="AC57" s="1982"/>
      <c r="AD57" s="1982"/>
      <c r="AE57" s="1982"/>
      <c r="AF57" s="1982"/>
      <c r="AG57" s="1982"/>
      <c r="AH57" s="1982"/>
    </row>
    <row r="58" spans="1:34" s="459" customFormat="1" ht="12.75">
      <c r="A58" s="483"/>
      <c r="B58" s="484"/>
      <c r="C58" s="1980"/>
      <c r="D58" s="1980"/>
      <c r="E58" s="1980"/>
      <c r="F58" s="2038"/>
      <c r="G58" s="2038"/>
      <c r="H58" s="2038"/>
      <c r="I58" s="2038"/>
      <c r="J58" s="2038"/>
      <c r="K58" s="2038"/>
      <c r="L58" s="2038"/>
      <c r="M58" s="2038"/>
      <c r="N58" s="2038"/>
      <c r="O58" s="1980"/>
      <c r="P58" s="2038"/>
      <c r="Q58" s="1980"/>
      <c r="R58" s="1980"/>
      <c r="S58" s="1981"/>
      <c r="T58" s="1981"/>
      <c r="U58" s="1980"/>
      <c r="V58" s="1980"/>
      <c r="W58" s="2038"/>
      <c r="X58" s="212"/>
      <c r="Y58" s="212"/>
      <c r="Z58" s="212"/>
      <c r="AA58" s="212"/>
      <c r="AB58" s="792"/>
      <c r="AC58" s="1982"/>
      <c r="AD58" s="1982"/>
      <c r="AE58" s="1982"/>
      <c r="AF58" s="1982"/>
      <c r="AG58" s="1982"/>
      <c r="AH58" s="1982"/>
    </row>
    <row r="59" spans="1:34" s="459" customFormat="1" ht="12.75">
      <c r="A59" s="483"/>
      <c r="B59" s="484"/>
      <c r="C59" s="1980"/>
      <c r="D59" s="1980"/>
      <c r="E59" s="1980"/>
      <c r="F59" s="2038"/>
      <c r="G59" s="2038"/>
      <c r="H59" s="2038"/>
      <c r="I59" s="2038"/>
      <c r="J59" s="2038"/>
      <c r="K59" s="2038"/>
      <c r="L59" s="2038"/>
      <c r="M59" s="2038"/>
      <c r="N59" s="2038"/>
      <c r="O59" s="1980"/>
      <c r="P59" s="2038"/>
      <c r="Q59" s="1980"/>
      <c r="R59" s="1980"/>
      <c r="S59" s="1981"/>
      <c r="T59" s="1981"/>
      <c r="U59" s="1980"/>
      <c r="V59" s="1980"/>
      <c r="W59" s="2038"/>
      <c r="X59" s="212"/>
      <c r="Y59" s="212"/>
      <c r="Z59" s="212"/>
      <c r="AA59" s="212"/>
      <c r="AB59" s="212"/>
      <c r="AC59" s="1982"/>
      <c r="AD59" s="1982"/>
      <c r="AE59" s="1982"/>
      <c r="AF59" s="1982"/>
      <c r="AG59" s="1982"/>
      <c r="AH59" s="1982"/>
    </row>
    <row r="60" spans="1:34" s="459" customFormat="1" ht="12.75">
      <c r="A60" s="460"/>
      <c r="B60" s="460"/>
      <c r="C60" s="1986"/>
      <c r="D60" s="1986"/>
      <c r="E60" s="1986"/>
      <c r="F60" s="2039"/>
      <c r="G60" s="1986"/>
      <c r="H60" s="1986"/>
      <c r="I60" s="1986"/>
      <c r="J60" s="1986"/>
      <c r="K60" s="1986"/>
      <c r="L60" s="1986"/>
      <c r="M60" s="1986"/>
      <c r="N60" s="1986"/>
      <c r="O60" s="1986"/>
      <c r="P60" s="1986"/>
      <c r="Q60" s="1982"/>
      <c r="R60" s="1986"/>
      <c r="S60" s="1982"/>
      <c r="T60" s="1982"/>
      <c r="U60" s="1986"/>
      <c r="V60" s="1986"/>
      <c r="W60" s="2039"/>
      <c r="X60" s="212"/>
      <c r="Y60" s="212"/>
      <c r="Z60" s="212"/>
      <c r="AA60" s="212"/>
      <c r="AB60" s="212"/>
      <c r="AC60" s="1982"/>
      <c r="AD60" s="1982"/>
      <c r="AE60" s="1982"/>
      <c r="AF60" s="1982"/>
      <c r="AG60" s="1982"/>
      <c r="AH60" s="1982"/>
    </row>
    <row r="61" spans="1:34" s="459" customFormat="1" ht="12.75">
      <c r="A61" s="460"/>
      <c r="B61" s="460"/>
      <c r="C61" s="1986"/>
      <c r="D61" s="1986"/>
      <c r="E61" s="1986"/>
      <c r="F61" s="2039"/>
      <c r="G61" s="1986"/>
      <c r="H61" s="1986"/>
      <c r="I61" s="1986"/>
      <c r="J61" s="1986"/>
      <c r="K61" s="1986"/>
      <c r="L61" s="1986"/>
      <c r="M61" s="1986"/>
      <c r="N61" s="1986"/>
      <c r="O61" s="1986"/>
      <c r="P61" s="1986"/>
      <c r="Q61" s="1982"/>
      <c r="R61" s="1986"/>
      <c r="S61" s="1982"/>
      <c r="T61" s="1982"/>
      <c r="U61" s="1986"/>
      <c r="V61" s="1986"/>
      <c r="W61" s="2039"/>
      <c r="X61" s="212"/>
      <c r="Y61" s="212"/>
      <c r="Z61" s="212"/>
      <c r="AA61" s="212"/>
      <c r="AB61" s="212"/>
      <c r="AC61" s="1982"/>
      <c r="AD61" s="1982"/>
      <c r="AE61" s="1982"/>
      <c r="AF61" s="1982"/>
      <c r="AG61" s="1982"/>
      <c r="AH61" s="1982"/>
    </row>
    <row r="62" spans="1:34" s="459" customFormat="1" ht="12.75">
      <c r="A62" s="460"/>
      <c r="B62" s="460"/>
      <c r="C62" s="1986"/>
      <c r="D62" s="1986"/>
      <c r="E62" s="1986"/>
      <c r="F62" s="1986"/>
      <c r="G62" s="1986"/>
      <c r="H62" s="1986"/>
      <c r="I62" s="1986"/>
      <c r="J62" s="1986"/>
      <c r="K62" s="1986"/>
      <c r="L62" s="1986"/>
      <c r="M62" s="1986"/>
      <c r="N62" s="1986"/>
      <c r="O62" s="1986"/>
      <c r="P62" s="1986"/>
      <c r="Q62" s="1982"/>
      <c r="R62" s="1986"/>
      <c r="S62" s="1982"/>
      <c r="T62" s="1982"/>
      <c r="U62" s="1986"/>
      <c r="V62" s="1986"/>
      <c r="W62" s="1986"/>
      <c r="X62" s="212"/>
      <c r="Y62" s="212"/>
      <c r="Z62" s="212"/>
      <c r="AA62" s="212"/>
      <c r="AB62" s="212"/>
      <c r="AC62" s="1982"/>
      <c r="AD62" s="1982"/>
      <c r="AE62" s="1982"/>
      <c r="AF62" s="1982"/>
      <c r="AG62" s="1982"/>
      <c r="AH62" s="1982"/>
    </row>
    <row r="63" spans="1:34" s="459" customFormat="1" ht="12.75">
      <c r="A63" s="460"/>
      <c r="B63" s="460"/>
      <c r="C63" s="1986"/>
      <c r="D63" s="1986"/>
      <c r="E63" s="1986"/>
      <c r="F63" s="2040"/>
      <c r="G63" s="2040"/>
      <c r="H63" s="2040"/>
      <c r="I63" s="2040"/>
      <c r="J63" s="1986"/>
      <c r="K63" s="1986"/>
      <c r="L63" s="1986"/>
      <c r="M63" s="1986"/>
      <c r="N63" s="1986"/>
      <c r="O63" s="1986"/>
      <c r="P63" s="1986"/>
      <c r="Q63" s="1982"/>
      <c r="R63" s="1982"/>
      <c r="S63" s="1982"/>
      <c r="T63" s="1982"/>
      <c r="U63" s="1986"/>
      <c r="V63" s="1986"/>
      <c r="W63" s="2040"/>
      <c r="X63" s="212"/>
      <c r="Y63" s="212"/>
      <c r="Z63" s="212"/>
      <c r="AA63" s="212"/>
      <c r="AB63" s="212"/>
      <c r="AC63" s="1982"/>
      <c r="AD63" s="1982"/>
      <c r="AE63" s="1982"/>
      <c r="AF63" s="1982"/>
      <c r="AG63" s="1982"/>
      <c r="AH63" s="1982"/>
    </row>
    <row r="64" spans="1:34" s="459" customFormat="1" ht="12.75">
      <c r="A64" s="460"/>
      <c r="B64" s="460"/>
      <c r="C64" s="1986"/>
      <c r="D64" s="1986"/>
      <c r="E64" s="1986"/>
      <c r="F64" s="2040"/>
      <c r="G64" s="2040"/>
      <c r="H64" s="2040"/>
      <c r="I64" s="2040"/>
      <c r="J64" s="1986"/>
      <c r="K64" s="1986"/>
      <c r="L64" s="1986"/>
      <c r="M64" s="1986"/>
      <c r="N64" s="1986"/>
      <c r="O64" s="1986"/>
      <c r="P64" s="1986"/>
      <c r="Q64" s="1982"/>
      <c r="R64" s="1982"/>
      <c r="S64" s="1982"/>
      <c r="T64" s="1982"/>
      <c r="U64" s="1986"/>
      <c r="V64" s="1986"/>
      <c r="W64" s="2040"/>
      <c r="X64" s="212"/>
      <c r="Y64" s="212"/>
      <c r="Z64" s="212"/>
      <c r="AA64" s="212"/>
      <c r="AB64" s="212"/>
      <c r="AC64" s="1982"/>
      <c r="AD64" s="1982"/>
      <c r="AE64" s="1982"/>
      <c r="AF64" s="1982"/>
      <c r="AG64" s="1982"/>
      <c r="AH64" s="1982"/>
    </row>
    <row r="65" spans="1:34" s="459" customFormat="1" ht="12.75">
      <c r="A65" s="460"/>
      <c r="B65" s="460"/>
      <c r="C65" s="1986"/>
      <c r="D65" s="1986"/>
      <c r="E65" s="1986"/>
      <c r="F65" s="1986"/>
      <c r="G65" s="1986"/>
      <c r="H65" s="1986"/>
      <c r="I65" s="1986"/>
      <c r="J65" s="1986"/>
      <c r="K65" s="1986"/>
      <c r="L65" s="1986"/>
      <c r="M65" s="1986"/>
      <c r="N65" s="1986"/>
      <c r="O65" s="1986"/>
      <c r="P65" s="1986"/>
      <c r="Q65" s="1982"/>
      <c r="R65" s="1982"/>
      <c r="S65" s="1982"/>
      <c r="T65" s="1982"/>
      <c r="U65" s="1986"/>
      <c r="V65" s="1986"/>
      <c r="W65" s="1986"/>
      <c r="X65" s="212"/>
      <c r="Y65" s="212"/>
      <c r="Z65" s="212"/>
      <c r="AA65" s="212"/>
      <c r="AB65" s="212"/>
      <c r="AC65" s="1982"/>
      <c r="AD65" s="1982"/>
      <c r="AE65" s="1982"/>
      <c r="AF65" s="1982"/>
      <c r="AG65" s="1982"/>
      <c r="AH65" s="1982"/>
    </row>
    <row r="66" spans="1:34" s="459" customFormat="1" ht="12.75">
      <c r="A66" s="460"/>
      <c r="B66" s="460"/>
      <c r="C66" s="1986"/>
      <c r="D66" s="1986"/>
      <c r="E66" s="1986"/>
      <c r="F66" s="1986"/>
      <c r="G66" s="1986"/>
      <c r="H66" s="1986"/>
      <c r="I66" s="1986"/>
      <c r="J66" s="1986"/>
      <c r="K66" s="1986"/>
      <c r="L66" s="1986"/>
      <c r="M66" s="1986"/>
      <c r="N66" s="1986"/>
      <c r="O66" s="1986"/>
      <c r="P66" s="1986"/>
      <c r="Q66" s="1982"/>
      <c r="R66" s="1982"/>
      <c r="S66" s="1982"/>
      <c r="T66" s="1982"/>
      <c r="U66" s="1986"/>
      <c r="V66" s="1986"/>
      <c r="W66" s="1986"/>
      <c r="X66" s="212"/>
      <c r="Y66" s="212"/>
      <c r="Z66" s="212"/>
      <c r="AA66" s="212"/>
      <c r="AB66" s="212"/>
      <c r="AC66" s="1982"/>
      <c r="AD66" s="1982"/>
      <c r="AE66" s="1982"/>
      <c r="AF66" s="1982"/>
      <c r="AG66" s="1982"/>
      <c r="AH66" s="1982"/>
    </row>
    <row r="67" spans="1:34" s="459" customFormat="1" ht="12.75">
      <c r="A67" s="460"/>
      <c r="B67" s="460"/>
      <c r="C67" s="1986"/>
      <c r="D67" s="1986"/>
      <c r="E67" s="1986"/>
      <c r="F67" s="1986"/>
      <c r="G67" s="1986"/>
      <c r="H67" s="1986"/>
      <c r="I67" s="1986"/>
      <c r="J67" s="1986"/>
      <c r="K67" s="1986"/>
      <c r="L67" s="1986"/>
      <c r="M67" s="1986"/>
      <c r="N67" s="1986"/>
      <c r="O67" s="1986"/>
      <c r="P67" s="1986"/>
      <c r="Q67" s="1982"/>
      <c r="R67" s="1982"/>
      <c r="S67" s="1982"/>
      <c r="T67" s="1982"/>
      <c r="U67" s="1986"/>
      <c r="V67" s="1986"/>
      <c r="W67" s="1986"/>
      <c r="X67" s="212"/>
      <c r="Y67" s="212"/>
      <c r="Z67" s="212"/>
      <c r="AA67" s="212"/>
      <c r="AB67" s="212"/>
      <c r="AC67" s="1982"/>
      <c r="AD67" s="1982"/>
      <c r="AE67" s="1982"/>
      <c r="AF67" s="1982"/>
      <c r="AG67" s="1982"/>
      <c r="AH67" s="1982"/>
    </row>
    <row r="68" spans="1:34" s="459" customFormat="1" ht="12.75">
      <c r="A68" s="460"/>
      <c r="B68" s="460"/>
      <c r="C68" s="1986"/>
      <c r="D68" s="1986"/>
      <c r="E68" s="1986"/>
      <c r="F68" s="1986"/>
      <c r="G68" s="1986"/>
      <c r="H68" s="1986"/>
      <c r="I68" s="1986"/>
      <c r="J68" s="1986"/>
      <c r="K68" s="1986"/>
      <c r="L68" s="1986"/>
      <c r="M68" s="1986"/>
      <c r="N68" s="1986"/>
      <c r="O68" s="1986"/>
      <c r="P68" s="1986"/>
      <c r="Q68" s="1982"/>
      <c r="R68" s="1982"/>
      <c r="S68" s="1982"/>
      <c r="T68" s="1982"/>
      <c r="U68" s="1986"/>
      <c r="V68" s="1986"/>
      <c r="W68" s="1986"/>
      <c r="X68" s="212"/>
      <c r="Y68" s="212"/>
      <c r="Z68" s="212"/>
      <c r="AA68" s="212"/>
      <c r="AB68" s="212"/>
      <c r="AC68" s="1982"/>
      <c r="AD68" s="1982"/>
      <c r="AE68" s="1982"/>
      <c r="AF68" s="1982"/>
      <c r="AG68" s="1982"/>
      <c r="AH68" s="1982"/>
    </row>
    <row r="69" spans="1:34" s="459" customFormat="1" ht="12.75">
      <c r="A69" s="460"/>
      <c r="B69" s="460"/>
      <c r="C69" s="1986"/>
      <c r="D69" s="1986"/>
      <c r="E69" s="1986"/>
      <c r="F69" s="1986"/>
      <c r="G69" s="1986"/>
      <c r="H69" s="1986"/>
      <c r="I69" s="1986"/>
      <c r="J69" s="1986"/>
      <c r="K69" s="1986"/>
      <c r="L69" s="1986"/>
      <c r="M69" s="1986"/>
      <c r="N69" s="1986"/>
      <c r="O69" s="1986"/>
      <c r="P69" s="1986"/>
      <c r="Q69" s="1982"/>
      <c r="R69" s="1982"/>
      <c r="S69" s="1982"/>
      <c r="T69" s="1982"/>
      <c r="U69" s="1986"/>
      <c r="V69" s="1986"/>
      <c r="W69" s="1986"/>
      <c r="X69" s="212"/>
      <c r="Y69" s="212"/>
      <c r="Z69" s="212"/>
      <c r="AA69" s="212"/>
      <c r="AB69" s="212"/>
      <c r="AC69" s="1982"/>
      <c r="AD69" s="1982"/>
      <c r="AE69" s="1982"/>
      <c r="AF69" s="1982"/>
      <c r="AG69" s="1982"/>
      <c r="AH69" s="1982"/>
    </row>
    <row r="70" spans="1:34" s="459" customFormat="1" ht="12.75">
      <c r="A70" s="460"/>
      <c r="B70" s="460"/>
      <c r="C70" s="1986"/>
      <c r="D70" s="1986"/>
      <c r="E70" s="1986"/>
      <c r="F70" s="1986"/>
      <c r="G70" s="1986"/>
      <c r="H70" s="1986"/>
      <c r="I70" s="1986"/>
      <c r="J70" s="1986"/>
      <c r="K70" s="1986"/>
      <c r="L70" s="1986"/>
      <c r="M70" s="1986"/>
      <c r="N70" s="1986"/>
      <c r="O70" s="1986"/>
      <c r="P70" s="1986"/>
      <c r="Q70" s="1982"/>
      <c r="R70" s="1982"/>
      <c r="S70" s="1982"/>
      <c r="T70" s="1982"/>
      <c r="U70" s="1986"/>
      <c r="V70" s="1986"/>
      <c r="W70" s="1986"/>
      <c r="X70" s="212"/>
      <c r="Y70" s="212"/>
      <c r="Z70" s="212"/>
      <c r="AA70" s="212"/>
      <c r="AB70" s="212"/>
      <c r="AC70" s="1982"/>
      <c r="AD70" s="1982"/>
      <c r="AE70" s="1982"/>
      <c r="AF70" s="1982"/>
      <c r="AG70" s="1982"/>
      <c r="AH70" s="1982"/>
    </row>
    <row r="71" spans="1:34" s="459" customFormat="1" ht="12.75">
      <c r="A71" s="460"/>
      <c r="B71" s="460"/>
      <c r="C71" s="1986"/>
      <c r="D71" s="1986"/>
      <c r="E71" s="1986"/>
      <c r="F71" s="1986"/>
      <c r="G71" s="1986"/>
      <c r="H71" s="1986"/>
      <c r="I71" s="1986"/>
      <c r="J71" s="1986"/>
      <c r="K71" s="1986"/>
      <c r="L71" s="1986"/>
      <c r="M71" s="1986"/>
      <c r="N71" s="1986"/>
      <c r="O71" s="1986"/>
      <c r="P71" s="1986"/>
      <c r="Q71" s="1982"/>
      <c r="R71" s="1982"/>
      <c r="S71" s="1982"/>
      <c r="T71" s="1982"/>
      <c r="U71" s="1986"/>
      <c r="V71" s="1986"/>
      <c r="W71" s="1986"/>
      <c r="X71" s="212"/>
      <c r="Y71" s="212"/>
      <c r="Z71" s="212"/>
      <c r="AA71" s="212"/>
      <c r="AB71" s="212"/>
      <c r="AC71" s="1982"/>
      <c r="AD71" s="1982"/>
      <c r="AE71" s="1982"/>
      <c r="AF71" s="1982"/>
      <c r="AG71" s="1982"/>
      <c r="AH71" s="1982"/>
    </row>
    <row r="72" spans="1:34" s="459" customFormat="1" ht="12.75">
      <c r="A72" s="460"/>
      <c r="B72" s="460"/>
      <c r="C72" s="1986"/>
      <c r="D72" s="1986"/>
      <c r="E72" s="1986"/>
      <c r="F72" s="1986"/>
      <c r="G72" s="1986"/>
      <c r="H72" s="1986"/>
      <c r="I72" s="1986"/>
      <c r="J72" s="1986"/>
      <c r="K72" s="1986"/>
      <c r="L72" s="1986"/>
      <c r="M72" s="1986"/>
      <c r="N72" s="1986"/>
      <c r="O72" s="1986"/>
      <c r="P72" s="1986"/>
      <c r="Q72" s="1982"/>
      <c r="R72" s="1982"/>
      <c r="S72" s="1982"/>
      <c r="T72" s="1982"/>
      <c r="U72" s="1986"/>
      <c r="V72" s="1986"/>
      <c r="W72" s="1986"/>
      <c r="X72" s="212"/>
      <c r="Y72" s="212"/>
      <c r="Z72" s="212"/>
      <c r="AA72" s="212"/>
      <c r="AB72" s="212"/>
      <c r="AC72" s="1982"/>
      <c r="AD72" s="1982"/>
      <c r="AE72" s="1982"/>
      <c r="AF72" s="1982"/>
      <c r="AG72" s="1982"/>
      <c r="AH72" s="1982"/>
    </row>
    <row r="73" spans="1:34" s="459" customFormat="1" ht="12.75">
      <c r="A73" s="460"/>
      <c r="B73" s="460"/>
      <c r="C73" s="1986"/>
      <c r="D73" s="1986"/>
      <c r="E73" s="1986"/>
      <c r="F73" s="1986"/>
      <c r="G73" s="1986"/>
      <c r="H73" s="1986"/>
      <c r="I73" s="1986"/>
      <c r="J73" s="1986"/>
      <c r="K73" s="1986"/>
      <c r="L73" s="1986"/>
      <c r="M73" s="1986"/>
      <c r="N73" s="1986"/>
      <c r="O73" s="1986"/>
      <c r="P73" s="1986"/>
      <c r="Q73" s="1982"/>
      <c r="R73" s="1982"/>
      <c r="S73" s="1982"/>
      <c r="T73" s="1982"/>
      <c r="U73" s="1986"/>
      <c r="V73" s="1986"/>
      <c r="W73" s="1986"/>
      <c r="X73" s="212"/>
      <c r="Y73" s="212"/>
      <c r="Z73" s="212"/>
      <c r="AA73" s="212"/>
      <c r="AB73" s="212"/>
      <c r="AC73" s="1982"/>
      <c r="AD73" s="1982"/>
      <c r="AE73" s="1982"/>
      <c r="AF73" s="1982"/>
      <c r="AG73" s="1982"/>
      <c r="AH73" s="1982"/>
    </row>
    <row r="74" spans="1:34" s="459" customFormat="1" ht="12.75">
      <c r="A74" s="460"/>
      <c r="B74" s="460"/>
      <c r="C74" s="1986"/>
      <c r="D74" s="1986"/>
      <c r="E74" s="1986"/>
      <c r="F74" s="1986"/>
      <c r="G74" s="1986"/>
      <c r="H74" s="1986"/>
      <c r="I74" s="1986"/>
      <c r="J74" s="1986"/>
      <c r="K74" s="1986"/>
      <c r="L74" s="1986"/>
      <c r="M74" s="1986"/>
      <c r="N74" s="1986"/>
      <c r="O74" s="1986"/>
      <c r="P74" s="1986"/>
      <c r="Q74" s="1982"/>
      <c r="R74" s="1982"/>
      <c r="S74" s="1982"/>
      <c r="T74" s="1982"/>
      <c r="U74" s="1986"/>
      <c r="V74" s="1986"/>
      <c r="W74" s="1986"/>
      <c r="X74" s="212"/>
      <c r="Y74" s="212"/>
      <c r="Z74" s="212"/>
      <c r="AA74" s="212"/>
      <c r="AB74" s="212"/>
      <c r="AC74" s="1982"/>
      <c r="AD74" s="1982"/>
      <c r="AE74" s="1982"/>
      <c r="AF74" s="1982"/>
      <c r="AG74" s="1982"/>
      <c r="AH74" s="1982"/>
    </row>
    <row r="75" spans="1:34" s="459" customFormat="1" ht="12.75">
      <c r="A75" s="460"/>
      <c r="B75" s="460"/>
      <c r="C75" s="1986"/>
      <c r="D75" s="1986"/>
      <c r="E75" s="1986"/>
      <c r="F75" s="1986"/>
      <c r="G75" s="1986"/>
      <c r="H75" s="1986"/>
      <c r="I75" s="1986"/>
      <c r="J75" s="1986"/>
      <c r="K75" s="1986"/>
      <c r="L75" s="1986"/>
      <c r="M75" s="1986"/>
      <c r="N75" s="1986"/>
      <c r="O75" s="1986"/>
      <c r="P75" s="1986"/>
      <c r="Q75" s="1982"/>
      <c r="R75" s="1982"/>
      <c r="S75" s="1982"/>
      <c r="T75" s="1982"/>
      <c r="U75" s="1986"/>
      <c r="V75" s="1986"/>
      <c r="W75" s="1986"/>
      <c r="X75" s="212"/>
      <c r="Y75" s="212"/>
      <c r="Z75" s="212"/>
      <c r="AA75" s="212"/>
      <c r="AB75" s="212"/>
      <c r="AC75" s="1982"/>
      <c r="AD75" s="1982"/>
      <c r="AE75" s="1982"/>
      <c r="AF75" s="1982"/>
      <c r="AG75" s="1982"/>
      <c r="AH75" s="1982"/>
    </row>
    <row r="76" spans="1:34" s="459" customFormat="1" ht="12.75">
      <c r="A76" s="460"/>
      <c r="B76" s="460"/>
      <c r="C76" s="1986"/>
      <c r="D76" s="1986"/>
      <c r="E76" s="1986"/>
      <c r="F76" s="1986"/>
      <c r="G76" s="1986"/>
      <c r="H76" s="1986"/>
      <c r="I76" s="1986"/>
      <c r="J76" s="1986"/>
      <c r="K76" s="1986"/>
      <c r="L76" s="1986"/>
      <c r="M76" s="1986"/>
      <c r="N76" s="1986"/>
      <c r="O76" s="1986"/>
      <c r="P76" s="1986"/>
      <c r="Q76" s="1982"/>
      <c r="R76" s="1982"/>
      <c r="S76" s="1982"/>
      <c r="T76" s="1982"/>
      <c r="U76" s="1986"/>
      <c r="V76" s="1986"/>
      <c r="W76" s="1986"/>
      <c r="X76" s="212"/>
      <c r="Y76" s="212"/>
      <c r="Z76" s="212"/>
      <c r="AA76" s="212"/>
      <c r="AB76" s="212"/>
      <c r="AC76" s="1982"/>
      <c r="AD76" s="1982"/>
      <c r="AE76" s="1982"/>
      <c r="AF76" s="1982"/>
      <c r="AG76" s="1982"/>
      <c r="AH76" s="1982"/>
    </row>
    <row r="77" spans="1:34" s="459" customFormat="1" ht="12.75">
      <c r="A77" s="460"/>
      <c r="B77" s="460"/>
      <c r="C77" s="1986"/>
      <c r="D77" s="1986"/>
      <c r="E77" s="1986"/>
      <c r="F77" s="1986"/>
      <c r="G77" s="1986"/>
      <c r="H77" s="1986"/>
      <c r="I77" s="1986"/>
      <c r="J77" s="1986"/>
      <c r="K77" s="1986"/>
      <c r="L77" s="1986"/>
      <c r="M77" s="1986"/>
      <c r="N77" s="1986"/>
      <c r="O77" s="1986"/>
      <c r="P77" s="1986"/>
      <c r="Q77" s="1982"/>
      <c r="R77" s="1982"/>
      <c r="S77" s="1982"/>
      <c r="T77" s="1982"/>
      <c r="U77" s="1986"/>
      <c r="V77" s="1986"/>
      <c r="W77" s="1986"/>
      <c r="X77" s="212"/>
      <c r="Y77" s="212"/>
      <c r="Z77" s="212"/>
      <c r="AA77" s="212"/>
      <c r="AB77" s="212"/>
      <c r="AC77" s="1982"/>
      <c r="AD77" s="1982"/>
      <c r="AE77" s="1982"/>
      <c r="AF77" s="1982"/>
      <c r="AG77" s="1982"/>
      <c r="AH77" s="1982"/>
    </row>
    <row r="78" spans="1:34" s="459" customFormat="1" ht="12.75">
      <c r="A78" s="460"/>
      <c r="B78" s="460"/>
      <c r="C78" s="1986"/>
      <c r="D78" s="1986"/>
      <c r="E78" s="1986"/>
      <c r="F78" s="1986"/>
      <c r="G78" s="1986"/>
      <c r="H78" s="1986"/>
      <c r="I78" s="1986"/>
      <c r="J78" s="1986"/>
      <c r="K78" s="1986"/>
      <c r="L78" s="1986"/>
      <c r="M78" s="1986"/>
      <c r="N78" s="1986"/>
      <c r="O78" s="1986"/>
      <c r="P78" s="1986"/>
      <c r="Q78" s="1982"/>
      <c r="R78" s="1982"/>
      <c r="S78" s="1982"/>
      <c r="T78" s="1982"/>
      <c r="U78" s="1986"/>
      <c r="V78" s="1986"/>
      <c r="W78" s="1986"/>
      <c r="X78" s="212"/>
      <c r="Y78" s="212"/>
      <c r="Z78" s="212"/>
      <c r="AA78" s="212"/>
      <c r="AB78" s="212"/>
      <c r="AC78" s="1982"/>
      <c r="AD78" s="1982"/>
      <c r="AE78" s="1982"/>
      <c r="AF78" s="1982"/>
      <c r="AG78" s="1982"/>
      <c r="AH78" s="1982"/>
    </row>
    <row r="79" spans="1:34" s="459" customFormat="1" ht="12.75">
      <c r="A79" s="460"/>
      <c r="B79" s="460"/>
      <c r="C79" s="1986"/>
      <c r="D79" s="1986"/>
      <c r="E79" s="1986"/>
      <c r="F79" s="1986"/>
      <c r="G79" s="1986"/>
      <c r="H79" s="1986"/>
      <c r="I79" s="1986"/>
      <c r="J79" s="1986"/>
      <c r="K79" s="1986"/>
      <c r="L79" s="1986"/>
      <c r="M79" s="1986"/>
      <c r="N79" s="1986"/>
      <c r="O79" s="1986"/>
      <c r="P79" s="1986"/>
      <c r="Q79" s="1982"/>
      <c r="R79" s="1982"/>
      <c r="S79" s="1982"/>
      <c r="T79" s="1982"/>
      <c r="U79" s="1986"/>
      <c r="V79" s="1986"/>
      <c r="W79" s="1986"/>
      <c r="X79" s="212"/>
      <c r="Y79" s="212"/>
      <c r="Z79" s="212"/>
      <c r="AA79" s="212"/>
      <c r="AB79" s="212"/>
      <c r="AC79" s="1982"/>
      <c r="AD79" s="1982"/>
      <c r="AE79" s="1982"/>
      <c r="AF79" s="1982"/>
      <c r="AG79" s="1982"/>
      <c r="AH79" s="1982"/>
    </row>
    <row r="80" spans="1:34" s="459" customFormat="1" ht="12.75">
      <c r="A80" s="460"/>
      <c r="B80" s="460"/>
      <c r="C80" s="1986"/>
      <c r="D80" s="1986"/>
      <c r="E80" s="1986"/>
      <c r="F80" s="1986"/>
      <c r="G80" s="1986"/>
      <c r="H80" s="1986"/>
      <c r="I80" s="1986"/>
      <c r="J80" s="1986"/>
      <c r="K80" s="1986"/>
      <c r="L80" s="1986"/>
      <c r="M80" s="1986"/>
      <c r="N80" s="1986"/>
      <c r="O80" s="1986"/>
      <c r="P80" s="1986"/>
      <c r="Q80" s="1982"/>
      <c r="R80" s="1982"/>
      <c r="S80" s="1982"/>
      <c r="T80" s="1982"/>
      <c r="U80" s="1986"/>
      <c r="V80" s="1986"/>
      <c r="W80" s="1986"/>
      <c r="X80" s="212"/>
      <c r="Y80" s="212"/>
      <c r="Z80" s="212"/>
      <c r="AA80" s="212"/>
      <c r="AB80" s="212"/>
      <c r="AC80" s="1982"/>
      <c r="AD80" s="1982"/>
      <c r="AE80" s="1982"/>
      <c r="AF80" s="1982"/>
      <c r="AG80" s="1982"/>
      <c r="AH80" s="1982"/>
    </row>
    <row r="81" spans="1:34" s="459" customFormat="1" ht="12.75">
      <c r="A81" s="460"/>
      <c r="B81" s="460"/>
      <c r="C81" s="1986"/>
      <c r="D81" s="1986"/>
      <c r="E81" s="1986"/>
      <c r="F81" s="1986"/>
      <c r="G81" s="1986"/>
      <c r="H81" s="1986"/>
      <c r="I81" s="1986"/>
      <c r="J81" s="1986"/>
      <c r="K81" s="1986"/>
      <c r="L81" s="1986"/>
      <c r="M81" s="1986"/>
      <c r="N81" s="1986"/>
      <c r="O81" s="1986"/>
      <c r="P81" s="1986"/>
      <c r="Q81" s="1982"/>
      <c r="R81" s="1982"/>
      <c r="S81" s="1982"/>
      <c r="T81" s="1982"/>
      <c r="U81" s="1986"/>
      <c r="V81" s="1986"/>
      <c r="W81" s="1986"/>
      <c r="X81" s="212"/>
      <c r="Y81" s="212"/>
      <c r="Z81" s="212"/>
      <c r="AA81" s="212"/>
      <c r="AB81" s="212"/>
      <c r="AC81" s="1982"/>
      <c r="AD81" s="1982"/>
      <c r="AE81" s="1982"/>
      <c r="AF81" s="1982"/>
      <c r="AG81" s="1982"/>
      <c r="AH81" s="1982"/>
    </row>
    <row r="82" spans="1:34" s="459" customFormat="1" ht="12.75">
      <c r="A82" s="460"/>
      <c r="B82" s="460"/>
      <c r="C82" s="1986"/>
      <c r="D82" s="1986"/>
      <c r="E82" s="1986"/>
      <c r="F82" s="1986"/>
      <c r="G82" s="1986"/>
      <c r="H82" s="1986"/>
      <c r="I82" s="1986"/>
      <c r="J82" s="1986"/>
      <c r="K82" s="1986"/>
      <c r="L82" s="1986"/>
      <c r="M82" s="1986"/>
      <c r="N82" s="1986"/>
      <c r="O82" s="1986"/>
      <c r="P82" s="1986"/>
      <c r="Q82" s="1982"/>
      <c r="R82" s="1982"/>
      <c r="S82" s="1982"/>
      <c r="T82" s="1982"/>
      <c r="U82" s="1986"/>
      <c r="V82" s="1986"/>
      <c r="W82" s="1986"/>
      <c r="X82" s="212"/>
      <c r="Y82" s="212"/>
      <c r="Z82" s="212"/>
      <c r="AA82" s="212"/>
      <c r="AB82" s="212"/>
      <c r="AC82" s="1982"/>
      <c r="AD82" s="1982"/>
      <c r="AE82" s="1982"/>
      <c r="AF82" s="1982"/>
      <c r="AG82" s="1982"/>
      <c r="AH82" s="1982"/>
    </row>
    <row r="83" spans="1:34" s="459" customFormat="1" ht="12.75">
      <c r="A83" s="460"/>
      <c r="B83" s="460"/>
      <c r="C83" s="1986"/>
      <c r="D83" s="1986"/>
      <c r="E83" s="1986"/>
      <c r="F83" s="1986"/>
      <c r="G83" s="1986"/>
      <c r="H83" s="1986"/>
      <c r="I83" s="1986"/>
      <c r="J83" s="1986"/>
      <c r="K83" s="1986"/>
      <c r="L83" s="1986"/>
      <c r="M83" s="1986"/>
      <c r="N83" s="1986"/>
      <c r="O83" s="1986"/>
      <c r="P83" s="1986"/>
      <c r="Q83" s="1982"/>
      <c r="R83" s="1982"/>
      <c r="S83" s="1982"/>
      <c r="T83" s="1982"/>
      <c r="U83" s="1986"/>
      <c r="V83" s="1986"/>
      <c r="W83" s="1986"/>
      <c r="X83" s="212"/>
      <c r="Y83" s="212"/>
      <c r="Z83" s="212"/>
      <c r="AA83" s="212"/>
      <c r="AB83" s="212"/>
      <c r="AC83" s="1982"/>
      <c r="AD83" s="1982"/>
      <c r="AE83" s="1982"/>
      <c r="AF83" s="1982"/>
      <c r="AG83" s="1982"/>
      <c r="AH83" s="1982"/>
    </row>
    <row r="84" spans="1:34" s="459" customFormat="1" ht="12.75">
      <c r="A84" s="460"/>
      <c r="B84" s="460"/>
      <c r="C84" s="1986"/>
      <c r="D84" s="1986"/>
      <c r="E84" s="1986"/>
      <c r="F84" s="1986"/>
      <c r="G84" s="1986"/>
      <c r="H84" s="1986"/>
      <c r="I84" s="1986"/>
      <c r="J84" s="1986"/>
      <c r="K84" s="1986"/>
      <c r="L84" s="1986"/>
      <c r="M84" s="1986"/>
      <c r="N84" s="1986"/>
      <c r="O84" s="1986"/>
      <c r="P84" s="1986"/>
      <c r="Q84" s="1982"/>
      <c r="R84" s="1982"/>
      <c r="S84" s="1982"/>
      <c r="T84" s="1982"/>
      <c r="U84" s="1986"/>
      <c r="V84" s="1986"/>
      <c r="W84" s="1986"/>
      <c r="X84" s="212"/>
      <c r="Y84" s="212"/>
      <c r="Z84" s="212"/>
      <c r="AA84" s="212"/>
      <c r="AB84" s="212"/>
      <c r="AC84" s="1982"/>
      <c r="AD84" s="1982"/>
      <c r="AE84" s="1982"/>
      <c r="AF84" s="1982"/>
      <c r="AG84" s="1982"/>
      <c r="AH84" s="1982"/>
    </row>
    <row r="85" spans="1:34" s="459" customFormat="1" ht="12.75">
      <c r="A85" s="460"/>
      <c r="B85" s="460"/>
      <c r="C85" s="1986"/>
      <c r="D85" s="1986"/>
      <c r="E85" s="1986"/>
      <c r="F85" s="1986"/>
      <c r="G85" s="1986"/>
      <c r="H85" s="1986"/>
      <c r="I85" s="1986"/>
      <c r="J85" s="1986"/>
      <c r="K85" s="1986"/>
      <c r="L85" s="1986"/>
      <c r="M85" s="1986"/>
      <c r="N85" s="1986"/>
      <c r="O85" s="1986"/>
      <c r="P85" s="1986"/>
      <c r="Q85" s="1982"/>
      <c r="R85" s="1982"/>
      <c r="S85" s="1982"/>
      <c r="T85" s="1982"/>
      <c r="U85" s="1986"/>
      <c r="V85" s="1986"/>
      <c r="W85" s="1986"/>
      <c r="X85" s="212"/>
      <c r="Y85" s="212"/>
      <c r="Z85" s="212"/>
      <c r="AA85" s="212"/>
      <c r="AB85" s="212"/>
      <c r="AC85" s="1982"/>
      <c r="AD85" s="1982"/>
      <c r="AE85" s="1982"/>
      <c r="AF85" s="1982"/>
      <c r="AG85" s="1982"/>
      <c r="AH85" s="1982"/>
    </row>
    <row r="86" spans="1:34" s="459" customFormat="1" ht="12.75">
      <c r="A86" s="460"/>
      <c r="B86" s="460"/>
      <c r="C86" s="1986"/>
      <c r="D86" s="1986"/>
      <c r="E86" s="1986"/>
      <c r="F86" s="1986"/>
      <c r="G86" s="1986"/>
      <c r="H86" s="1986"/>
      <c r="I86" s="1986"/>
      <c r="J86" s="1986"/>
      <c r="K86" s="1986"/>
      <c r="L86" s="1986"/>
      <c r="M86" s="1986"/>
      <c r="N86" s="1986"/>
      <c r="O86" s="1986"/>
      <c r="P86" s="1986"/>
      <c r="Q86" s="1982"/>
      <c r="R86" s="1982"/>
      <c r="S86" s="1982"/>
      <c r="T86" s="1982"/>
      <c r="U86" s="1986"/>
      <c r="V86" s="1986"/>
      <c r="W86" s="1986"/>
      <c r="X86" s="212"/>
      <c r="Y86" s="212"/>
      <c r="Z86" s="212"/>
      <c r="AA86" s="212"/>
      <c r="AB86" s="212"/>
      <c r="AC86" s="1982"/>
      <c r="AD86" s="1982"/>
      <c r="AE86" s="1982"/>
      <c r="AF86" s="1982"/>
      <c r="AG86" s="1982"/>
      <c r="AH86" s="1982"/>
    </row>
    <row r="87" spans="1:34" s="459" customFormat="1" ht="12.75">
      <c r="A87" s="460"/>
      <c r="B87" s="460"/>
      <c r="C87" s="1986"/>
      <c r="D87" s="1986"/>
      <c r="E87" s="1986"/>
      <c r="F87" s="1986"/>
      <c r="G87" s="1986"/>
      <c r="H87" s="1986"/>
      <c r="I87" s="1986"/>
      <c r="J87" s="1986"/>
      <c r="K87" s="1986"/>
      <c r="L87" s="1986"/>
      <c r="M87" s="1986"/>
      <c r="N87" s="1986"/>
      <c r="O87" s="1986"/>
      <c r="P87" s="1986"/>
      <c r="Q87" s="1982"/>
      <c r="R87" s="1982"/>
      <c r="S87" s="1982"/>
      <c r="T87" s="1982"/>
      <c r="U87" s="1986"/>
      <c r="V87" s="1986"/>
      <c r="W87" s="1986"/>
      <c r="X87" s="212"/>
      <c r="Y87" s="212"/>
      <c r="Z87" s="212"/>
      <c r="AA87" s="212"/>
      <c r="AB87" s="212"/>
      <c r="AC87" s="1982"/>
      <c r="AD87" s="1982"/>
      <c r="AE87" s="1982"/>
      <c r="AF87" s="1982"/>
      <c r="AG87" s="1982"/>
      <c r="AH87" s="1982"/>
    </row>
    <row r="88" spans="1:34" s="459" customFormat="1" ht="12.75">
      <c r="A88" s="460"/>
      <c r="B88" s="460"/>
      <c r="C88" s="1986"/>
      <c r="D88" s="1986"/>
      <c r="E88" s="1986"/>
      <c r="F88" s="1986"/>
      <c r="G88" s="1986"/>
      <c r="H88" s="1986"/>
      <c r="I88" s="1986"/>
      <c r="J88" s="1986"/>
      <c r="K88" s="1986"/>
      <c r="L88" s="1986"/>
      <c r="M88" s="1986"/>
      <c r="N88" s="1986"/>
      <c r="O88" s="1986"/>
      <c r="P88" s="1986"/>
      <c r="Q88" s="1982"/>
      <c r="R88" s="1982"/>
      <c r="S88" s="1982"/>
      <c r="T88" s="1982"/>
      <c r="U88" s="1986"/>
      <c r="V88" s="1986"/>
      <c r="W88" s="1986"/>
      <c r="X88" s="212"/>
      <c r="Y88" s="212"/>
      <c r="Z88" s="212"/>
      <c r="AA88" s="212"/>
      <c r="AB88" s="212"/>
      <c r="AC88" s="1982"/>
      <c r="AD88" s="1982"/>
      <c r="AE88" s="1982"/>
      <c r="AF88" s="1982"/>
      <c r="AG88" s="1982"/>
      <c r="AH88" s="1982"/>
    </row>
    <row r="89" spans="1:34" s="459" customFormat="1" ht="12.75">
      <c r="A89" s="460"/>
      <c r="B89" s="460"/>
      <c r="C89" s="1986"/>
      <c r="D89" s="1986"/>
      <c r="E89" s="1986"/>
      <c r="F89" s="1986"/>
      <c r="G89" s="1986"/>
      <c r="H89" s="1986"/>
      <c r="I89" s="1986"/>
      <c r="J89" s="1986"/>
      <c r="K89" s="1986"/>
      <c r="L89" s="1986"/>
      <c r="M89" s="1986"/>
      <c r="N89" s="1986"/>
      <c r="O89" s="1986"/>
      <c r="P89" s="1986"/>
      <c r="Q89" s="1982"/>
      <c r="R89" s="1982"/>
      <c r="S89" s="1982"/>
      <c r="T89" s="1982"/>
      <c r="U89" s="1986"/>
      <c r="V89" s="1986"/>
      <c r="W89" s="1986"/>
      <c r="X89" s="212"/>
      <c r="Y89" s="212"/>
      <c r="Z89" s="212"/>
      <c r="AA89" s="212"/>
      <c r="AB89" s="212"/>
      <c r="AC89" s="1982"/>
      <c r="AD89" s="1982"/>
      <c r="AE89" s="1982"/>
      <c r="AF89" s="1982"/>
      <c r="AG89" s="1982"/>
      <c r="AH89" s="1982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conditionalFormatting sqref="L19:L23 A2:A6 B2:B5 A15:F56 J19:J23 I19:I24 T19:W23 X8:AA12 X19:X22">
    <cfRule type="cellIs" dxfId="12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6"/>
  <dimension ref="A1:AE61"/>
  <sheetViews>
    <sheetView showGridLines="0" showZeros="0" topLeftCell="L2" zoomScaleNormal="100" workbookViewId="0">
      <selection activeCell="Z18" sqref="Z18:Z20"/>
    </sheetView>
  </sheetViews>
  <sheetFormatPr baseColWidth="10" defaultRowHeight="12.75"/>
  <cols>
    <col min="1" max="1" width="10.25" style="67" customWidth="1"/>
    <col min="2" max="2" width="35.375" style="67" customWidth="1"/>
    <col min="3" max="3" width="10.125" style="67" customWidth="1"/>
    <col min="4" max="4" width="10.375" style="67" customWidth="1"/>
    <col min="5" max="5" width="4.875" style="67" customWidth="1"/>
    <col min="6" max="9" width="10.25" style="67" customWidth="1"/>
    <col min="10" max="10" width="12" style="67" customWidth="1"/>
    <col min="11" max="11" width="10.25" style="67" customWidth="1"/>
    <col min="12" max="12" width="9" style="67" customWidth="1"/>
    <col min="13" max="13" width="9.75" style="67" customWidth="1"/>
    <col min="14" max="14" width="8.75" style="67" customWidth="1"/>
    <col min="15" max="15" width="6.5" style="67" customWidth="1"/>
    <col min="16" max="16" width="11" style="67"/>
    <col min="17" max="17" width="11.875" style="68" customWidth="1"/>
    <col min="18" max="19" width="11" style="68"/>
    <col min="20" max="20" width="10.875" style="68" customWidth="1"/>
    <col min="21" max="21" width="9" style="67" customWidth="1"/>
    <col min="22" max="22" width="4.875" style="67" customWidth="1"/>
    <col min="23" max="23" width="10.25" style="67" customWidth="1"/>
    <col min="24" max="28" width="10.875" style="68" customWidth="1"/>
    <col min="29" max="30" width="11" style="68"/>
    <col min="31" max="16384" width="11" style="384"/>
  </cols>
  <sheetData>
    <row r="1" spans="1:3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1">
      <c r="A2" s="1075" t="s">
        <v>49</v>
      </c>
      <c r="B2" s="1075" t="s">
        <v>581</v>
      </c>
      <c r="C2" s="1076"/>
      <c r="D2" s="1076"/>
      <c r="E2" s="1076"/>
      <c r="F2" s="1076"/>
      <c r="G2" s="1076"/>
      <c r="H2" s="1076"/>
      <c r="I2" s="1076"/>
      <c r="Q2" s="67"/>
      <c r="R2" s="67"/>
    </row>
    <row r="3" spans="1:31">
      <c r="A3" s="385" t="s">
        <v>60</v>
      </c>
      <c r="B3" s="38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076"/>
      <c r="I3" s="1076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</row>
    <row r="4" spans="1:31" ht="13.5" customHeight="1">
      <c r="A4" s="1346" t="s">
        <v>61</v>
      </c>
      <c r="B4" s="386" t="s">
        <v>580</v>
      </c>
      <c r="C4" s="216" t="s">
        <v>81</v>
      </c>
      <c r="D4" s="216"/>
      <c r="E4" s="216"/>
      <c r="F4" s="217"/>
      <c r="G4" s="1075"/>
      <c r="H4" s="1075"/>
      <c r="I4" s="1075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</row>
    <row r="5" spans="1:31">
      <c r="A5" s="1078" t="s">
        <v>62</v>
      </c>
      <c r="B5" s="783">
        <v>201000713</v>
      </c>
      <c r="C5" s="1076"/>
      <c r="D5" s="1076"/>
      <c r="E5" s="1076"/>
      <c r="F5" s="1075"/>
      <c r="G5" s="1075"/>
      <c r="H5" s="1076"/>
      <c r="I5" s="1076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</row>
    <row r="6" spans="1:31">
      <c r="A6" s="1078" t="s">
        <v>51</v>
      </c>
      <c r="B6" s="385" t="s">
        <v>579</v>
      </c>
      <c r="C6" s="1076"/>
      <c r="D6" s="2453"/>
      <c r="E6" s="2453"/>
      <c r="F6" s="1075"/>
      <c r="G6" s="1075"/>
      <c r="H6" s="1209"/>
      <c r="I6" s="1209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</row>
    <row r="7" spans="1:31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</row>
    <row r="8" spans="1:31" s="94" customFormat="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</row>
    <row r="9" spans="1:31" s="94" customFormat="1" ht="8.25" customHeight="1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107"/>
      <c r="V9" s="108"/>
      <c r="W9" s="109"/>
      <c r="X9" s="2407"/>
      <c r="Y9" s="2407"/>
      <c r="Z9" s="2407"/>
      <c r="AA9" s="2407"/>
      <c r="AB9" s="2407"/>
      <c r="AC9" s="93"/>
      <c r="AD9" s="93"/>
    </row>
    <row r="10" spans="1:31" s="94" customFormat="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</row>
    <row r="11" spans="1:31" s="94" customFormat="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</row>
    <row r="12" spans="1:3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</row>
    <row r="13" spans="1:31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232" t="s">
        <v>86</v>
      </c>
      <c r="Y13" s="1232"/>
      <c r="Z13" s="1232"/>
      <c r="AA13" s="1232"/>
      <c r="AB13" s="1232"/>
    </row>
    <row r="14" spans="1:31" ht="15.75" customHeight="1">
      <c r="A14" s="169"/>
      <c r="B14" s="170"/>
      <c r="C14" s="128"/>
      <c r="D14" s="128"/>
      <c r="E14" s="128"/>
      <c r="F14" s="127"/>
      <c r="G14" s="127"/>
      <c r="H14" s="127"/>
      <c r="I14" s="127"/>
      <c r="J14" s="127"/>
      <c r="K14" s="127"/>
      <c r="L14" s="127"/>
      <c r="M14" s="127"/>
      <c r="N14" s="127"/>
      <c r="O14" s="128"/>
      <c r="P14" s="127">
        <v>0</v>
      </c>
      <c r="Q14" s="128"/>
      <c r="R14" s="128">
        <v>0</v>
      </c>
      <c r="S14" s="128"/>
      <c r="T14" s="129"/>
      <c r="U14" s="128"/>
      <c r="V14" s="128"/>
      <c r="W14" s="127"/>
      <c r="X14" s="127"/>
      <c r="Y14" s="127"/>
      <c r="Z14" s="127">
        <v>0</v>
      </c>
      <c r="AA14" s="128">
        <v>0</v>
      </c>
      <c r="AB14" s="129"/>
    </row>
    <row r="15" spans="1:31">
      <c r="A15" s="171"/>
      <c r="B15" s="172"/>
      <c r="C15" s="150"/>
      <c r="D15" s="173"/>
      <c r="E15" s="133"/>
      <c r="F15" s="133">
        <f>D15*E15</f>
        <v>0</v>
      </c>
      <c r="G15" s="133"/>
      <c r="H15" s="133"/>
      <c r="I15" s="133"/>
      <c r="J15" s="133"/>
      <c r="K15" s="133"/>
      <c r="L15" s="133"/>
      <c r="M15" s="133"/>
      <c r="N15" s="133"/>
      <c r="O15" s="133"/>
      <c r="P15" s="134"/>
      <c r="Q15" s="133"/>
      <c r="R15" s="135"/>
      <c r="S15" s="135"/>
      <c r="T15" s="137"/>
      <c r="U15" s="124"/>
      <c r="V15" s="174"/>
      <c r="W15" s="124"/>
      <c r="X15" s="133"/>
      <c r="Y15" s="133"/>
      <c r="Z15" s="134"/>
      <c r="AA15" s="135"/>
      <c r="AB15" s="137">
        <v>0</v>
      </c>
    </row>
    <row r="16" spans="1:31" ht="12.75" hidden="1" customHeight="1">
      <c r="C16" s="175"/>
      <c r="D16" s="175"/>
      <c r="E16" s="176"/>
      <c r="F16" s="133">
        <f>+D16*E16</f>
        <v>0</v>
      </c>
      <c r="G16" s="133"/>
      <c r="H16" s="133"/>
      <c r="I16" s="133"/>
      <c r="J16" s="133"/>
      <c r="K16" s="133"/>
      <c r="L16" s="133"/>
      <c r="M16" s="133"/>
      <c r="N16" s="133"/>
      <c r="O16" s="133"/>
      <c r="P16" s="134"/>
      <c r="Q16" s="133"/>
      <c r="R16" s="135"/>
      <c r="S16" s="135"/>
      <c r="T16" s="138"/>
      <c r="U16" s="143"/>
      <c r="V16" s="141"/>
      <c r="W16" s="124"/>
      <c r="X16" s="133"/>
      <c r="Y16" s="133"/>
      <c r="Z16" s="134"/>
      <c r="AA16" s="135"/>
      <c r="AB16" s="138"/>
    </row>
    <row r="17" spans="1:30" ht="18" customHeight="1">
      <c r="A17" s="334"/>
      <c r="B17" s="780"/>
      <c r="C17" s="124"/>
      <c r="D17" s="124"/>
      <c r="E17" s="141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91"/>
      <c r="S17" s="191"/>
      <c r="T17" s="877"/>
      <c r="U17" s="143"/>
      <c r="V17" s="141"/>
      <c r="W17" s="124"/>
      <c r="X17" s="124"/>
      <c r="Y17" s="124"/>
      <c r="Z17" s="124"/>
      <c r="AA17" s="191"/>
      <c r="AB17" s="877"/>
      <c r="AC17" s="384"/>
      <c r="AD17" s="384"/>
    </row>
    <row r="18" spans="1:30" ht="33.75">
      <c r="A18" s="178">
        <v>1</v>
      </c>
      <c r="B18" s="168" t="s">
        <v>578</v>
      </c>
      <c r="C18" s="124">
        <f>D18*E18</f>
        <v>541200</v>
      </c>
      <c r="D18" s="124">
        <f>451000*1.2</f>
        <v>541200</v>
      </c>
      <c r="E18" s="147">
        <v>1</v>
      </c>
      <c r="F18" s="124">
        <f>D18*E18</f>
        <v>541200</v>
      </c>
      <c r="G18" s="143">
        <v>264000</v>
      </c>
      <c r="H18" s="143" t="s">
        <v>575</v>
      </c>
      <c r="I18" s="143">
        <f t="shared" ref="I18:I29" si="0">W18</f>
        <v>541200</v>
      </c>
      <c r="J18" s="143"/>
      <c r="K18" s="143"/>
      <c r="L18" s="124">
        <f>I18-J18+K18</f>
        <v>541200</v>
      </c>
      <c r="M18" s="143"/>
      <c r="N18" s="124">
        <f>G18</f>
        <v>264000</v>
      </c>
      <c r="O18" s="143">
        <v>1</v>
      </c>
      <c r="P18" s="124">
        <f>+O18*D18</f>
        <v>541200</v>
      </c>
      <c r="Q18" s="143">
        <f>0.93</f>
        <v>0.93</v>
      </c>
      <c r="R18" s="124">
        <f>+Q18*D18</f>
        <v>503316</v>
      </c>
      <c r="S18" s="143">
        <f t="shared" ref="S18:S26" si="1">+P18-R18</f>
        <v>37884</v>
      </c>
      <c r="T18" s="143"/>
      <c r="U18" s="124">
        <f>451000*1.2</f>
        <v>541200</v>
      </c>
      <c r="V18" s="147">
        <v>1</v>
      </c>
      <c r="W18" s="124">
        <f>U18*V18</f>
        <v>541200</v>
      </c>
      <c r="X18" s="124">
        <v>541200</v>
      </c>
      <c r="Y18" s="124">
        <v>264000</v>
      </c>
      <c r="Z18" s="124">
        <v>541200</v>
      </c>
      <c r="AA18" s="124">
        <v>503316</v>
      </c>
      <c r="AB18" s="143">
        <v>541200</v>
      </c>
      <c r="AC18" s="384"/>
      <c r="AD18" s="384"/>
    </row>
    <row r="19" spans="1:30" ht="27" customHeight="1">
      <c r="A19" s="782">
        <v>2</v>
      </c>
      <c r="B19" s="168" t="s">
        <v>577</v>
      </c>
      <c r="C19" s="143">
        <f>D19*E19</f>
        <v>580800</v>
      </c>
      <c r="D19" s="143">
        <f>484000*1.2</f>
        <v>580800</v>
      </c>
      <c r="E19" s="141">
        <v>1</v>
      </c>
      <c r="F19" s="124">
        <f>D19*E19</f>
        <v>580800</v>
      </c>
      <c r="G19" s="143">
        <v>78000</v>
      </c>
      <c r="H19" s="143" t="s">
        <v>575</v>
      </c>
      <c r="I19" s="143">
        <f t="shared" si="0"/>
        <v>580800</v>
      </c>
      <c r="J19" s="143"/>
      <c r="K19" s="143"/>
      <c r="L19" s="124">
        <f>I19-J19+K19</f>
        <v>580800</v>
      </c>
      <c r="M19" s="143"/>
      <c r="N19" s="124">
        <f>G19</f>
        <v>78000</v>
      </c>
      <c r="O19" s="143">
        <v>1</v>
      </c>
      <c r="P19" s="124">
        <f>+O19*D19</f>
        <v>580800</v>
      </c>
      <c r="Q19" s="143">
        <f>0.93</f>
        <v>0.93</v>
      </c>
      <c r="R19" s="124">
        <f>+Q19*D19</f>
        <v>540144</v>
      </c>
      <c r="S19" s="143">
        <f t="shared" si="1"/>
        <v>40656</v>
      </c>
      <c r="T19" s="143"/>
      <c r="U19" s="143">
        <f>484000*1.2</f>
        <v>580800</v>
      </c>
      <c r="V19" s="141">
        <v>1</v>
      </c>
      <c r="W19" s="124">
        <f>U19*V19</f>
        <v>580800</v>
      </c>
      <c r="X19" s="124">
        <v>580800</v>
      </c>
      <c r="Y19" s="143">
        <v>78000</v>
      </c>
      <c r="Z19" s="143">
        <v>580800</v>
      </c>
      <c r="AA19" s="124">
        <v>540144</v>
      </c>
      <c r="AB19" s="143">
        <v>580800</v>
      </c>
      <c r="AC19" s="384"/>
      <c r="AD19" s="384"/>
    </row>
    <row r="20" spans="1:30" ht="18" customHeight="1">
      <c r="A20" s="178">
        <v>3</v>
      </c>
      <c r="B20" s="142" t="s">
        <v>576</v>
      </c>
      <c r="C20" s="143">
        <f>D20*E20</f>
        <v>422400</v>
      </c>
      <c r="D20" s="124">
        <f>352000*1.2</f>
        <v>422400</v>
      </c>
      <c r="E20" s="141">
        <v>1</v>
      </c>
      <c r="F20" s="143">
        <f>D20*E20</f>
        <v>422400</v>
      </c>
      <c r="G20" s="143">
        <v>78000</v>
      </c>
      <c r="H20" s="143" t="s">
        <v>575</v>
      </c>
      <c r="I20" s="143">
        <f t="shared" si="0"/>
        <v>422400</v>
      </c>
      <c r="J20" s="143"/>
      <c r="K20" s="143"/>
      <c r="L20" s="124">
        <f>I20-J20+K20</f>
        <v>422400</v>
      </c>
      <c r="M20" s="143"/>
      <c r="N20" s="124">
        <f>0.4*G20</f>
        <v>31200</v>
      </c>
      <c r="O20" s="143">
        <v>1</v>
      </c>
      <c r="P20" s="124">
        <f>+O20*D20</f>
        <v>422400</v>
      </c>
      <c r="Q20" s="143">
        <v>0.93</v>
      </c>
      <c r="R20" s="124">
        <f>+Q20*D20+6652.76</f>
        <v>399484.76</v>
      </c>
      <c r="S20" s="143">
        <f t="shared" si="1"/>
        <v>22915.239999999991</v>
      </c>
      <c r="T20" s="143"/>
      <c r="U20" s="124">
        <f>352000*1.2</f>
        <v>422400</v>
      </c>
      <c r="V20" s="141">
        <v>1</v>
      </c>
      <c r="W20" s="143">
        <f>U20*V20</f>
        <v>422400</v>
      </c>
      <c r="X20" s="124">
        <v>422400</v>
      </c>
      <c r="Y20" s="143">
        <v>31200</v>
      </c>
      <c r="Z20" s="124">
        <v>422400</v>
      </c>
      <c r="AA20" s="143">
        <v>399484.76</v>
      </c>
      <c r="AB20" s="143">
        <v>422400</v>
      </c>
      <c r="AC20" s="384"/>
      <c r="AD20" s="384"/>
    </row>
    <row r="21" spans="1:30">
      <c r="A21" s="178"/>
      <c r="B21" s="142"/>
      <c r="C21" s="143"/>
      <c r="D21" s="124"/>
      <c r="E21" s="141"/>
      <c r="F21" s="143"/>
      <c r="G21" s="143"/>
      <c r="H21" s="143"/>
      <c r="I21" s="187">
        <f t="shared" si="0"/>
        <v>0</v>
      </c>
      <c r="J21" s="143"/>
      <c r="K21" s="143"/>
      <c r="L21" s="143"/>
      <c r="M21" s="143"/>
      <c r="N21" s="143"/>
      <c r="O21" s="143"/>
      <c r="P21" s="124"/>
      <c r="Q21" s="141"/>
      <c r="R21" s="143"/>
      <c r="S21" s="143">
        <f t="shared" si="1"/>
        <v>0</v>
      </c>
      <c r="T21" s="143"/>
      <c r="U21" s="124"/>
      <c r="V21" s="141"/>
      <c r="W21" s="143"/>
      <c r="X21" s="143"/>
      <c r="Y21" s="143"/>
      <c r="Z21" s="124"/>
      <c r="AA21" s="143"/>
      <c r="AB21" s="143"/>
      <c r="AC21" s="384"/>
      <c r="AD21" s="384"/>
    </row>
    <row r="22" spans="1:30">
      <c r="A22" s="178"/>
      <c r="B22" s="142"/>
      <c r="C22" s="143"/>
      <c r="D22" s="124"/>
      <c r="E22" s="141"/>
      <c r="F22" s="143"/>
      <c r="G22" s="143"/>
      <c r="H22" s="143"/>
      <c r="I22" s="187">
        <f t="shared" si="0"/>
        <v>0</v>
      </c>
      <c r="J22" s="143"/>
      <c r="K22" s="143"/>
      <c r="L22" s="143"/>
      <c r="M22" s="143"/>
      <c r="N22" s="143"/>
      <c r="O22" s="143"/>
      <c r="P22" s="124"/>
      <c r="Q22" s="141"/>
      <c r="R22" s="143"/>
      <c r="S22" s="143">
        <f t="shared" si="1"/>
        <v>0</v>
      </c>
      <c r="T22" s="143"/>
      <c r="U22" s="124"/>
      <c r="V22" s="141"/>
      <c r="W22" s="143"/>
      <c r="X22" s="143"/>
      <c r="Y22" s="143"/>
      <c r="Z22" s="124"/>
      <c r="AA22" s="143"/>
      <c r="AB22" s="143"/>
      <c r="AC22" s="384"/>
      <c r="AD22" s="384"/>
    </row>
    <row r="23" spans="1:30" ht="10.5" customHeight="1">
      <c r="A23" s="178"/>
      <c r="B23" s="179"/>
      <c r="C23" s="143"/>
      <c r="D23" s="143"/>
      <c r="E23" s="141"/>
      <c r="F23" s="143"/>
      <c r="G23" s="143"/>
      <c r="H23" s="143"/>
      <c r="I23" s="187">
        <f t="shared" si="0"/>
        <v>0</v>
      </c>
      <c r="J23" s="143"/>
      <c r="K23" s="143"/>
      <c r="L23" s="143"/>
      <c r="M23" s="143"/>
      <c r="N23" s="143"/>
      <c r="O23" s="143"/>
      <c r="P23" s="143"/>
      <c r="Q23" s="141"/>
      <c r="R23" s="143"/>
      <c r="S23" s="143">
        <f t="shared" si="1"/>
        <v>0</v>
      </c>
      <c r="T23" s="143"/>
      <c r="U23" s="143"/>
      <c r="V23" s="141"/>
      <c r="W23" s="143"/>
      <c r="X23" s="143"/>
      <c r="Y23" s="143"/>
      <c r="Z23" s="143"/>
      <c r="AA23" s="143"/>
      <c r="AB23" s="143"/>
      <c r="AC23" s="384"/>
      <c r="AD23" s="384"/>
    </row>
    <row r="24" spans="1:30" ht="12.75" hidden="1" customHeight="1">
      <c r="A24" s="178"/>
      <c r="B24" s="179"/>
      <c r="C24" s="143"/>
      <c r="D24" s="143"/>
      <c r="E24" s="147"/>
      <c r="F24" s="124"/>
      <c r="G24" s="143"/>
      <c r="H24" s="143"/>
      <c r="I24" s="187">
        <f t="shared" si="0"/>
        <v>0</v>
      </c>
      <c r="J24" s="143"/>
      <c r="K24" s="143"/>
      <c r="L24" s="143"/>
      <c r="M24" s="143"/>
      <c r="N24" s="143"/>
      <c r="O24" s="143"/>
      <c r="P24" s="143"/>
      <c r="Q24" s="147"/>
      <c r="R24" s="124"/>
      <c r="S24" s="143">
        <f t="shared" si="1"/>
        <v>0</v>
      </c>
      <c r="T24" s="143"/>
      <c r="U24" s="143"/>
      <c r="V24" s="147"/>
      <c r="W24" s="124"/>
      <c r="X24" s="143"/>
      <c r="Y24" s="143"/>
      <c r="Z24" s="143"/>
      <c r="AA24" s="124"/>
      <c r="AB24" s="143"/>
      <c r="AC24" s="384"/>
      <c r="AD24" s="384"/>
    </row>
    <row r="25" spans="1:30" ht="0.75" hidden="1" customHeight="1">
      <c r="A25" s="2454"/>
      <c r="B25" s="2455"/>
      <c r="C25" s="124"/>
      <c r="D25" s="124"/>
      <c r="E25" s="141"/>
      <c r="F25" s="124"/>
      <c r="G25" s="143"/>
      <c r="H25" s="143"/>
      <c r="I25" s="187">
        <f t="shared" si="0"/>
        <v>0</v>
      </c>
      <c r="J25" s="143"/>
      <c r="K25" s="143"/>
      <c r="L25" s="143"/>
      <c r="M25" s="143"/>
      <c r="N25" s="143"/>
      <c r="O25" s="143"/>
      <c r="P25" s="124"/>
      <c r="Q25" s="141"/>
      <c r="R25" s="124"/>
      <c r="S25" s="143">
        <f t="shared" si="1"/>
        <v>0</v>
      </c>
      <c r="T25" s="143"/>
      <c r="U25" s="124"/>
      <c r="V25" s="141"/>
      <c r="W25" s="124"/>
      <c r="X25" s="143"/>
      <c r="Y25" s="143"/>
      <c r="Z25" s="124"/>
      <c r="AA25" s="124"/>
      <c r="AB25" s="143"/>
      <c r="AC25" s="384"/>
      <c r="AD25" s="384"/>
    </row>
    <row r="26" spans="1:30" ht="12.75" hidden="1" customHeight="1">
      <c r="A26" s="166"/>
      <c r="B26" s="180"/>
      <c r="C26" s="143"/>
      <c r="D26" s="143"/>
      <c r="E26" s="141"/>
      <c r="F26" s="124"/>
      <c r="G26" s="143"/>
      <c r="H26" s="143"/>
      <c r="I26" s="187">
        <f t="shared" si="0"/>
        <v>0</v>
      </c>
      <c r="J26" s="143"/>
      <c r="K26" s="143"/>
      <c r="L26" s="143"/>
      <c r="M26" s="143"/>
      <c r="N26" s="143"/>
      <c r="O26" s="143"/>
      <c r="P26" s="143"/>
      <c r="Q26" s="141"/>
      <c r="R26" s="124"/>
      <c r="S26" s="143">
        <f t="shared" si="1"/>
        <v>0</v>
      </c>
      <c r="T26" s="143"/>
      <c r="U26" s="143"/>
      <c r="V26" s="141"/>
      <c r="W26" s="124"/>
      <c r="X26" s="143"/>
      <c r="Y26" s="143"/>
      <c r="Z26" s="143"/>
      <c r="AA26" s="124"/>
      <c r="AB26" s="143"/>
      <c r="AC26" s="384"/>
      <c r="AD26" s="384"/>
    </row>
    <row r="27" spans="1:30">
      <c r="A27" s="181"/>
      <c r="B27" s="182"/>
      <c r="C27" s="143"/>
      <c r="D27" s="143"/>
      <c r="E27" s="141"/>
      <c r="F27" s="124"/>
      <c r="G27" s="143"/>
      <c r="H27" s="143"/>
      <c r="I27" s="187">
        <f t="shared" si="0"/>
        <v>0</v>
      </c>
      <c r="J27" s="143"/>
      <c r="K27" s="143"/>
      <c r="L27" s="143"/>
      <c r="M27" s="143"/>
      <c r="N27" s="143"/>
      <c r="O27" s="143"/>
      <c r="P27" s="143"/>
      <c r="Q27" s="141"/>
      <c r="R27" s="124"/>
      <c r="S27" s="143"/>
      <c r="T27" s="143"/>
      <c r="U27" s="143"/>
      <c r="V27" s="141"/>
      <c r="W27" s="124"/>
      <c r="X27" s="143"/>
      <c r="Y27" s="143"/>
      <c r="Z27" s="143"/>
      <c r="AA27" s="124"/>
      <c r="AB27" s="143"/>
      <c r="AC27" s="384"/>
      <c r="AD27" s="384"/>
    </row>
    <row r="28" spans="1:30" ht="12" customHeight="1">
      <c r="A28" s="181"/>
      <c r="B28" s="152"/>
      <c r="C28" s="143"/>
      <c r="D28" s="143"/>
      <c r="E28" s="141"/>
      <c r="F28" s="143">
        <f>D28*E28</f>
        <v>0</v>
      </c>
      <c r="G28" s="143"/>
      <c r="H28" s="143"/>
      <c r="I28" s="187">
        <f t="shared" si="0"/>
        <v>0</v>
      </c>
      <c r="J28" s="143"/>
      <c r="K28" s="143"/>
      <c r="L28" s="143"/>
      <c r="M28" s="143"/>
      <c r="N28" s="143"/>
      <c r="O28" s="143"/>
      <c r="P28" s="143"/>
      <c r="Q28" s="141"/>
      <c r="R28" s="143"/>
      <c r="S28" s="143"/>
      <c r="T28" s="143"/>
      <c r="U28" s="143"/>
      <c r="V28" s="141"/>
      <c r="W28" s="143"/>
      <c r="X28" s="143"/>
      <c r="Y28" s="143"/>
      <c r="Z28" s="143"/>
      <c r="AA28" s="143"/>
      <c r="AB28" s="143"/>
      <c r="AC28" s="384"/>
      <c r="AD28" s="384"/>
    </row>
    <row r="29" spans="1:30">
      <c r="A29" s="178"/>
      <c r="B29" s="152"/>
      <c r="C29" s="143"/>
      <c r="D29" s="143"/>
      <c r="E29" s="141"/>
      <c r="F29" s="143"/>
      <c r="G29" s="143"/>
      <c r="H29" s="143"/>
      <c r="I29" s="187">
        <f t="shared" si="0"/>
        <v>0</v>
      </c>
      <c r="J29" s="143"/>
      <c r="K29" s="143"/>
      <c r="L29" s="143"/>
      <c r="M29" s="143"/>
      <c r="N29" s="143"/>
      <c r="O29" s="143"/>
      <c r="P29" s="143"/>
      <c r="Q29" s="141"/>
      <c r="R29" s="143"/>
      <c r="S29" s="143"/>
      <c r="T29" s="143"/>
      <c r="U29" s="143"/>
      <c r="V29" s="141"/>
      <c r="W29" s="143"/>
      <c r="X29" s="143"/>
      <c r="Y29" s="143"/>
      <c r="Z29" s="143"/>
      <c r="AA29" s="143"/>
      <c r="AB29" s="143"/>
      <c r="AC29" s="384"/>
      <c r="AD29" s="384"/>
    </row>
    <row r="30" spans="1:30">
      <c r="A30" s="181"/>
      <c r="B30" s="152"/>
      <c r="C30" s="124"/>
      <c r="D30" s="143"/>
      <c r="E30" s="141"/>
      <c r="F30" s="143">
        <f>D30*E30</f>
        <v>0</v>
      </c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43"/>
      <c r="T30" s="143"/>
      <c r="U30" s="143"/>
      <c r="V30" s="141"/>
      <c r="W30" s="143"/>
      <c r="X30" s="143"/>
      <c r="Y30" s="143"/>
      <c r="Z30" s="143"/>
      <c r="AA30" s="143"/>
      <c r="AB30" s="143"/>
      <c r="AC30" s="384"/>
      <c r="AD30" s="384"/>
    </row>
    <row r="31" spans="1:30">
      <c r="A31" s="181"/>
      <c r="B31" s="152"/>
      <c r="C31" s="124"/>
      <c r="D31" s="143"/>
      <c r="E31" s="141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1"/>
      <c r="R31" s="143"/>
      <c r="S31" s="143"/>
      <c r="T31" s="143"/>
      <c r="U31" s="143"/>
      <c r="V31" s="141"/>
      <c r="W31" s="143"/>
      <c r="X31" s="143"/>
      <c r="Y31" s="143"/>
      <c r="Z31" s="143"/>
      <c r="AA31" s="143"/>
      <c r="AB31" s="143"/>
      <c r="AC31" s="384"/>
      <c r="AD31" s="384"/>
    </row>
    <row r="32" spans="1:30">
      <c r="A32" s="171"/>
      <c r="B32" s="183"/>
      <c r="C32" s="124"/>
      <c r="D32" s="143"/>
      <c r="E32" s="184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84"/>
      <c r="R32" s="143"/>
      <c r="S32" s="143"/>
      <c r="T32" s="143"/>
      <c r="U32" s="143"/>
      <c r="V32" s="184"/>
      <c r="W32" s="143"/>
      <c r="X32" s="143"/>
      <c r="Y32" s="143"/>
      <c r="Z32" s="143"/>
      <c r="AA32" s="143"/>
      <c r="AB32" s="143"/>
      <c r="AC32" s="384"/>
      <c r="AD32" s="384"/>
    </row>
    <row r="33" spans="1:30">
      <c r="A33" s="181"/>
      <c r="B33" s="152"/>
      <c r="C33" s="124"/>
      <c r="D33" s="143"/>
      <c r="E33" s="184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3"/>
      <c r="V33" s="184"/>
      <c r="W33" s="143"/>
      <c r="X33" s="143"/>
      <c r="Y33" s="143"/>
      <c r="Z33" s="143"/>
      <c r="AA33" s="143"/>
      <c r="AB33" s="143">
        <v>0</v>
      </c>
      <c r="AC33" s="384"/>
      <c r="AD33" s="384"/>
    </row>
    <row r="34" spans="1:30" ht="0.75" hidden="1" customHeight="1">
      <c r="A34" s="181"/>
      <c r="B34" s="152"/>
      <c r="C34" s="124"/>
      <c r="D34" s="143"/>
      <c r="E34" s="184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84"/>
      <c r="R34" s="143"/>
      <c r="S34" s="143"/>
      <c r="T34" s="143"/>
      <c r="U34" s="143"/>
      <c r="V34" s="184"/>
      <c r="W34" s="143"/>
      <c r="X34" s="143"/>
      <c r="Y34" s="143"/>
      <c r="Z34" s="143"/>
      <c r="AA34" s="143"/>
      <c r="AB34" s="143">
        <v>0</v>
      </c>
      <c r="AC34" s="384"/>
      <c r="AD34" s="384"/>
    </row>
    <row r="35" spans="1:30" ht="0.75" hidden="1" customHeight="1">
      <c r="A35" s="178"/>
      <c r="B35" s="152"/>
      <c r="C35" s="143"/>
      <c r="D35" s="143"/>
      <c r="E35" s="184"/>
      <c r="F35" s="143"/>
      <c r="G35" s="124"/>
      <c r="H35" s="124"/>
      <c r="I35" s="191"/>
      <c r="J35" s="124"/>
      <c r="K35" s="124"/>
      <c r="L35" s="143"/>
      <c r="M35" s="124"/>
      <c r="N35" s="124"/>
      <c r="O35" s="124"/>
      <c r="P35" s="143"/>
      <c r="Q35" s="184"/>
      <c r="R35" s="143"/>
      <c r="S35" s="143"/>
      <c r="T35" s="877"/>
      <c r="U35" s="143"/>
      <c r="V35" s="184"/>
      <c r="W35" s="143"/>
      <c r="X35" s="143"/>
      <c r="Y35" s="124"/>
      <c r="Z35" s="143"/>
      <c r="AA35" s="143"/>
      <c r="AB35" s="877"/>
      <c r="AC35" s="384"/>
      <c r="AD35" s="384"/>
    </row>
    <row r="36" spans="1:30">
      <c r="A36" s="181"/>
      <c r="B36" s="152"/>
      <c r="C36" s="124"/>
      <c r="D36" s="124"/>
      <c r="E36" s="184"/>
      <c r="F36" s="143">
        <f>D36*E36</f>
        <v>0</v>
      </c>
      <c r="G36" s="124"/>
      <c r="H36" s="124"/>
      <c r="I36" s="191"/>
      <c r="J36" s="124"/>
      <c r="K36" s="124"/>
      <c r="L36" s="143"/>
      <c r="M36" s="124"/>
      <c r="N36" s="124"/>
      <c r="O36" s="124"/>
      <c r="P36" s="124"/>
      <c r="Q36" s="184"/>
      <c r="R36" s="143"/>
      <c r="S36" s="143"/>
      <c r="T36" s="877"/>
      <c r="U36" s="124"/>
      <c r="V36" s="184"/>
      <c r="W36" s="143"/>
      <c r="X36" s="143"/>
      <c r="Y36" s="124"/>
      <c r="Z36" s="124"/>
      <c r="AA36" s="143"/>
      <c r="AB36" s="877"/>
      <c r="AC36" s="384"/>
      <c r="AD36" s="384"/>
    </row>
    <row r="37" spans="1:30">
      <c r="A37" s="181"/>
      <c r="B37" s="152"/>
      <c r="C37" s="124"/>
      <c r="D37" s="124"/>
      <c r="E37" s="184"/>
      <c r="F37" s="143"/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24"/>
      <c r="V37" s="184"/>
      <c r="W37" s="143"/>
      <c r="X37" s="143"/>
      <c r="Y37" s="124"/>
      <c r="Z37" s="124"/>
      <c r="AA37" s="143"/>
      <c r="AB37" s="877"/>
      <c r="AC37" s="384"/>
      <c r="AD37" s="384"/>
    </row>
    <row r="38" spans="1:30">
      <c r="A38" s="181"/>
      <c r="B38" s="152"/>
      <c r="C38" s="124"/>
      <c r="D38" s="124"/>
      <c r="E38" s="184"/>
      <c r="F38" s="143">
        <f>D38*E38</f>
        <v>0</v>
      </c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24"/>
      <c r="V38" s="184"/>
      <c r="W38" s="143"/>
      <c r="X38" s="143"/>
      <c r="Y38" s="124"/>
      <c r="Z38" s="124"/>
      <c r="AA38" s="143"/>
      <c r="AB38" s="877"/>
      <c r="AC38" s="384"/>
      <c r="AD38" s="384"/>
    </row>
    <row r="39" spans="1:30">
      <c r="A39" s="181"/>
      <c r="B39" s="152"/>
      <c r="C39" s="124"/>
      <c r="D39" s="124"/>
      <c r="E39" s="184"/>
      <c r="F39" s="143"/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24"/>
      <c r="V39" s="184"/>
      <c r="W39" s="143"/>
      <c r="X39" s="143"/>
      <c r="Y39" s="124"/>
      <c r="Z39" s="124"/>
      <c r="AA39" s="143"/>
      <c r="AB39" s="877"/>
      <c r="AC39" s="384"/>
      <c r="AD39" s="384"/>
    </row>
    <row r="40" spans="1:30">
      <c r="A40" s="181"/>
      <c r="B40" s="152"/>
      <c r="C40" s="124"/>
      <c r="D40" s="124"/>
      <c r="E40" s="184"/>
      <c r="F40" s="143">
        <f>D40*E40</f>
        <v>0</v>
      </c>
      <c r="G40" s="124"/>
      <c r="H40" s="124"/>
      <c r="I40" s="191"/>
      <c r="J40" s="124"/>
      <c r="K40" s="124"/>
      <c r="L40" s="143"/>
      <c r="M40" s="124"/>
      <c r="N40" s="124"/>
      <c r="O40" s="124"/>
      <c r="P40" s="143"/>
      <c r="Q40" s="124"/>
      <c r="R40" s="143"/>
      <c r="S40" s="143"/>
      <c r="T40" s="877"/>
      <c r="U40" s="124"/>
      <c r="V40" s="184"/>
      <c r="W40" s="143"/>
      <c r="X40" s="143"/>
      <c r="Y40" s="124"/>
      <c r="Z40" s="143"/>
      <c r="AA40" s="143"/>
      <c r="AB40" s="877"/>
      <c r="AC40" s="384"/>
      <c r="AD40" s="384"/>
    </row>
    <row r="41" spans="1:30">
      <c r="A41" s="181"/>
      <c r="B41" s="152"/>
      <c r="C41" s="124"/>
      <c r="D41" s="124"/>
      <c r="E41" s="184"/>
      <c r="F41" s="143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24"/>
      <c r="V41" s="184"/>
      <c r="W41" s="143"/>
      <c r="X41" s="143"/>
      <c r="Y41" s="124"/>
      <c r="Z41" s="143"/>
      <c r="AA41" s="143"/>
      <c r="AB41" s="877"/>
      <c r="AC41" s="384"/>
      <c r="AD41" s="384"/>
    </row>
    <row r="42" spans="1:30">
      <c r="A42" s="181"/>
      <c r="B42" s="152"/>
      <c r="C42" s="124"/>
      <c r="D42" s="124"/>
      <c r="E42" s="184"/>
      <c r="F42" s="143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24"/>
      <c r="V42" s="184"/>
      <c r="W42" s="143"/>
      <c r="X42" s="143"/>
      <c r="Y42" s="124"/>
      <c r="Z42" s="143"/>
      <c r="AA42" s="143"/>
      <c r="AB42" s="877"/>
      <c r="AC42" s="384"/>
      <c r="AD42" s="384"/>
    </row>
    <row r="43" spans="1:30">
      <c r="A43" s="181"/>
      <c r="B43" s="152"/>
      <c r="C43" s="124"/>
      <c r="D43" s="124"/>
      <c r="E43" s="147"/>
      <c r="F43" s="143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24"/>
      <c r="V43" s="147"/>
      <c r="W43" s="143"/>
      <c r="X43" s="143"/>
      <c r="Y43" s="124"/>
      <c r="Z43" s="143"/>
      <c r="AA43" s="143"/>
      <c r="AB43" s="877"/>
      <c r="AC43" s="384"/>
      <c r="AD43" s="384"/>
    </row>
    <row r="44" spans="1:30">
      <c r="A44" s="181"/>
      <c r="B44" s="152"/>
      <c r="C44" s="124"/>
      <c r="D44" s="124"/>
      <c r="E44" s="147"/>
      <c r="F44" s="143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24"/>
      <c r="V44" s="147"/>
      <c r="W44" s="143"/>
      <c r="X44" s="143"/>
      <c r="Y44" s="124"/>
      <c r="Z44" s="143"/>
      <c r="AA44" s="143"/>
      <c r="AB44" s="877"/>
      <c r="AC44" s="384"/>
      <c r="AD44" s="384"/>
    </row>
    <row r="45" spans="1:30">
      <c r="A45" s="181"/>
      <c r="B45" s="152"/>
      <c r="C45" s="124"/>
      <c r="D45" s="124"/>
      <c r="E45" s="147"/>
      <c r="F45" s="143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24"/>
      <c r="V45" s="147"/>
      <c r="W45" s="143"/>
      <c r="X45" s="143"/>
      <c r="Y45" s="124"/>
      <c r="Z45" s="143"/>
      <c r="AA45" s="143"/>
      <c r="AB45" s="877"/>
      <c r="AC45" s="384"/>
      <c r="AD45" s="384"/>
    </row>
    <row r="46" spans="1:30">
      <c r="A46" s="181"/>
      <c r="B46" s="152"/>
      <c r="C46" s="124"/>
      <c r="D46" s="124"/>
      <c r="E46" s="147"/>
      <c r="F46" s="143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24"/>
      <c r="V46" s="147"/>
      <c r="W46" s="143"/>
      <c r="X46" s="143"/>
      <c r="Y46" s="124"/>
      <c r="Z46" s="143"/>
      <c r="AA46" s="143"/>
      <c r="AB46" s="877"/>
      <c r="AC46" s="384"/>
      <c r="AD46" s="384"/>
    </row>
    <row r="47" spans="1:30">
      <c r="A47" s="181"/>
      <c r="B47" s="152"/>
      <c r="C47" s="124"/>
      <c r="D47" s="124"/>
      <c r="E47" s="147"/>
      <c r="F47" s="143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24"/>
      <c r="V47" s="147"/>
      <c r="W47" s="143"/>
      <c r="X47" s="143"/>
      <c r="Y47" s="124"/>
      <c r="Z47" s="143"/>
      <c r="AA47" s="143"/>
      <c r="AB47" s="877"/>
      <c r="AC47" s="384"/>
      <c r="AD47" s="384"/>
    </row>
    <row r="48" spans="1:30">
      <c r="A48" s="181"/>
      <c r="B48" s="152"/>
      <c r="C48" s="124"/>
      <c r="D48" s="124"/>
      <c r="E48" s="147"/>
      <c r="F48" s="143"/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24"/>
      <c r="V48" s="147"/>
      <c r="W48" s="143"/>
      <c r="X48" s="143"/>
      <c r="Y48" s="124"/>
      <c r="Z48" s="143"/>
      <c r="AA48" s="143"/>
      <c r="AB48" s="877"/>
      <c r="AC48" s="384"/>
      <c r="AD48" s="384"/>
    </row>
    <row r="49" spans="1:30">
      <c r="A49" s="181"/>
      <c r="B49" s="152"/>
      <c r="C49" s="124"/>
      <c r="D49" s="124"/>
      <c r="E49" s="147"/>
      <c r="F49" s="143"/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24"/>
      <c r="V49" s="147"/>
      <c r="W49" s="143"/>
      <c r="X49" s="143"/>
      <c r="Y49" s="124"/>
      <c r="Z49" s="143"/>
      <c r="AA49" s="143"/>
      <c r="AB49" s="877"/>
      <c r="AC49" s="384"/>
      <c r="AD49" s="384"/>
    </row>
    <row r="50" spans="1:30">
      <c r="A50" s="181"/>
      <c r="B50" s="152"/>
      <c r="C50" s="124"/>
      <c r="D50" s="124"/>
      <c r="E50" s="147"/>
      <c r="F50" s="143"/>
      <c r="G50" s="124"/>
      <c r="H50" s="124"/>
      <c r="I50" s="191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24"/>
      <c r="V50" s="147"/>
      <c r="W50" s="143"/>
      <c r="X50" s="143"/>
      <c r="Y50" s="124"/>
      <c r="Z50" s="143"/>
      <c r="AA50" s="143"/>
      <c r="AB50" s="877"/>
      <c r="AC50" s="384"/>
      <c r="AD50" s="384"/>
    </row>
    <row r="51" spans="1:30">
      <c r="A51" s="181"/>
      <c r="B51" s="152"/>
      <c r="C51" s="124"/>
      <c r="D51" s="124"/>
      <c r="E51" s="147"/>
      <c r="F51" s="143"/>
      <c r="G51" s="124"/>
      <c r="H51" s="124"/>
      <c r="I51" s="191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24"/>
      <c r="V51" s="147"/>
      <c r="W51" s="143"/>
      <c r="X51" s="143"/>
      <c r="Y51" s="124"/>
      <c r="Z51" s="143"/>
      <c r="AA51" s="143"/>
      <c r="AB51" s="877"/>
      <c r="AC51" s="384"/>
      <c r="AD51" s="384"/>
    </row>
    <row r="52" spans="1:30">
      <c r="A52" s="181"/>
      <c r="B52" s="185"/>
      <c r="C52" s="143"/>
      <c r="D52" s="124"/>
      <c r="E52" s="124"/>
      <c r="F52" s="143"/>
      <c r="G52" s="124"/>
      <c r="H52" s="124"/>
      <c r="I52" s="124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24"/>
      <c r="V52" s="124"/>
      <c r="W52" s="143"/>
      <c r="X52" s="143"/>
      <c r="Y52" s="124"/>
      <c r="Z52" s="143"/>
      <c r="AA52" s="143"/>
      <c r="AB52" s="877"/>
      <c r="AC52" s="384"/>
      <c r="AD52" s="384"/>
    </row>
    <row r="53" spans="1:30">
      <c r="A53" s="181"/>
      <c r="B53" s="186"/>
      <c r="C53" s="143"/>
      <c r="D53" s="124"/>
      <c r="E53" s="124"/>
      <c r="F53" s="124"/>
      <c r="G53" s="124"/>
      <c r="H53" s="124"/>
      <c r="I53" s="124"/>
      <c r="J53" s="124"/>
      <c r="K53" s="124"/>
      <c r="L53" s="143">
        <f>I53-J53+K53</f>
        <v>0</v>
      </c>
      <c r="M53" s="124"/>
      <c r="N53" s="124"/>
      <c r="O53" s="124"/>
      <c r="P53" s="143">
        <v>0</v>
      </c>
      <c r="Q53" s="124"/>
      <c r="R53" s="143">
        <v>0</v>
      </c>
      <c r="S53" s="143">
        <f>+P53-R53</f>
        <v>0</v>
      </c>
      <c r="T53" s="877"/>
      <c r="U53" s="124"/>
      <c r="V53" s="124"/>
      <c r="W53" s="124"/>
      <c r="X53" s="143">
        <v>0</v>
      </c>
      <c r="Y53" s="124"/>
      <c r="Z53" s="143">
        <v>0</v>
      </c>
      <c r="AA53" s="143">
        <v>0</v>
      </c>
      <c r="AB53" s="877"/>
      <c r="AC53" s="384"/>
      <c r="AD53" s="384"/>
    </row>
    <row r="54" spans="1:30">
      <c r="A54" s="181"/>
      <c r="B54" s="185"/>
      <c r="C54" s="143"/>
      <c r="D54" s="124"/>
      <c r="E54" s="124"/>
      <c r="F54" s="124"/>
      <c r="G54" s="124"/>
      <c r="H54" s="124"/>
      <c r="I54" s="124"/>
      <c r="J54" s="124"/>
      <c r="K54" s="124"/>
      <c r="L54" s="143">
        <f>I54-J54+K54</f>
        <v>0</v>
      </c>
      <c r="M54" s="124"/>
      <c r="N54" s="124"/>
      <c r="O54" s="124"/>
      <c r="P54" s="143">
        <v>0</v>
      </c>
      <c r="Q54" s="124"/>
      <c r="R54" s="143">
        <v>0</v>
      </c>
      <c r="S54" s="143">
        <f>+P54-R54</f>
        <v>0</v>
      </c>
      <c r="T54" s="877"/>
      <c r="U54" s="124"/>
      <c r="V54" s="124"/>
      <c r="W54" s="124"/>
      <c r="X54" s="143">
        <v>0</v>
      </c>
      <c r="Y54" s="124"/>
      <c r="Z54" s="143">
        <v>0</v>
      </c>
      <c r="AA54" s="143">
        <v>0</v>
      </c>
      <c r="AB54" s="877"/>
      <c r="AC54" s="384"/>
      <c r="AD54" s="384"/>
    </row>
    <row r="55" spans="1:30">
      <c r="A55" s="159"/>
      <c r="B55" s="160" t="s">
        <v>17</v>
      </c>
      <c r="C55" s="900">
        <f>SUM(C18:C20)</f>
        <v>1544400</v>
      </c>
      <c r="D55" s="900"/>
      <c r="E55" s="900"/>
      <c r="F55" s="900">
        <f>SUM(F18:F20)</f>
        <v>1544400</v>
      </c>
      <c r="G55" s="900">
        <f t="shared" ref="G55:N55" si="2">SUM(G15:G54)</f>
        <v>420000</v>
      </c>
      <c r="H55" s="900">
        <f t="shared" si="2"/>
        <v>0</v>
      </c>
      <c r="I55" s="900">
        <f t="shared" si="2"/>
        <v>1544400</v>
      </c>
      <c r="J55" s="900">
        <f t="shared" si="2"/>
        <v>0</v>
      </c>
      <c r="K55" s="900">
        <f t="shared" si="2"/>
        <v>0</v>
      </c>
      <c r="L55" s="900">
        <f t="shared" si="2"/>
        <v>1544400</v>
      </c>
      <c r="M55" s="900">
        <f t="shared" si="2"/>
        <v>0</v>
      </c>
      <c r="N55" s="900">
        <f t="shared" si="2"/>
        <v>373200</v>
      </c>
      <c r="O55" s="900">
        <f>SUM(O14:O54)</f>
        <v>3</v>
      </c>
      <c r="P55" s="900">
        <f>SUM(P14:P54)</f>
        <v>1544400</v>
      </c>
      <c r="Q55" s="900">
        <f>SUM(Q14:Q54)</f>
        <v>2.79</v>
      </c>
      <c r="R55" s="900">
        <f>SUM(R14:R54)</f>
        <v>1442944.76</v>
      </c>
      <c r="S55" s="900">
        <f>SUM(S15:S54)</f>
        <v>101455.23999999999</v>
      </c>
      <c r="T55" s="893">
        <f>W55-L55</f>
        <v>0</v>
      </c>
      <c r="U55" s="900"/>
      <c r="V55" s="900"/>
      <c r="W55" s="900">
        <f>SUM(W18:W20)</f>
        <v>1544400</v>
      </c>
      <c r="X55" s="900">
        <f>SUM(X14:X54)</f>
        <v>1544400</v>
      </c>
      <c r="Y55" s="900">
        <f>SUM(Y14:Y54)</f>
        <v>373200</v>
      </c>
      <c r="Z55" s="900">
        <f>SUM(Z14:Z54)</f>
        <v>1544400</v>
      </c>
      <c r="AA55" s="900">
        <f>SUM(AA14:AA54)</f>
        <v>1442944.76</v>
      </c>
      <c r="AB55" s="900">
        <f>SUM(AB15:AB54)</f>
        <v>1544400</v>
      </c>
      <c r="AC55" s="384"/>
      <c r="AD55" s="384"/>
    </row>
    <row r="56" spans="1:30">
      <c r="A56" s="1347"/>
      <c r="B56" s="1348"/>
      <c r="C56" s="896"/>
      <c r="D56" s="896"/>
      <c r="E56" s="896"/>
      <c r="F56" s="1003"/>
      <c r="G56" s="1003"/>
      <c r="H56" s="1003"/>
      <c r="I56" s="1003"/>
      <c r="J56" s="1003"/>
      <c r="K56" s="1003"/>
      <c r="L56" s="1003"/>
      <c r="M56" s="1003"/>
      <c r="N56" s="1003"/>
      <c r="O56" s="896"/>
      <c r="P56" s="1003"/>
      <c r="Q56" s="896"/>
      <c r="R56" s="896"/>
      <c r="S56" s="1004"/>
      <c r="T56" s="1004"/>
      <c r="U56" s="896"/>
      <c r="V56" s="896"/>
      <c r="W56" s="1003"/>
      <c r="X56" s="1004"/>
      <c r="Y56" s="1004"/>
      <c r="Z56" s="1004"/>
      <c r="AA56" s="1004"/>
      <c r="AB56" s="1004"/>
      <c r="AC56" s="384"/>
      <c r="AD56" s="384"/>
    </row>
    <row r="57" spans="1:30">
      <c r="A57" s="1347"/>
      <c r="B57" s="1348"/>
      <c r="C57" s="896"/>
      <c r="D57" s="896"/>
      <c r="E57" s="896"/>
      <c r="F57" s="1003"/>
      <c r="G57" s="1003"/>
      <c r="H57" s="1003"/>
      <c r="I57" s="1003"/>
      <c r="J57" s="1003"/>
      <c r="K57" s="1003"/>
      <c r="L57" s="1003"/>
      <c r="M57" s="1003"/>
      <c r="N57" s="1003"/>
      <c r="O57" s="896"/>
      <c r="P57" s="1003">
        <v>1544400</v>
      </c>
      <c r="Q57" s="896">
        <v>1229463.81</v>
      </c>
      <c r="R57" s="896">
        <f>+R55-1442944.76</f>
        <v>0</v>
      </c>
      <c r="S57" s="1004"/>
      <c r="T57" s="1004"/>
      <c r="U57" s="896"/>
      <c r="V57" s="896"/>
      <c r="W57" s="1003"/>
      <c r="X57" s="1004"/>
      <c r="Y57" s="1004"/>
      <c r="Z57" s="1004"/>
      <c r="AA57" s="1004"/>
      <c r="AB57" s="1004"/>
      <c r="AC57" s="384"/>
      <c r="AD57" s="384"/>
    </row>
    <row r="58" spans="1:30">
      <c r="A58" s="166"/>
      <c r="B58" s="166"/>
      <c r="C58" s="896"/>
      <c r="D58" s="896"/>
      <c r="E58" s="896"/>
      <c r="F58" s="1003"/>
      <c r="G58" s="896"/>
      <c r="H58" s="896"/>
      <c r="I58" s="896"/>
      <c r="J58" s="896"/>
      <c r="K58" s="896"/>
      <c r="L58" s="896"/>
      <c r="M58" s="896"/>
      <c r="N58" s="896"/>
      <c r="O58" s="896"/>
      <c r="P58" s="896"/>
      <c r="Q58" s="1004"/>
      <c r="R58" s="896"/>
      <c r="S58" s="1004"/>
      <c r="T58" s="1004"/>
      <c r="U58" s="896"/>
      <c r="V58" s="896"/>
      <c r="W58" s="1003"/>
      <c r="X58" s="1004"/>
      <c r="Y58" s="1004"/>
      <c r="Z58" s="1004"/>
      <c r="AA58" s="1004"/>
      <c r="AB58" s="1004"/>
      <c r="AC58" s="384"/>
      <c r="AD58" s="384"/>
    </row>
    <row r="59" spans="1:30">
      <c r="A59" s="166"/>
      <c r="B59" s="166"/>
      <c r="C59" s="896"/>
      <c r="D59" s="896"/>
      <c r="E59" s="896"/>
      <c r="F59" s="1003">
        <f>+F55*0.07</f>
        <v>108108.00000000001</v>
      </c>
      <c r="G59" s="896"/>
      <c r="H59" s="896"/>
      <c r="I59" s="896"/>
      <c r="J59" s="896"/>
      <c r="K59" s="896"/>
      <c r="L59" s="896"/>
      <c r="M59" s="896"/>
      <c r="N59" s="896"/>
      <c r="O59" s="896"/>
      <c r="P59" s="896"/>
      <c r="Q59" s="896">
        <f>+Q57-R55</f>
        <v>-213480.94999999995</v>
      </c>
      <c r="R59" s="896"/>
      <c r="S59" s="1004"/>
      <c r="T59" s="1004"/>
      <c r="U59" s="896"/>
      <c r="V59" s="896"/>
      <c r="W59" s="1003"/>
      <c r="X59" s="896"/>
      <c r="Y59" s="1004"/>
      <c r="Z59" s="1004"/>
      <c r="AA59" s="1004"/>
      <c r="AB59" s="1004"/>
      <c r="AC59" s="384"/>
      <c r="AD59" s="384"/>
    </row>
    <row r="60" spans="1:30">
      <c r="R60" s="67"/>
      <c r="AC60" s="384"/>
      <c r="AD60" s="384"/>
    </row>
    <row r="61" spans="1:30">
      <c r="A61" s="67" t="s">
        <v>59</v>
      </c>
      <c r="F61" s="163"/>
      <c r="W61" s="163"/>
      <c r="AC61" s="384"/>
      <c r="AD61" s="384"/>
    </row>
  </sheetData>
  <mergeCells count="8">
    <mergeCell ref="E1:F1"/>
    <mergeCell ref="D6:E6"/>
    <mergeCell ref="A25:B25"/>
    <mergeCell ref="AB8:AB12"/>
    <mergeCell ref="X8:X12"/>
    <mergeCell ref="Y8:Y12"/>
    <mergeCell ref="Z8:Z12"/>
    <mergeCell ref="AA8:AA12"/>
  </mergeCells>
  <conditionalFormatting sqref="U8:W9 X8:AC12">
    <cfRule type="cellIs" dxfId="11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scale="57" orientation="landscape" r:id="rId1"/>
  <headerFooter alignWithMargins="0"/>
  <colBreaks count="1" manualBreakCount="1">
    <brk id="20" max="1048575" man="1"/>
  </colBreaks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3"/>
  <dimension ref="A1:CC63"/>
  <sheetViews>
    <sheetView showGridLines="0" showZeros="0" topLeftCell="M1" workbookViewId="0">
      <selection activeCell="Z16" sqref="Z16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81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1" ht="12.75">
      <c r="A2" s="1075" t="s">
        <v>49</v>
      </c>
      <c r="B2" s="517" t="s">
        <v>282</v>
      </c>
      <c r="C2" s="517"/>
      <c r="D2" s="517"/>
      <c r="E2" s="517"/>
      <c r="F2" s="517"/>
      <c r="G2" s="517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8"/>
      <c r="T2" s="68"/>
      <c r="U2" s="67"/>
      <c r="V2" s="67"/>
      <c r="W2" s="67"/>
      <c r="X2" s="68"/>
      <c r="Y2" s="68"/>
      <c r="Z2" s="68"/>
      <c r="AA2" s="68"/>
      <c r="AB2" s="68"/>
      <c r="AC2" s="68"/>
      <c r="AD2" s="68"/>
      <c r="AE2" s="384"/>
      <c r="AF2" s="384"/>
      <c r="AG2" s="384"/>
      <c r="AH2" s="384"/>
      <c r="AI2" s="384"/>
      <c r="AJ2" s="384"/>
      <c r="AK2" s="384"/>
      <c r="AL2" s="384"/>
      <c r="AM2" s="384"/>
      <c r="AN2" s="384"/>
      <c r="AO2" s="384"/>
      <c r="AP2" s="384"/>
      <c r="AQ2" s="384"/>
      <c r="AR2" s="384"/>
      <c r="AS2" s="384"/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  <c r="BH2" s="384"/>
      <c r="BI2" s="384"/>
      <c r="BJ2" s="384"/>
      <c r="BK2" s="384"/>
      <c r="BL2" s="384"/>
      <c r="BM2" s="384"/>
      <c r="BN2" s="384"/>
      <c r="BO2" s="384"/>
      <c r="BP2" s="384"/>
      <c r="BQ2" s="384"/>
      <c r="BR2" s="384"/>
      <c r="BS2" s="384"/>
      <c r="BT2" s="384"/>
      <c r="BU2" s="384"/>
      <c r="BV2" s="384"/>
      <c r="BW2" s="384"/>
      <c r="BX2" s="384"/>
      <c r="BY2" s="384"/>
      <c r="BZ2" s="384"/>
      <c r="CA2" s="384"/>
      <c r="CB2" s="384"/>
      <c r="CC2" s="384"/>
    </row>
    <row r="3" spans="1:81" ht="12.75">
      <c r="A3" s="385" t="s">
        <v>60</v>
      </c>
      <c r="B3" s="385" t="s">
        <v>50</v>
      </c>
      <c r="C3" s="517" t="s">
        <v>66</v>
      </c>
      <c r="D3" s="517" t="s">
        <v>52</v>
      </c>
      <c r="E3" s="517"/>
      <c r="F3" s="517" t="s">
        <v>84</v>
      </c>
      <c r="G3" s="517" t="s">
        <v>106</v>
      </c>
      <c r="H3" s="1076"/>
      <c r="I3" s="1076"/>
      <c r="J3" s="69"/>
      <c r="K3" s="69"/>
      <c r="L3" s="69"/>
      <c r="M3" s="69"/>
      <c r="N3" s="69"/>
      <c r="O3" s="69"/>
      <c r="P3" s="69"/>
      <c r="Q3" s="69"/>
      <c r="R3" s="69"/>
      <c r="S3" s="70"/>
      <c r="T3" s="70"/>
      <c r="U3" s="385"/>
      <c r="V3" s="69"/>
      <c r="W3" s="69"/>
      <c r="X3" s="70"/>
      <c r="Y3" s="70"/>
      <c r="Z3" s="70"/>
      <c r="AA3" s="70"/>
      <c r="AB3" s="70"/>
      <c r="AC3" s="68"/>
      <c r="AD3" s="68"/>
      <c r="AE3" s="384"/>
      <c r="AF3" s="384"/>
      <c r="AG3" s="384"/>
      <c r="AH3" s="384"/>
      <c r="AI3" s="384"/>
      <c r="AJ3" s="384"/>
      <c r="AK3" s="384"/>
      <c r="AL3" s="384"/>
      <c r="AM3" s="384"/>
      <c r="AN3" s="384"/>
      <c r="AO3" s="384"/>
      <c r="AP3" s="384"/>
      <c r="AQ3" s="384"/>
      <c r="AR3" s="384"/>
      <c r="AS3" s="384"/>
      <c r="AT3" s="384"/>
      <c r="AU3" s="384"/>
      <c r="AV3" s="384"/>
      <c r="AW3" s="384"/>
      <c r="AX3" s="384"/>
      <c r="AY3" s="384"/>
      <c r="AZ3" s="384"/>
      <c r="BA3" s="384"/>
      <c r="BB3" s="384"/>
      <c r="BC3" s="384"/>
      <c r="BD3" s="384"/>
      <c r="BE3" s="384"/>
      <c r="BF3" s="384"/>
      <c r="BG3" s="384"/>
      <c r="BH3" s="384"/>
      <c r="BI3" s="384"/>
      <c r="BJ3" s="384"/>
      <c r="BK3" s="384"/>
      <c r="BL3" s="384"/>
      <c r="BM3" s="384"/>
      <c r="BN3" s="384"/>
      <c r="BO3" s="384"/>
      <c r="BP3" s="384"/>
      <c r="BQ3" s="384"/>
      <c r="BR3" s="384"/>
      <c r="BS3" s="384"/>
      <c r="BT3" s="384"/>
      <c r="BU3" s="384"/>
      <c r="BV3" s="384"/>
      <c r="BW3" s="384"/>
      <c r="BX3" s="384"/>
      <c r="BY3" s="384"/>
      <c r="BZ3" s="384"/>
      <c r="CA3" s="384"/>
      <c r="CB3" s="384"/>
      <c r="CC3" s="384"/>
    </row>
    <row r="4" spans="1:81" ht="12.75">
      <c r="A4" s="1346" t="s">
        <v>61</v>
      </c>
      <c r="B4" s="71" t="s">
        <v>283</v>
      </c>
      <c r="C4" s="1947" t="s">
        <v>81</v>
      </c>
      <c r="D4" s="216"/>
      <c r="E4" s="216"/>
      <c r="F4" s="217"/>
      <c r="G4" s="1075"/>
      <c r="H4" s="1075"/>
      <c r="I4" s="1075"/>
      <c r="J4" s="64"/>
      <c r="K4" s="64"/>
      <c r="L4" s="64"/>
      <c r="M4" s="64"/>
      <c r="N4" s="64"/>
      <c r="O4" s="69"/>
      <c r="P4" s="64"/>
      <c r="Q4" s="69"/>
      <c r="R4" s="69"/>
      <c r="S4" s="70"/>
      <c r="T4" s="70"/>
      <c r="U4" s="69"/>
      <c r="V4" s="69"/>
      <c r="W4" s="64"/>
      <c r="X4" s="70"/>
      <c r="Y4" s="70"/>
      <c r="Z4" s="70"/>
      <c r="AA4" s="70"/>
      <c r="AB4" s="70"/>
      <c r="AC4" s="68"/>
      <c r="AD4" s="68"/>
      <c r="AE4" s="384"/>
      <c r="AF4" s="384"/>
      <c r="AG4" s="384"/>
      <c r="AH4" s="384"/>
      <c r="AI4" s="384"/>
      <c r="AJ4" s="384"/>
      <c r="AK4" s="384"/>
      <c r="AL4" s="384"/>
      <c r="AM4" s="384"/>
      <c r="AN4" s="384"/>
      <c r="AO4" s="384"/>
      <c r="AP4" s="384"/>
      <c r="AQ4" s="384"/>
      <c r="AR4" s="384"/>
      <c r="AS4" s="384"/>
      <c r="AT4" s="384"/>
      <c r="AU4" s="384"/>
      <c r="AV4" s="384"/>
      <c r="AW4" s="384"/>
      <c r="AX4" s="384"/>
      <c r="AY4" s="384"/>
      <c r="AZ4" s="384"/>
      <c r="BA4" s="384"/>
      <c r="BB4" s="384"/>
      <c r="BC4" s="384"/>
      <c r="BD4" s="384"/>
      <c r="BE4" s="384"/>
      <c r="BF4" s="384"/>
      <c r="BG4" s="384"/>
      <c r="BH4" s="384"/>
      <c r="BI4" s="384"/>
      <c r="BJ4" s="384"/>
      <c r="BK4" s="384"/>
      <c r="BL4" s="384"/>
      <c r="BM4" s="384"/>
      <c r="BN4" s="384"/>
      <c r="BO4" s="384"/>
      <c r="BP4" s="384"/>
      <c r="BQ4" s="384"/>
      <c r="BR4" s="384"/>
      <c r="BS4" s="384"/>
      <c r="BT4" s="384"/>
      <c r="BU4" s="384"/>
      <c r="BV4" s="384"/>
      <c r="BW4" s="384"/>
      <c r="BX4" s="384"/>
      <c r="BY4" s="384"/>
      <c r="BZ4" s="384"/>
      <c r="CA4" s="384"/>
      <c r="CB4" s="384"/>
      <c r="CC4" s="384"/>
    </row>
    <row r="5" spans="1:81" ht="12.75">
      <c r="A5" s="1078" t="s">
        <v>62</v>
      </c>
      <c r="B5" s="73">
        <v>201000397</v>
      </c>
      <c r="C5" s="1076"/>
      <c r="D5" s="1076"/>
      <c r="E5" s="1076"/>
      <c r="F5" s="1075"/>
      <c r="G5" s="1075"/>
      <c r="H5" s="1076"/>
      <c r="I5" s="1076"/>
      <c r="J5" s="64"/>
      <c r="K5" s="384"/>
      <c r="L5" s="64"/>
      <c r="M5" s="64"/>
      <c r="N5" s="64"/>
      <c r="O5" s="69"/>
      <c r="P5" s="64"/>
      <c r="Q5" s="69"/>
      <c r="R5" s="69"/>
      <c r="S5" s="64"/>
      <c r="T5" s="70"/>
      <c r="U5" s="69"/>
      <c r="V5" s="69"/>
      <c r="W5" s="64"/>
      <c r="X5" s="70"/>
      <c r="Y5" s="70"/>
      <c r="Z5" s="70"/>
      <c r="AA5" s="70"/>
      <c r="AB5" s="70"/>
      <c r="AC5" s="68"/>
      <c r="AD5" s="68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4"/>
      <c r="AP5" s="384"/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4"/>
      <c r="BC5" s="384"/>
      <c r="BD5" s="384"/>
      <c r="BE5" s="384"/>
      <c r="BF5" s="384"/>
      <c r="BG5" s="384"/>
      <c r="BH5" s="384"/>
      <c r="BI5" s="384"/>
      <c r="BJ5" s="384"/>
      <c r="BK5" s="384"/>
      <c r="BL5" s="384"/>
      <c r="BM5" s="384"/>
      <c r="BN5" s="384"/>
      <c r="BO5" s="384"/>
      <c r="BP5" s="384"/>
      <c r="BQ5" s="384"/>
      <c r="BR5" s="384"/>
      <c r="BS5" s="384"/>
      <c r="BT5" s="384"/>
      <c r="BU5" s="384"/>
      <c r="BV5" s="384"/>
      <c r="BW5" s="384"/>
      <c r="BX5" s="384"/>
      <c r="BY5" s="384"/>
      <c r="BZ5" s="384"/>
      <c r="CA5" s="384"/>
      <c r="CB5" s="384"/>
      <c r="CC5" s="384"/>
    </row>
    <row r="6" spans="1:81" ht="12.75">
      <c r="A6" s="1078" t="s">
        <v>51</v>
      </c>
      <c r="B6" s="518"/>
      <c r="C6" s="1076"/>
      <c r="D6" s="2453"/>
      <c r="E6" s="2453"/>
      <c r="F6" s="1075"/>
      <c r="G6" s="1075"/>
      <c r="H6" s="1209"/>
      <c r="I6" s="1209"/>
      <c r="J6" s="77"/>
      <c r="K6" s="78"/>
      <c r="L6" s="78"/>
      <c r="M6" s="70"/>
      <c r="N6" s="68"/>
      <c r="O6" s="68"/>
      <c r="P6" s="68"/>
      <c r="Q6" s="70"/>
      <c r="R6" s="69"/>
      <c r="S6" s="70"/>
      <c r="T6" s="70"/>
      <c r="U6" s="69"/>
      <c r="V6" s="69"/>
      <c r="W6" s="64"/>
      <c r="X6" s="70"/>
      <c r="Y6" s="70"/>
      <c r="Z6" s="70"/>
      <c r="AA6" s="70"/>
      <c r="AB6" s="70"/>
      <c r="AC6" s="68"/>
      <c r="AD6" s="68"/>
      <c r="AE6" s="384"/>
      <c r="AF6" s="384"/>
      <c r="AG6" s="384"/>
      <c r="AH6" s="384"/>
      <c r="AI6" s="384"/>
      <c r="AJ6" s="384"/>
      <c r="AK6" s="384"/>
      <c r="AL6" s="384"/>
      <c r="AM6" s="384"/>
      <c r="AN6" s="384"/>
      <c r="AO6" s="384"/>
      <c r="AP6" s="384"/>
      <c r="AQ6" s="384"/>
      <c r="AR6" s="384"/>
      <c r="AS6" s="384"/>
      <c r="AT6" s="384"/>
      <c r="AU6" s="384"/>
      <c r="AV6" s="384"/>
      <c r="AW6" s="384"/>
      <c r="AX6" s="384"/>
      <c r="AY6" s="384"/>
      <c r="AZ6" s="384"/>
      <c r="BA6" s="384"/>
      <c r="BB6" s="384"/>
      <c r="BC6" s="384"/>
      <c r="BD6" s="384"/>
      <c r="BE6" s="384"/>
      <c r="BF6" s="384"/>
      <c r="BG6" s="384"/>
      <c r="BH6" s="384"/>
      <c r="BI6" s="384"/>
      <c r="BJ6" s="384"/>
      <c r="BK6" s="384"/>
      <c r="BL6" s="384"/>
      <c r="BM6" s="384"/>
      <c r="BN6" s="384"/>
      <c r="BO6" s="384"/>
      <c r="BP6" s="384"/>
      <c r="BQ6" s="384"/>
      <c r="BR6" s="384"/>
      <c r="BS6" s="384"/>
      <c r="BT6" s="384"/>
      <c r="BU6" s="384"/>
      <c r="BV6" s="384"/>
      <c r="BW6" s="384"/>
      <c r="BX6" s="384"/>
      <c r="BY6" s="384"/>
      <c r="BZ6" s="384"/>
      <c r="CA6" s="384"/>
      <c r="CB6" s="384"/>
      <c r="CC6" s="384"/>
    </row>
    <row r="7" spans="1:81" ht="12.75">
      <c r="A7" s="72"/>
      <c r="B7" s="79"/>
      <c r="C7" s="69"/>
      <c r="D7" s="69"/>
      <c r="E7" s="69"/>
      <c r="F7" s="64"/>
      <c r="G7" s="64"/>
      <c r="H7" s="75"/>
      <c r="I7" s="76"/>
      <c r="J7" s="77"/>
      <c r="K7" s="78"/>
      <c r="L7" s="78"/>
      <c r="M7" s="70"/>
      <c r="N7" s="68"/>
      <c r="O7" s="68"/>
      <c r="P7" s="68"/>
      <c r="Q7" s="70"/>
      <c r="R7" s="69"/>
      <c r="S7" s="70"/>
      <c r="T7" s="70"/>
      <c r="U7" s="69"/>
      <c r="V7" s="69"/>
      <c r="W7" s="64"/>
      <c r="X7" s="70"/>
      <c r="Y7" s="70"/>
      <c r="Z7" s="70"/>
      <c r="AA7" s="70"/>
      <c r="AB7" s="70"/>
      <c r="AC7" s="68"/>
      <c r="AD7" s="68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4"/>
      <c r="AP7" s="384"/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4"/>
      <c r="BC7" s="384"/>
      <c r="BD7" s="384"/>
      <c r="BE7" s="384"/>
      <c r="BF7" s="384"/>
      <c r="BG7" s="384"/>
      <c r="BH7" s="384"/>
      <c r="BI7" s="384"/>
      <c r="BJ7" s="384"/>
      <c r="BK7" s="384"/>
      <c r="BL7" s="384"/>
      <c r="BM7" s="384"/>
      <c r="BN7" s="384"/>
      <c r="BO7" s="384"/>
      <c r="BP7" s="384"/>
      <c r="BQ7" s="384"/>
      <c r="BR7" s="384"/>
      <c r="BS7" s="384"/>
      <c r="BT7" s="384"/>
      <c r="BU7" s="384"/>
      <c r="BV7" s="384"/>
      <c r="BW7" s="384"/>
      <c r="BX7" s="384"/>
      <c r="BY7" s="384"/>
      <c r="BZ7" s="384"/>
      <c r="CA7" s="384"/>
      <c r="CB7" s="384"/>
      <c r="CC7" s="384"/>
    </row>
    <row r="8" spans="1:81" ht="16.5" customHeight="1">
      <c r="A8" s="1080" t="s">
        <v>0</v>
      </c>
      <c r="B8" s="1080" t="s">
        <v>1</v>
      </c>
      <c r="C8" s="837" t="s">
        <v>2</v>
      </c>
      <c r="D8" s="1081" t="s">
        <v>3</v>
      </c>
      <c r="E8" s="1082"/>
      <c r="F8" s="1083"/>
      <c r="G8" s="1084" t="s">
        <v>4</v>
      </c>
      <c r="H8" s="1085"/>
      <c r="I8" s="1084" t="s">
        <v>5</v>
      </c>
      <c r="J8" s="1085"/>
      <c r="K8" s="1086" t="s">
        <v>6</v>
      </c>
      <c r="L8" s="1086"/>
      <c r="M8" s="1086"/>
      <c r="N8" s="1086"/>
      <c r="O8" s="1082" t="s">
        <v>7</v>
      </c>
      <c r="P8" s="1083"/>
      <c r="Q8" s="1082" t="s">
        <v>8</v>
      </c>
      <c r="R8" s="1083"/>
      <c r="S8" s="1087"/>
      <c r="T8" s="1088"/>
      <c r="U8" s="90" t="s">
        <v>82</v>
      </c>
      <c r="V8" s="91"/>
      <c r="W8" s="92"/>
      <c r="X8" s="2406" t="str">
        <f>"Production cumulée au 31/12/"&amp;(YEAR($E$1)-1)</f>
        <v>Production cumulée au 31/12/2014</v>
      </c>
      <c r="Y8" s="2406" t="str">
        <f>"sous traitance cumulée au 31/12/"&amp;(YEAR($E$1)-1)</f>
        <v>sous traitance cumulée au 31/12/2014</v>
      </c>
      <c r="Z8" s="2406" t="str">
        <f>"Facturation cumulée au 31/12/"&amp;(YEAR($E$1)-1)</f>
        <v>Facturation cumulée au 31/12/2014</v>
      </c>
      <c r="AA8" s="2406" t="str">
        <f>"Encaissement cumulé au 31/12/"&amp;(YEAR($E$1)-1)</f>
        <v>Encaissement cumulé au 31/12/2014</v>
      </c>
      <c r="AB8" s="2406" t="s">
        <v>64</v>
      </c>
      <c r="AC8" s="93"/>
      <c r="AD8" s="93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</row>
    <row r="9" spans="1:81" ht="8.25" customHeight="1">
      <c r="A9" s="1089" t="s">
        <v>9</v>
      </c>
      <c r="B9" s="1090"/>
      <c r="C9" s="1091"/>
      <c r="D9" s="1092"/>
      <c r="E9" s="1093"/>
      <c r="F9" s="1094"/>
      <c r="G9" s="1095"/>
      <c r="H9" s="1096"/>
      <c r="I9" s="1095" t="s">
        <v>10</v>
      </c>
      <c r="J9" s="1095"/>
      <c r="K9" s="1097" t="s">
        <v>11</v>
      </c>
      <c r="L9" s="1097"/>
      <c r="M9" s="1097"/>
      <c r="N9" s="1097" t="s">
        <v>12</v>
      </c>
      <c r="O9" s="1093"/>
      <c r="P9" s="1094"/>
      <c r="Q9" s="1093"/>
      <c r="R9" s="1098"/>
      <c r="S9" s="1099" t="s">
        <v>13</v>
      </c>
      <c r="T9" s="1100" t="s">
        <v>14</v>
      </c>
      <c r="U9" s="903"/>
      <c r="V9" s="904"/>
      <c r="W9" s="905"/>
      <c r="X9" s="2407"/>
      <c r="Y9" s="2407"/>
      <c r="Z9" s="2407"/>
      <c r="AA9" s="2407"/>
      <c r="AB9" s="2407"/>
      <c r="AC9" s="93"/>
      <c r="AD9" s="93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</row>
    <row r="10" spans="1:81" ht="8.25" customHeight="1">
      <c r="A10" s="1090"/>
      <c r="B10" s="1090"/>
      <c r="C10" s="1091"/>
      <c r="D10" s="1101" t="s">
        <v>15</v>
      </c>
      <c r="E10" s="1101" t="s">
        <v>16</v>
      </c>
      <c r="F10" s="1086" t="s">
        <v>17</v>
      </c>
      <c r="G10" s="1095"/>
      <c r="H10" s="1096"/>
      <c r="I10" s="1095"/>
      <c r="J10" s="1095"/>
      <c r="K10" s="1102" t="s">
        <v>18</v>
      </c>
      <c r="L10" s="1102" t="s">
        <v>17</v>
      </c>
      <c r="M10" s="1102" t="s">
        <v>19</v>
      </c>
      <c r="N10" s="1102" t="s">
        <v>20</v>
      </c>
      <c r="O10" s="1101" t="s">
        <v>16</v>
      </c>
      <c r="P10" s="1086" t="s">
        <v>17</v>
      </c>
      <c r="Q10" s="1101" t="s">
        <v>16</v>
      </c>
      <c r="R10" s="1086" t="s">
        <v>17</v>
      </c>
      <c r="S10" s="1099" t="s">
        <v>21</v>
      </c>
      <c r="T10" s="1100" t="s">
        <v>22</v>
      </c>
      <c r="U10" s="1101" t="s">
        <v>15</v>
      </c>
      <c r="V10" s="1101" t="s">
        <v>16</v>
      </c>
      <c r="W10" s="1086" t="s">
        <v>17</v>
      </c>
      <c r="X10" s="2407"/>
      <c r="Y10" s="2407"/>
      <c r="Z10" s="2407"/>
      <c r="AA10" s="2407"/>
      <c r="AB10" s="2407"/>
      <c r="AC10" s="93"/>
      <c r="AD10" s="93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</row>
    <row r="11" spans="1:81" ht="8.25" customHeight="1">
      <c r="A11" s="1090"/>
      <c r="B11" s="1090"/>
      <c r="C11" s="1091"/>
      <c r="D11" s="1099" t="s">
        <v>23</v>
      </c>
      <c r="E11" s="1099"/>
      <c r="F11" s="1097" t="s">
        <v>23</v>
      </c>
      <c r="G11" s="1086" t="s">
        <v>24</v>
      </c>
      <c r="H11" s="1086" t="s">
        <v>25</v>
      </c>
      <c r="I11" s="1086" t="s">
        <v>26</v>
      </c>
      <c r="J11" s="1086" t="s">
        <v>27</v>
      </c>
      <c r="K11" s="1097" t="s">
        <v>28</v>
      </c>
      <c r="L11" s="1097" t="s">
        <v>29</v>
      </c>
      <c r="M11" s="1097" t="s">
        <v>30</v>
      </c>
      <c r="N11" s="1097" t="s">
        <v>31</v>
      </c>
      <c r="O11" s="1099"/>
      <c r="P11" s="1097" t="s">
        <v>23</v>
      </c>
      <c r="Q11" s="1099"/>
      <c r="R11" s="1097" t="s">
        <v>23</v>
      </c>
      <c r="S11" s="1091"/>
      <c r="T11" s="1100" t="s">
        <v>32</v>
      </c>
      <c r="U11" s="1099" t="s">
        <v>23</v>
      </c>
      <c r="V11" s="1099"/>
      <c r="W11" s="1097" t="s">
        <v>23</v>
      </c>
      <c r="X11" s="2407"/>
      <c r="Y11" s="2407"/>
      <c r="Z11" s="2407"/>
      <c r="AA11" s="2407"/>
      <c r="AB11" s="2407"/>
      <c r="AC11" s="93"/>
      <c r="AD11" s="93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</row>
    <row r="12" spans="1:81" ht="8.25" customHeight="1">
      <c r="A12" s="1090"/>
      <c r="B12" s="1090"/>
      <c r="C12" s="1091"/>
      <c r="D12" s="1091"/>
      <c r="E12" s="1091"/>
      <c r="F12" s="1103"/>
      <c r="G12" s="1103"/>
      <c r="H12" s="1103"/>
      <c r="I12" s="1103"/>
      <c r="J12" s="1097" t="s">
        <v>33</v>
      </c>
      <c r="K12" s="1097" t="s">
        <v>34</v>
      </c>
      <c r="L12" s="1097"/>
      <c r="M12" s="1097"/>
      <c r="N12" s="1097"/>
      <c r="O12" s="1091"/>
      <c r="P12" s="1103"/>
      <c r="Q12" s="1091"/>
      <c r="R12" s="1103"/>
      <c r="S12" s="1104"/>
      <c r="T12" s="1105"/>
      <c r="U12" s="1091"/>
      <c r="V12" s="1091"/>
      <c r="W12" s="1103"/>
      <c r="X12" s="2407"/>
      <c r="Y12" s="2407"/>
      <c r="Z12" s="2407"/>
      <c r="AA12" s="2407"/>
      <c r="AB12" s="2407"/>
      <c r="AC12" s="68"/>
      <c r="AD12" s="68"/>
      <c r="AE12" s="384"/>
      <c r="AF12" s="384"/>
      <c r="AG12" s="384"/>
      <c r="AH12" s="384"/>
      <c r="AI12" s="384"/>
      <c r="AJ12" s="384"/>
      <c r="AK12" s="384"/>
      <c r="AL12" s="384"/>
      <c r="AM12" s="384"/>
      <c r="AN12" s="384"/>
      <c r="AO12" s="384"/>
      <c r="AP12" s="384"/>
      <c r="AQ12" s="384"/>
      <c r="AR12" s="384"/>
      <c r="AS12" s="384"/>
      <c r="AT12" s="384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</row>
    <row r="13" spans="1:81" ht="12.75">
      <c r="A13" s="1106"/>
      <c r="B13" s="1106" t="s">
        <v>35</v>
      </c>
      <c r="C13" s="1107" t="s">
        <v>36</v>
      </c>
      <c r="D13" s="1107"/>
      <c r="E13" s="1107"/>
      <c r="F13" s="1108" t="s">
        <v>37</v>
      </c>
      <c r="G13" s="1108" t="s">
        <v>38</v>
      </c>
      <c r="H13" s="1108" t="s">
        <v>39</v>
      </c>
      <c r="I13" s="1108" t="s">
        <v>40</v>
      </c>
      <c r="J13" s="1108" t="s">
        <v>41</v>
      </c>
      <c r="K13" s="1108" t="s">
        <v>42</v>
      </c>
      <c r="L13" s="1108" t="s">
        <v>43</v>
      </c>
      <c r="M13" s="1108" t="s">
        <v>44</v>
      </c>
      <c r="N13" s="1108" t="s">
        <v>45</v>
      </c>
      <c r="O13" s="1107"/>
      <c r="P13" s="1108" t="s">
        <v>37</v>
      </c>
      <c r="Q13" s="1107" t="s">
        <v>46</v>
      </c>
      <c r="R13" s="1107"/>
      <c r="S13" s="1109" t="s">
        <v>47</v>
      </c>
      <c r="T13" s="1110" t="s">
        <v>48</v>
      </c>
      <c r="U13" s="1107"/>
      <c r="V13" s="1107"/>
      <c r="W13" s="1108" t="s">
        <v>37</v>
      </c>
      <c r="X13" s="1232" t="s">
        <v>86</v>
      </c>
      <c r="Y13" s="1232"/>
      <c r="Z13" s="1232"/>
      <c r="AA13" s="1232"/>
      <c r="AB13" s="1232"/>
      <c r="AC13" s="68"/>
      <c r="AD13" s="68"/>
      <c r="AE13" s="384"/>
      <c r="AF13" s="384"/>
      <c r="AG13" s="384"/>
      <c r="AH13" s="384"/>
      <c r="AI13" s="384"/>
      <c r="AJ13" s="384"/>
      <c r="AK13" s="384"/>
      <c r="AL13" s="384"/>
      <c r="AM13" s="384"/>
      <c r="AN13" s="384"/>
      <c r="AO13" s="384"/>
      <c r="AP13" s="384"/>
      <c r="AQ13" s="384"/>
      <c r="AR13" s="384"/>
      <c r="AS13" s="384"/>
      <c r="AT13" s="384"/>
      <c r="AU13" s="384"/>
      <c r="AV13" s="384"/>
      <c r="AW13" s="384"/>
      <c r="AX13" s="384"/>
      <c r="AY13" s="384"/>
      <c r="AZ13" s="384"/>
      <c r="BA13" s="384"/>
      <c r="BB13" s="384"/>
      <c r="BC13" s="384"/>
      <c r="BD13" s="384"/>
      <c r="BE13" s="384"/>
      <c r="BF13" s="384"/>
      <c r="BG13" s="384"/>
      <c r="BH13" s="384"/>
      <c r="BI13" s="384"/>
      <c r="BJ13" s="384"/>
      <c r="BK13" s="384"/>
      <c r="BL13" s="384"/>
      <c r="BM13" s="384"/>
      <c r="BN13" s="384"/>
      <c r="BO13" s="384"/>
      <c r="BP13" s="384"/>
      <c r="BQ13" s="384"/>
      <c r="BR13" s="384"/>
      <c r="BS13" s="384"/>
      <c r="BT13" s="384"/>
      <c r="BU13" s="384"/>
      <c r="BV13" s="384"/>
      <c r="BW13" s="384"/>
      <c r="BX13" s="384"/>
      <c r="BY13" s="384"/>
      <c r="BZ13" s="384"/>
      <c r="CA13" s="384"/>
      <c r="CB13" s="384"/>
      <c r="CC13" s="384"/>
    </row>
    <row r="14" spans="1:81" ht="12.75">
      <c r="A14" s="1111"/>
      <c r="B14" s="121"/>
      <c r="C14" s="191"/>
      <c r="D14" s="519"/>
      <c r="E14" s="520"/>
      <c r="F14" s="124"/>
      <c r="G14" s="124"/>
      <c r="H14" s="124"/>
      <c r="I14" s="124"/>
      <c r="J14" s="124"/>
      <c r="K14" s="124"/>
      <c r="L14" s="124"/>
      <c r="M14" s="124"/>
      <c r="N14" s="124"/>
      <c r="O14" s="191"/>
      <c r="P14" s="124"/>
      <c r="Q14" s="191"/>
      <c r="R14" s="191"/>
      <c r="S14" s="995"/>
      <c r="T14" s="894"/>
      <c r="U14" s="191"/>
      <c r="V14" s="520"/>
      <c r="W14" s="124"/>
      <c r="X14" s="124"/>
      <c r="Y14" s="124"/>
      <c r="Z14" s="124"/>
      <c r="AA14" s="191"/>
      <c r="AB14" s="894"/>
      <c r="AC14" s="68"/>
      <c r="AD14" s="68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384"/>
      <c r="AU14" s="384"/>
      <c r="AV14" s="384"/>
      <c r="AW14" s="384"/>
      <c r="AX14" s="384"/>
      <c r="AY14" s="384"/>
      <c r="AZ14" s="384"/>
      <c r="BA14" s="384"/>
      <c r="BB14" s="384"/>
      <c r="BC14" s="384"/>
      <c r="BD14" s="384"/>
      <c r="BE14" s="384"/>
      <c r="BF14" s="384"/>
      <c r="BG14" s="384"/>
      <c r="BH14" s="384"/>
      <c r="BI14" s="384"/>
      <c r="BJ14" s="384"/>
      <c r="BK14" s="384"/>
      <c r="BL14" s="384"/>
      <c r="BM14" s="384"/>
      <c r="BN14" s="384"/>
      <c r="BO14" s="384"/>
      <c r="BP14" s="384"/>
      <c r="BQ14" s="384"/>
      <c r="BR14" s="384"/>
      <c r="BS14" s="384"/>
      <c r="BT14" s="384"/>
      <c r="BU14" s="384"/>
      <c r="BV14" s="384"/>
      <c r="BW14" s="384"/>
      <c r="BX14" s="384"/>
      <c r="BY14" s="384"/>
      <c r="BZ14" s="384"/>
      <c r="CA14" s="384"/>
      <c r="CB14" s="384"/>
      <c r="CC14" s="384"/>
    </row>
    <row r="15" spans="1:81" ht="15" customHeight="1">
      <c r="A15" s="1111"/>
      <c r="B15" s="330"/>
      <c r="C15" s="124">
        <v>0</v>
      </c>
      <c r="D15" s="519"/>
      <c r="E15" s="520"/>
      <c r="F15" s="124"/>
      <c r="G15" s="124"/>
      <c r="H15" s="124"/>
      <c r="I15" s="124"/>
      <c r="J15" s="124"/>
      <c r="K15" s="124"/>
      <c r="L15" s="124"/>
      <c r="M15" s="124"/>
      <c r="N15" s="124"/>
      <c r="O15" s="191"/>
      <c r="P15" s="124"/>
      <c r="Q15" s="191"/>
      <c r="R15" s="191"/>
      <c r="S15" s="995"/>
      <c r="T15" s="894"/>
      <c r="U15" s="191"/>
      <c r="V15" s="520"/>
      <c r="W15" s="124">
        <v>0</v>
      </c>
      <c r="X15" s="124"/>
      <c r="Y15" s="124"/>
      <c r="Z15" s="124"/>
      <c r="AA15" s="191"/>
      <c r="AB15" s="894"/>
      <c r="AC15" s="68"/>
      <c r="AD15" s="68"/>
      <c r="AE15" s="384"/>
      <c r="AF15" s="384"/>
      <c r="AG15" s="384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384"/>
      <c r="AU15" s="384"/>
      <c r="AV15" s="384"/>
      <c r="AW15" s="384"/>
      <c r="AX15" s="384"/>
      <c r="AY15" s="384"/>
      <c r="AZ15" s="384"/>
      <c r="BA15" s="384"/>
      <c r="BB15" s="384"/>
      <c r="BC15" s="384"/>
      <c r="BD15" s="384"/>
      <c r="BE15" s="384"/>
      <c r="BF15" s="384"/>
      <c r="BG15" s="384"/>
      <c r="BH15" s="384"/>
      <c r="BI15" s="384"/>
      <c r="BJ15" s="384"/>
      <c r="BK15" s="384"/>
      <c r="BL15" s="384"/>
      <c r="BM15" s="384"/>
      <c r="BN15" s="384"/>
      <c r="BO15" s="384"/>
      <c r="BP15" s="384"/>
      <c r="BQ15" s="384"/>
      <c r="BR15" s="384"/>
      <c r="BS15" s="384"/>
      <c r="BT15" s="384"/>
      <c r="BU15" s="384"/>
      <c r="BV15" s="384"/>
      <c r="BW15" s="384"/>
      <c r="BX15" s="384"/>
      <c r="BY15" s="384"/>
      <c r="BZ15" s="384"/>
      <c r="CA15" s="384"/>
      <c r="CB15" s="384"/>
      <c r="CC15" s="384"/>
    </row>
    <row r="16" spans="1:81" ht="21.75" customHeight="1">
      <c r="A16" s="1350">
        <v>1</v>
      </c>
      <c r="B16" s="1353" t="s">
        <v>284</v>
      </c>
      <c r="C16" s="124">
        <v>204000</v>
      </c>
      <c r="D16" s="519">
        <v>204000</v>
      </c>
      <c r="E16" s="520">
        <v>1</v>
      </c>
      <c r="F16" s="124">
        <v>204000</v>
      </c>
      <c r="G16" s="124"/>
      <c r="H16" s="124"/>
      <c r="I16" s="124">
        <f>+W16</f>
        <v>204000</v>
      </c>
      <c r="J16" s="124">
        <f>204000*0.5</f>
        <v>102000</v>
      </c>
      <c r="K16" s="124"/>
      <c r="L16" s="500">
        <f>I16-J16+K16</f>
        <v>102000</v>
      </c>
      <c r="M16" s="124"/>
      <c r="N16" s="124"/>
      <c r="O16" s="191">
        <v>0.5</v>
      </c>
      <c r="P16" s="124">
        <f>+O16*D16</f>
        <v>102000</v>
      </c>
      <c r="Q16" s="191">
        <v>0.5</v>
      </c>
      <c r="R16" s="191">
        <f>+Q16*D16</f>
        <v>102000</v>
      </c>
      <c r="S16" s="191">
        <f t="shared" ref="S16:S27" si="0">+P16-R16</f>
        <v>0</v>
      </c>
      <c r="T16" s="995">
        <f>+W16-L16</f>
        <v>102000</v>
      </c>
      <c r="U16" s="519">
        <v>204000</v>
      </c>
      <c r="V16" s="520">
        <v>1</v>
      </c>
      <c r="W16" s="124">
        <v>204000</v>
      </c>
      <c r="X16" s="886">
        <v>102000</v>
      </c>
      <c r="Y16" s="124"/>
      <c r="Z16" s="124">
        <v>102000</v>
      </c>
      <c r="AA16" s="191">
        <v>0</v>
      </c>
      <c r="AB16" s="877">
        <v>204000</v>
      </c>
      <c r="AC16" s="523"/>
      <c r="AD16" s="523"/>
      <c r="AE16" s="524"/>
      <c r="AF16" s="524"/>
      <c r="AG16" s="524"/>
      <c r="AH16" s="524"/>
      <c r="AI16" s="524"/>
      <c r="AJ16" s="524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4"/>
      <c r="AX16" s="524"/>
      <c r="AY16" s="524"/>
      <c r="AZ16" s="524"/>
      <c r="BA16" s="524"/>
      <c r="BB16" s="524"/>
      <c r="BC16" s="524"/>
      <c r="BD16" s="524"/>
      <c r="BE16" s="524"/>
      <c r="BF16" s="524"/>
      <c r="BG16" s="524"/>
      <c r="BH16" s="524"/>
      <c r="BI16" s="524"/>
      <c r="BJ16" s="524"/>
      <c r="BK16" s="524"/>
      <c r="BL16" s="524"/>
      <c r="BM16" s="524"/>
      <c r="BN16" s="524"/>
      <c r="BO16" s="524"/>
      <c r="BP16" s="524"/>
      <c r="BQ16" s="524"/>
      <c r="BR16" s="524"/>
      <c r="BS16" s="524"/>
      <c r="BT16" s="524"/>
      <c r="BU16" s="524"/>
      <c r="BV16" s="524"/>
      <c r="BW16" s="524"/>
      <c r="BX16" s="524"/>
      <c r="BY16" s="524"/>
      <c r="BZ16" s="524"/>
      <c r="CA16" s="524"/>
      <c r="CB16" s="524"/>
      <c r="CC16" s="524"/>
    </row>
    <row r="17" spans="1:81" ht="21.75" customHeight="1">
      <c r="A17" s="997">
        <v>2</v>
      </c>
      <c r="B17" s="525" t="s">
        <v>285</v>
      </c>
      <c r="C17" s="124">
        <v>132000</v>
      </c>
      <c r="D17" s="131">
        <v>132000</v>
      </c>
      <c r="E17" s="132">
        <v>1</v>
      </c>
      <c r="F17" s="124">
        <v>132000</v>
      </c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91"/>
      <c r="S17" s="191">
        <f t="shared" si="0"/>
        <v>0</v>
      </c>
      <c r="T17" s="995">
        <f>+W17-L17</f>
        <v>132000</v>
      </c>
      <c r="U17" s="131">
        <v>132000</v>
      </c>
      <c r="V17" s="132">
        <v>1</v>
      </c>
      <c r="W17" s="124">
        <v>132000</v>
      </c>
      <c r="X17" s="124"/>
      <c r="Y17" s="124"/>
      <c r="Z17" s="124"/>
      <c r="AA17" s="191"/>
      <c r="AB17" s="877">
        <v>132000</v>
      </c>
      <c r="AC17" s="1978"/>
      <c r="AD17" s="1978"/>
      <c r="AE17" s="1978"/>
      <c r="AF17" s="1978"/>
      <c r="AG17" s="1978"/>
      <c r="AH17" s="1978"/>
      <c r="AI17" s="516"/>
      <c r="AJ17" s="516"/>
      <c r="AK17" s="516"/>
      <c r="AL17" s="516"/>
      <c r="AM17" s="516"/>
      <c r="AN17" s="516"/>
      <c r="AO17" s="516"/>
      <c r="AP17" s="516"/>
      <c r="AQ17" s="516"/>
      <c r="AR17" s="516"/>
      <c r="AS17" s="516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516"/>
      <c r="BI17" s="516"/>
      <c r="BJ17" s="516"/>
      <c r="BK17" s="516"/>
      <c r="BL17" s="516"/>
      <c r="BM17" s="516"/>
      <c r="BN17" s="516"/>
      <c r="BO17" s="516"/>
      <c r="BP17" s="516"/>
      <c r="BQ17" s="516"/>
      <c r="BR17" s="516"/>
      <c r="BS17" s="516"/>
      <c r="BT17" s="516"/>
      <c r="BU17" s="516"/>
      <c r="BV17" s="516"/>
      <c r="BW17" s="516"/>
      <c r="BX17" s="516"/>
      <c r="BY17" s="516"/>
      <c r="BZ17" s="516"/>
      <c r="CA17" s="516"/>
      <c r="CB17" s="516"/>
      <c r="CC17" s="516"/>
    </row>
    <row r="18" spans="1:81" ht="21.75" customHeight="1">
      <c r="A18" s="1351">
        <v>3</v>
      </c>
      <c r="B18" s="168" t="s">
        <v>286</v>
      </c>
      <c r="C18" s="124">
        <v>108000</v>
      </c>
      <c r="D18" s="131">
        <v>108000</v>
      </c>
      <c r="E18" s="132">
        <v>1</v>
      </c>
      <c r="F18" s="124">
        <v>108000</v>
      </c>
      <c r="G18" s="143"/>
      <c r="H18" s="143"/>
      <c r="I18" s="124"/>
      <c r="J18" s="143"/>
      <c r="K18" s="143"/>
      <c r="L18" s="124"/>
      <c r="M18" s="143"/>
      <c r="N18" s="143"/>
      <c r="O18" s="143"/>
      <c r="P18" s="143"/>
      <c r="Q18" s="141"/>
      <c r="R18" s="124"/>
      <c r="S18" s="191">
        <f t="shared" si="0"/>
        <v>0</v>
      </c>
      <c r="T18" s="995">
        <f>+W18-L18</f>
        <v>108000</v>
      </c>
      <c r="U18" s="131">
        <v>108000</v>
      </c>
      <c r="V18" s="132">
        <v>1</v>
      </c>
      <c r="W18" s="124">
        <v>108000</v>
      </c>
      <c r="X18" s="124"/>
      <c r="Y18" s="143"/>
      <c r="Z18" s="143"/>
      <c r="AA18" s="124"/>
      <c r="AB18" s="143">
        <v>108000</v>
      </c>
      <c r="AC18" s="1978"/>
      <c r="AD18" s="1978"/>
      <c r="AE18" s="1978"/>
      <c r="AF18" s="1978"/>
      <c r="AG18" s="1978"/>
      <c r="AH18" s="1978"/>
      <c r="AI18" s="516"/>
      <c r="AJ18" s="516"/>
      <c r="AK18" s="516"/>
      <c r="AL18" s="516"/>
      <c r="AM18" s="516"/>
      <c r="AN18" s="516"/>
      <c r="AO18" s="516"/>
      <c r="AP18" s="516"/>
      <c r="AQ18" s="516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  <c r="BC18" s="516"/>
      <c r="BD18" s="516"/>
      <c r="BE18" s="516"/>
      <c r="BF18" s="516"/>
      <c r="BG18" s="516"/>
      <c r="BH18" s="516"/>
      <c r="BI18" s="516"/>
      <c r="BJ18" s="516"/>
      <c r="BK18" s="516"/>
      <c r="BL18" s="516"/>
      <c r="BM18" s="516"/>
      <c r="BN18" s="516"/>
      <c r="BO18" s="516"/>
      <c r="BP18" s="516"/>
      <c r="BQ18" s="516"/>
      <c r="BR18" s="516"/>
      <c r="BS18" s="516"/>
      <c r="BT18" s="516"/>
      <c r="BU18" s="516"/>
      <c r="BV18" s="516"/>
      <c r="BW18" s="516"/>
      <c r="BX18" s="516"/>
      <c r="BY18" s="516"/>
      <c r="BZ18" s="516"/>
      <c r="CA18" s="516"/>
      <c r="CB18" s="516"/>
      <c r="CC18" s="516"/>
    </row>
    <row r="19" spans="1:81" ht="21.75" customHeight="1">
      <c r="A19" s="781">
        <v>4</v>
      </c>
      <c r="B19" s="1353" t="s">
        <v>287</v>
      </c>
      <c r="C19" s="124">
        <v>72000</v>
      </c>
      <c r="D19" s="131">
        <v>72000</v>
      </c>
      <c r="E19" s="132">
        <v>1</v>
      </c>
      <c r="F19" s="124">
        <v>72000</v>
      </c>
      <c r="G19" s="143"/>
      <c r="H19" s="143"/>
      <c r="I19" s="124"/>
      <c r="J19" s="143"/>
      <c r="K19" s="143"/>
      <c r="L19" s="124"/>
      <c r="M19" s="143"/>
      <c r="N19" s="143"/>
      <c r="O19" s="143"/>
      <c r="P19" s="140"/>
      <c r="Q19" s="141"/>
      <c r="R19" s="124"/>
      <c r="S19" s="191">
        <f t="shared" si="0"/>
        <v>0</v>
      </c>
      <c r="T19" s="995">
        <f>+W19-L19</f>
        <v>72000</v>
      </c>
      <c r="U19" s="131">
        <v>72000</v>
      </c>
      <c r="V19" s="132">
        <v>1</v>
      </c>
      <c r="W19" s="124">
        <v>72000</v>
      </c>
      <c r="X19" s="124"/>
      <c r="Y19" s="143"/>
      <c r="Z19" s="140"/>
      <c r="AA19" s="124"/>
      <c r="AB19" s="143">
        <v>72000</v>
      </c>
      <c r="AC19" s="1978"/>
      <c r="AD19" s="1978"/>
      <c r="AE19" s="1978"/>
      <c r="AF19" s="1978"/>
      <c r="AG19" s="1978"/>
      <c r="AH19" s="1978"/>
      <c r="AI19" s="516"/>
      <c r="AJ19" s="516"/>
      <c r="AK19" s="516"/>
      <c r="AL19" s="516"/>
      <c r="AM19" s="516"/>
      <c r="AN19" s="516"/>
      <c r="AO19" s="516"/>
      <c r="AP19" s="516"/>
      <c r="AQ19" s="516"/>
      <c r="AR19" s="516"/>
      <c r="AS19" s="516"/>
      <c r="AT19" s="516"/>
      <c r="AU19" s="516"/>
      <c r="AV19" s="516"/>
      <c r="AW19" s="516"/>
      <c r="AX19" s="516"/>
      <c r="AY19" s="516"/>
      <c r="AZ19" s="516"/>
      <c r="BA19" s="516"/>
      <c r="BB19" s="516"/>
      <c r="BC19" s="516"/>
      <c r="BD19" s="516"/>
      <c r="BE19" s="516"/>
      <c r="BF19" s="516"/>
      <c r="BG19" s="516"/>
      <c r="BH19" s="516"/>
      <c r="BI19" s="516"/>
      <c r="BJ19" s="516"/>
      <c r="BK19" s="516"/>
      <c r="BL19" s="516"/>
      <c r="BM19" s="516"/>
      <c r="BN19" s="516"/>
      <c r="BO19" s="516"/>
      <c r="BP19" s="516"/>
      <c r="BQ19" s="516"/>
      <c r="BR19" s="516"/>
      <c r="BS19" s="516"/>
      <c r="BT19" s="516"/>
      <c r="BU19" s="516"/>
      <c r="BV19" s="516"/>
      <c r="BW19" s="516"/>
      <c r="BX19" s="516"/>
      <c r="BY19" s="516"/>
      <c r="BZ19" s="516"/>
      <c r="CA19" s="516"/>
      <c r="CB19" s="516"/>
      <c r="CC19" s="516"/>
    </row>
    <row r="20" spans="1:81">
      <c r="A20" s="1352"/>
      <c r="B20" s="142"/>
      <c r="C20" s="124"/>
      <c r="D20" s="131"/>
      <c r="E20" s="132"/>
      <c r="F20" s="124"/>
      <c r="G20" s="143"/>
      <c r="H20" s="143"/>
      <c r="I20" s="143"/>
      <c r="J20" s="143"/>
      <c r="K20" s="143"/>
      <c r="L20" s="143"/>
      <c r="M20" s="143"/>
      <c r="N20" s="143"/>
      <c r="O20" s="143"/>
      <c r="P20" s="140"/>
      <c r="Q20" s="141"/>
      <c r="R20" s="124"/>
      <c r="S20" s="191">
        <f t="shared" si="0"/>
        <v>0</v>
      </c>
      <c r="T20" s="143"/>
      <c r="U20" s="144"/>
      <c r="V20" s="132"/>
      <c r="W20" s="124"/>
      <c r="X20" s="143"/>
      <c r="Y20" s="143"/>
      <c r="Z20" s="140"/>
      <c r="AA20" s="124"/>
      <c r="AB20" s="143"/>
      <c r="AC20" s="1978"/>
      <c r="AD20" s="1978"/>
      <c r="AE20" s="1978"/>
      <c r="AF20" s="1978"/>
      <c r="AG20" s="1978"/>
      <c r="AH20" s="1978"/>
      <c r="AI20" s="516"/>
      <c r="AJ20" s="516"/>
      <c r="AK20" s="516"/>
      <c r="AL20" s="516"/>
      <c r="AM20" s="516"/>
      <c r="AN20" s="516"/>
      <c r="AO20" s="516"/>
      <c r="AP20" s="516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6"/>
      <c r="BC20" s="516"/>
      <c r="BD20" s="516"/>
      <c r="BE20" s="516"/>
      <c r="BF20" s="516"/>
      <c r="BG20" s="516"/>
      <c r="BH20" s="516"/>
      <c r="BI20" s="516"/>
      <c r="BJ20" s="516"/>
      <c r="BK20" s="516"/>
      <c r="BL20" s="516"/>
      <c r="BM20" s="516"/>
      <c r="BN20" s="516"/>
      <c r="BO20" s="516"/>
      <c r="BP20" s="516"/>
      <c r="BQ20" s="516"/>
      <c r="BR20" s="516"/>
      <c r="BS20" s="516"/>
      <c r="BT20" s="516"/>
      <c r="BU20" s="516"/>
      <c r="BV20" s="516"/>
      <c r="BW20" s="516"/>
      <c r="BX20" s="516"/>
      <c r="BY20" s="516"/>
      <c r="BZ20" s="516"/>
      <c r="CA20" s="516"/>
      <c r="CB20" s="516"/>
      <c r="CC20" s="516"/>
    </row>
    <row r="21" spans="1:81">
      <c r="A21" s="146"/>
      <c r="B21" s="142"/>
      <c r="C21" s="124"/>
      <c r="D21" s="131"/>
      <c r="E21" s="132"/>
      <c r="F21" s="124"/>
      <c r="G21" s="143"/>
      <c r="H21" s="143"/>
      <c r="I21" s="143"/>
      <c r="J21" s="143"/>
      <c r="K21" s="143"/>
      <c r="L21" s="143"/>
      <c r="M21" s="143"/>
      <c r="N21" s="143"/>
      <c r="O21" s="143"/>
      <c r="P21" s="124"/>
      <c r="Q21" s="141"/>
      <c r="R21" s="143"/>
      <c r="S21" s="191">
        <f t="shared" si="0"/>
        <v>0</v>
      </c>
      <c r="T21" s="143"/>
      <c r="U21" s="144"/>
      <c r="V21" s="132"/>
      <c r="W21" s="124"/>
      <c r="X21" s="143"/>
      <c r="Y21" s="143"/>
      <c r="Z21" s="124"/>
      <c r="AA21" s="143"/>
      <c r="AB21" s="143"/>
      <c r="AC21" s="1978"/>
      <c r="AD21" s="1978"/>
      <c r="AE21" s="1978"/>
      <c r="AF21" s="1978"/>
      <c r="AG21" s="1978"/>
      <c r="AH21" s="1978"/>
      <c r="AI21" s="516"/>
      <c r="AJ21" s="516"/>
      <c r="AK21" s="516"/>
      <c r="AL21" s="516"/>
      <c r="AM21" s="516"/>
      <c r="AN21" s="516"/>
      <c r="AO21" s="516"/>
      <c r="AP21" s="516"/>
      <c r="AQ21" s="516"/>
      <c r="AR21" s="516"/>
      <c r="AS21" s="516"/>
      <c r="AT21" s="516"/>
      <c r="AU21" s="516"/>
      <c r="AV21" s="516"/>
      <c r="AW21" s="516"/>
      <c r="AX21" s="516"/>
      <c r="AY21" s="516"/>
      <c r="AZ21" s="516"/>
      <c r="BA21" s="516"/>
      <c r="BB21" s="516"/>
      <c r="BC21" s="516"/>
      <c r="BD21" s="516"/>
      <c r="BE21" s="516"/>
      <c r="BF21" s="516"/>
      <c r="BG21" s="516"/>
      <c r="BH21" s="516"/>
      <c r="BI21" s="516"/>
      <c r="BJ21" s="516"/>
      <c r="BK21" s="516"/>
      <c r="BL21" s="516"/>
      <c r="BM21" s="516"/>
      <c r="BN21" s="516"/>
      <c r="BO21" s="516"/>
      <c r="BP21" s="516"/>
      <c r="BQ21" s="516"/>
      <c r="BR21" s="516"/>
      <c r="BS21" s="516"/>
      <c r="BT21" s="516"/>
      <c r="BU21" s="516"/>
      <c r="BV21" s="516"/>
      <c r="BW21" s="516"/>
      <c r="BX21" s="516"/>
      <c r="BY21" s="516"/>
      <c r="BZ21" s="516"/>
      <c r="CA21" s="516"/>
      <c r="CB21" s="516"/>
      <c r="CC21" s="516"/>
    </row>
    <row r="22" spans="1:81">
      <c r="A22" s="146"/>
      <c r="B22" s="142"/>
      <c r="C22" s="124"/>
      <c r="D22" s="131"/>
      <c r="E22" s="132"/>
      <c r="F22" s="124"/>
      <c r="G22" s="143"/>
      <c r="H22" s="143"/>
      <c r="I22" s="143"/>
      <c r="J22" s="143"/>
      <c r="K22" s="143"/>
      <c r="L22" s="143"/>
      <c r="M22" s="143"/>
      <c r="N22" s="143"/>
      <c r="O22" s="143"/>
      <c r="P22" s="124"/>
      <c r="Q22" s="141"/>
      <c r="R22" s="143"/>
      <c r="S22" s="191">
        <f t="shared" si="0"/>
        <v>0</v>
      </c>
      <c r="T22" s="143"/>
      <c r="U22" s="144"/>
      <c r="V22" s="132"/>
      <c r="W22" s="124"/>
      <c r="X22" s="143"/>
      <c r="Y22" s="143"/>
      <c r="Z22" s="124"/>
      <c r="AA22" s="143"/>
      <c r="AB22" s="143"/>
      <c r="AC22" s="1978"/>
      <c r="AD22" s="1978"/>
      <c r="AE22" s="1978"/>
      <c r="AF22" s="1978"/>
      <c r="AG22" s="1978"/>
      <c r="AH22" s="1978"/>
      <c r="AI22" s="516"/>
      <c r="AJ22" s="516"/>
      <c r="AK22" s="516"/>
      <c r="AL22" s="516"/>
      <c r="AM22" s="516"/>
      <c r="AN22" s="516"/>
      <c r="AO22" s="516"/>
      <c r="AP22" s="516"/>
      <c r="AQ22" s="516"/>
      <c r="AR22" s="516"/>
      <c r="AS22" s="516"/>
      <c r="AT22" s="516"/>
      <c r="AU22" s="516"/>
      <c r="AV22" s="516"/>
      <c r="AW22" s="516"/>
      <c r="AX22" s="516"/>
      <c r="AY22" s="516"/>
      <c r="AZ22" s="516"/>
      <c r="BA22" s="516"/>
      <c r="BB22" s="516"/>
      <c r="BC22" s="516"/>
      <c r="BD22" s="516"/>
      <c r="BE22" s="516"/>
      <c r="BF22" s="516"/>
      <c r="BG22" s="516"/>
      <c r="BH22" s="516"/>
      <c r="BI22" s="516"/>
      <c r="BJ22" s="516"/>
      <c r="BK22" s="516"/>
      <c r="BL22" s="516"/>
      <c r="BM22" s="516"/>
      <c r="BN22" s="516"/>
      <c r="BO22" s="516"/>
      <c r="BP22" s="516"/>
      <c r="BQ22" s="516"/>
      <c r="BR22" s="516"/>
      <c r="BS22" s="516"/>
      <c r="BT22" s="516"/>
      <c r="BU22" s="516"/>
      <c r="BV22" s="516"/>
      <c r="BW22" s="516"/>
      <c r="BX22" s="516"/>
      <c r="BY22" s="516"/>
      <c r="BZ22" s="516"/>
      <c r="CA22" s="516"/>
      <c r="CB22" s="516"/>
      <c r="CC22" s="516"/>
    </row>
    <row r="23" spans="1:81">
      <c r="A23" s="146"/>
      <c r="B23" s="142"/>
      <c r="C23" s="124"/>
      <c r="D23" s="131"/>
      <c r="E23" s="132"/>
      <c r="F23" s="124"/>
      <c r="G23" s="143"/>
      <c r="H23" s="143"/>
      <c r="I23" s="143"/>
      <c r="J23" s="143"/>
      <c r="K23" s="143"/>
      <c r="L23" s="143"/>
      <c r="M23" s="143"/>
      <c r="N23" s="143"/>
      <c r="O23" s="143"/>
      <c r="P23" s="124"/>
      <c r="Q23" s="141"/>
      <c r="R23" s="143"/>
      <c r="S23" s="191">
        <f t="shared" si="0"/>
        <v>0</v>
      </c>
      <c r="T23" s="143"/>
      <c r="U23" s="144"/>
      <c r="V23" s="132"/>
      <c r="W23" s="124"/>
      <c r="X23" s="143"/>
      <c r="Y23" s="143"/>
      <c r="Z23" s="124"/>
      <c r="AA23" s="143"/>
      <c r="AB23" s="143"/>
      <c r="AC23" s="1978"/>
      <c r="AD23" s="1978"/>
      <c r="AE23" s="1978"/>
      <c r="AF23" s="1978"/>
      <c r="AG23" s="1978"/>
      <c r="AH23" s="1978"/>
      <c r="AI23" s="516"/>
      <c r="AJ23" s="516"/>
      <c r="AK23" s="516"/>
      <c r="AL23" s="516"/>
      <c r="AM23" s="516"/>
      <c r="AN23" s="516"/>
      <c r="AO23" s="516"/>
      <c r="AP23" s="516"/>
      <c r="AQ23" s="516"/>
      <c r="AR23" s="516"/>
      <c r="AS23" s="516"/>
      <c r="AT23" s="516"/>
      <c r="AU23" s="516"/>
      <c r="AV23" s="516"/>
      <c r="AW23" s="516"/>
      <c r="AX23" s="516"/>
      <c r="AY23" s="516"/>
      <c r="AZ23" s="516"/>
      <c r="BA23" s="516"/>
      <c r="BB23" s="516"/>
      <c r="BC23" s="516"/>
      <c r="BD23" s="516"/>
      <c r="BE23" s="516"/>
      <c r="BF23" s="516"/>
      <c r="BG23" s="516"/>
      <c r="BH23" s="516"/>
      <c r="BI23" s="516"/>
      <c r="BJ23" s="516"/>
      <c r="BK23" s="516"/>
      <c r="BL23" s="516"/>
      <c r="BM23" s="516"/>
      <c r="BN23" s="516"/>
      <c r="BO23" s="516"/>
      <c r="BP23" s="516"/>
      <c r="BQ23" s="516"/>
      <c r="BR23" s="516"/>
      <c r="BS23" s="516"/>
      <c r="BT23" s="516"/>
      <c r="BU23" s="516"/>
      <c r="BV23" s="516"/>
      <c r="BW23" s="516"/>
      <c r="BX23" s="516"/>
      <c r="BY23" s="516"/>
      <c r="BZ23" s="516"/>
      <c r="CA23" s="516"/>
      <c r="CB23" s="516"/>
      <c r="CC23" s="516"/>
    </row>
    <row r="24" spans="1:81">
      <c r="A24" s="132"/>
      <c r="B24" s="145"/>
      <c r="C24" s="124"/>
      <c r="D24" s="131"/>
      <c r="E24" s="132"/>
      <c r="F24" s="124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1"/>
      <c r="R24" s="143"/>
      <c r="S24" s="191">
        <f t="shared" si="0"/>
        <v>0</v>
      </c>
      <c r="T24" s="143"/>
      <c r="U24" s="144"/>
      <c r="V24" s="132"/>
      <c r="W24" s="124"/>
      <c r="X24" s="143"/>
      <c r="Y24" s="143"/>
      <c r="Z24" s="143"/>
      <c r="AA24" s="143"/>
      <c r="AB24" s="143"/>
      <c r="AC24" s="1978"/>
      <c r="AD24" s="1978"/>
      <c r="AE24" s="1978"/>
      <c r="AF24" s="1978"/>
      <c r="AG24" s="1978"/>
      <c r="AH24" s="1978"/>
      <c r="AI24" s="516"/>
      <c r="AJ24" s="516"/>
      <c r="AK24" s="516"/>
      <c r="AL24" s="516"/>
      <c r="AM24" s="516"/>
      <c r="AN24" s="516"/>
      <c r="AO24" s="516"/>
      <c r="AP24" s="516"/>
      <c r="AQ24" s="516"/>
      <c r="AR24" s="516"/>
      <c r="AS24" s="516"/>
      <c r="AT24" s="516"/>
      <c r="AU24" s="516"/>
      <c r="AV24" s="516"/>
      <c r="AW24" s="516"/>
      <c r="AX24" s="516"/>
      <c r="AY24" s="516"/>
      <c r="AZ24" s="516"/>
      <c r="BA24" s="516"/>
      <c r="BB24" s="516"/>
      <c r="BC24" s="516"/>
      <c r="BD24" s="516"/>
      <c r="BE24" s="516"/>
      <c r="BF24" s="516"/>
      <c r="BG24" s="516"/>
      <c r="BH24" s="516"/>
      <c r="BI24" s="516"/>
      <c r="BJ24" s="516"/>
      <c r="BK24" s="516"/>
      <c r="BL24" s="516"/>
      <c r="BM24" s="516"/>
      <c r="BN24" s="516"/>
      <c r="BO24" s="516"/>
      <c r="BP24" s="516"/>
      <c r="BQ24" s="516"/>
      <c r="BR24" s="516"/>
      <c r="BS24" s="516"/>
      <c r="BT24" s="516"/>
      <c r="BU24" s="516"/>
      <c r="BV24" s="516"/>
      <c r="BW24" s="516"/>
      <c r="BX24" s="516"/>
      <c r="BY24" s="516"/>
      <c r="BZ24" s="516"/>
      <c r="CA24" s="516"/>
      <c r="CB24" s="516"/>
      <c r="CC24" s="516"/>
    </row>
    <row r="25" spans="1:81">
      <c r="A25" s="132"/>
      <c r="B25" s="145"/>
      <c r="C25" s="124"/>
      <c r="D25" s="131"/>
      <c r="E25" s="146"/>
      <c r="F25" s="124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7"/>
      <c r="R25" s="124"/>
      <c r="S25" s="191">
        <f t="shared" si="0"/>
        <v>0</v>
      </c>
      <c r="T25" s="143"/>
      <c r="U25" s="144"/>
      <c r="V25" s="146"/>
      <c r="W25" s="124"/>
      <c r="X25" s="143"/>
      <c r="Y25" s="143"/>
      <c r="Z25" s="143"/>
      <c r="AA25" s="124"/>
      <c r="AB25" s="143"/>
      <c r="AC25" s="1978"/>
      <c r="AD25" s="1978"/>
      <c r="AE25" s="1978"/>
      <c r="AF25" s="1978"/>
      <c r="AG25" s="1978"/>
      <c r="AH25" s="1978"/>
      <c r="AI25" s="516"/>
      <c r="AJ25" s="516"/>
      <c r="AK25" s="516"/>
      <c r="AL25" s="516"/>
      <c r="AM25" s="516"/>
      <c r="AN25" s="516"/>
      <c r="AO25" s="516"/>
      <c r="AP25" s="516"/>
      <c r="AQ25" s="516"/>
      <c r="AR25" s="516"/>
      <c r="AS25" s="516"/>
      <c r="AT25" s="516"/>
      <c r="AU25" s="516"/>
      <c r="AV25" s="516"/>
      <c r="AW25" s="516"/>
      <c r="AX25" s="516"/>
      <c r="AY25" s="516"/>
      <c r="AZ25" s="516"/>
      <c r="BA25" s="516"/>
      <c r="BB25" s="516"/>
      <c r="BC25" s="516"/>
      <c r="BD25" s="516"/>
      <c r="BE25" s="516"/>
      <c r="BF25" s="516"/>
      <c r="BG25" s="516"/>
      <c r="BH25" s="516"/>
      <c r="BI25" s="516"/>
      <c r="BJ25" s="516"/>
      <c r="BK25" s="516"/>
      <c r="BL25" s="516"/>
      <c r="BM25" s="516"/>
      <c r="BN25" s="516"/>
      <c r="BO25" s="516"/>
      <c r="BP25" s="516"/>
      <c r="BQ25" s="516"/>
      <c r="BR25" s="516"/>
      <c r="BS25" s="516"/>
      <c r="BT25" s="516"/>
      <c r="BU25" s="516"/>
      <c r="BV25" s="516"/>
      <c r="BW25" s="516"/>
      <c r="BX25" s="516"/>
      <c r="BY25" s="516"/>
      <c r="BZ25" s="516"/>
      <c r="CA25" s="516"/>
      <c r="CB25" s="516"/>
      <c r="CC25" s="516"/>
    </row>
    <row r="26" spans="1:81" ht="12.75">
      <c r="A26" s="1115"/>
      <c r="B26" s="334"/>
      <c r="C26" s="124"/>
      <c r="D26" s="131"/>
      <c r="E26" s="132"/>
      <c r="F26" s="124"/>
      <c r="G26" s="143"/>
      <c r="H26" s="143"/>
      <c r="I26" s="143"/>
      <c r="J26" s="143"/>
      <c r="K26" s="143"/>
      <c r="L26" s="143"/>
      <c r="M26" s="143"/>
      <c r="N26" s="143"/>
      <c r="O26" s="143"/>
      <c r="P26" s="124"/>
      <c r="Q26" s="141"/>
      <c r="R26" s="124"/>
      <c r="S26" s="191">
        <f t="shared" si="0"/>
        <v>0</v>
      </c>
      <c r="T26" s="143"/>
      <c r="U26" s="144"/>
      <c r="V26" s="132"/>
      <c r="W26" s="124"/>
      <c r="X26" s="143"/>
      <c r="Y26" s="143"/>
      <c r="Z26" s="124"/>
      <c r="AA26" s="124"/>
      <c r="AB26" s="143"/>
      <c r="AC26" s="1978"/>
      <c r="AD26" s="1978"/>
      <c r="AE26" s="1978"/>
      <c r="AF26" s="1978"/>
      <c r="AG26" s="1978"/>
      <c r="AH26" s="1978"/>
      <c r="AI26" s="516"/>
      <c r="AJ26" s="516"/>
      <c r="AK26" s="516"/>
      <c r="AL26" s="516"/>
      <c r="AM26" s="516"/>
      <c r="AN26" s="516"/>
      <c r="AO26" s="516"/>
      <c r="AP26" s="516"/>
      <c r="AQ26" s="516"/>
      <c r="AR26" s="516"/>
      <c r="AS26" s="516"/>
      <c r="AT26" s="516"/>
      <c r="AU26" s="516"/>
      <c r="AV26" s="516"/>
      <c r="AW26" s="516"/>
      <c r="AX26" s="516"/>
      <c r="AY26" s="516"/>
      <c r="AZ26" s="516"/>
      <c r="BA26" s="516"/>
      <c r="BB26" s="516"/>
      <c r="BC26" s="516"/>
      <c r="BD26" s="516"/>
      <c r="BE26" s="516"/>
      <c r="BF26" s="516"/>
      <c r="BG26" s="516"/>
      <c r="BH26" s="516"/>
      <c r="BI26" s="516"/>
      <c r="BJ26" s="516"/>
      <c r="BK26" s="516"/>
      <c r="BL26" s="516"/>
      <c r="BM26" s="516"/>
      <c r="BN26" s="516"/>
      <c r="BO26" s="516"/>
      <c r="BP26" s="516"/>
      <c r="BQ26" s="516"/>
      <c r="BR26" s="516"/>
      <c r="BS26" s="516"/>
      <c r="BT26" s="516"/>
      <c r="BU26" s="516"/>
      <c r="BV26" s="516"/>
      <c r="BW26" s="516"/>
      <c r="BX26" s="516"/>
      <c r="BY26" s="516"/>
      <c r="BZ26" s="516"/>
      <c r="CA26" s="516"/>
      <c r="CB26" s="516"/>
      <c r="CC26" s="516"/>
    </row>
    <row r="27" spans="1:81" ht="12.75">
      <c r="A27" s="1115"/>
      <c r="B27" s="145"/>
      <c r="C27" s="124"/>
      <c r="D27" s="131"/>
      <c r="E27" s="132"/>
      <c r="F27" s="124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1"/>
      <c r="R27" s="124"/>
      <c r="S27" s="191">
        <f t="shared" si="0"/>
        <v>0</v>
      </c>
      <c r="T27" s="143"/>
      <c r="U27" s="144"/>
      <c r="V27" s="132"/>
      <c r="W27" s="124"/>
      <c r="X27" s="143"/>
      <c r="Y27" s="143"/>
      <c r="Z27" s="143"/>
      <c r="AA27" s="124"/>
      <c r="AB27" s="143"/>
      <c r="AC27" s="1978"/>
      <c r="AD27" s="1978"/>
      <c r="AE27" s="1978"/>
      <c r="AF27" s="1978"/>
      <c r="AG27" s="1978"/>
      <c r="AH27" s="1978"/>
      <c r="AI27" s="516"/>
      <c r="AJ27" s="516"/>
      <c r="AK27" s="516"/>
      <c r="AL27" s="516"/>
      <c r="AM27" s="516"/>
      <c r="AN27" s="516"/>
      <c r="AO27" s="516"/>
      <c r="AP27" s="516"/>
      <c r="AQ27" s="516"/>
      <c r="AR27" s="516"/>
      <c r="AS27" s="516"/>
      <c r="AT27" s="516"/>
      <c r="AU27" s="516"/>
      <c r="AV27" s="516"/>
      <c r="AW27" s="516"/>
      <c r="AX27" s="516"/>
      <c r="AY27" s="516"/>
      <c r="AZ27" s="516"/>
      <c r="BA27" s="516"/>
      <c r="BB27" s="516"/>
      <c r="BC27" s="516"/>
      <c r="BD27" s="516"/>
      <c r="BE27" s="516"/>
      <c r="BF27" s="516"/>
      <c r="BG27" s="516"/>
      <c r="BH27" s="516"/>
      <c r="BI27" s="516"/>
      <c r="BJ27" s="516"/>
      <c r="BK27" s="516"/>
      <c r="BL27" s="516"/>
      <c r="BM27" s="516"/>
      <c r="BN27" s="516"/>
      <c r="BO27" s="516"/>
      <c r="BP27" s="516"/>
      <c r="BQ27" s="516"/>
      <c r="BR27" s="516"/>
      <c r="BS27" s="516"/>
      <c r="BT27" s="516"/>
      <c r="BU27" s="516"/>
      <c r="BV27" s="516"/>
      <c r="BW27" s="516"/>
      <c r="BX27" s="516"/>
      <c r="BY27" s="516"/>
      <c r="BZ27" s="516"/>
      <c r="CA27" s="516"/>
      <c r="CB27" s="516"/>
      <c r="CC27" s="516"/>
    </row>
    <row r="28" spans="1:81">
      <c r="A28" s="999"/>
      <c r="B28" s="335"/>
      <c r="C28" s="124"/>
      <c r="D28" s="131"/>
      <c r="E28" s="132"/>
      <c r="F28" s="124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1"/>
      <c r="R28" s="124"/>
      <c r="S28" s="143"/>
      <c r="T28" s="143"/>
      <c r="U28" s="144"/>
      <c r="V28" s="132"/>
      <c r="W28" s="124"/>
      <c r="X28" s="143"/>
      <c r="Y28" s="143"/>
      <c r="Z28" s="143"/>
      <c r="AA28" s="124"/>
      <c r="AB28" s="143"/>
      <c r="AC28" s="1978"/>
      <c r="AD28" s="1978"/>
      <c r="AE28" s="1978"/>
      <c r="AF28" s="1978"/>
      <c r="AG28" s="1978"/>
      <c r="AH28" s="1978"/>
      <c r="AI28" s="516"/>
      <c r="AJ28" s="516"/>
      <c r="AK28" s="516"/>
      <c r="AL28" s="516"/>
      <c r="AM28" s="516"/>
      <c r="AN28" s="516"/>
      <c r="AO28" s="516"/>
      <c r="AP28" s="516"/>
      <c r="AQ28" s="516"/>
      <c r="AR28" s="516"/>
      <c r="AS28" s="516"/>
      <c r="AT28" s="516"/>
      <c r="AU28" s="516"/>
      <c r="AV28" s="516"/>
      <c r="AW28" s="516"/>
      <c r="AX28" s="516"/>
      <c r="AY28" s="516"/>
      <c r="AZ28" s="516"/>
      <c r="BA28" s="516"/>
      <c r="BB28" s="516"/>
      <c r="BC28" s="516"/>
      <c r="BD28" s="516"/>
      <c r="BE28" s="516"/>
      <c r="BF28" s="516"/>
      <c r="BG28" s="516"/>
      <c r="BH28" s="516"/>
      <c r="BI28" s="516"/>
      <c r="BJ28" s="516"/>
      <c r="BK28" s="516"/>
      <c r="BL28" s="516"/>
      <c r="BM28" s="516"/>
      <c r="BN28" s="516"/>
      <c r="BO28" s="516"/>
      <c r="BP28" s="516"/>
      <c r="BQ28" s="516"/>
      <c r="BR28" s="516"/>
      <c r="BS28" s="516"/>
      <c r="BT28" s="516"/>
      <c r="BU28" s="516"/>
      <c r="BV28" s="516"/>
      <c r="BW28" s="516"/>
      <c r="BX28" s="516"/>
      <c r="BY28" s="516"/>
      <c r="BZ28" s="516"/>
      <c r="CA28" s="516"/>
      <c r="CB28" s="516"/>
      <c r="CC28" s="516"/>
    </row>
    <row r="29" spans="1:81">
      <c r="A29" s="157"/>
      <c r="B29" s="179"/>
      <c r="C29" s="124"/>
      <c r="D29" s="131"/>
      <c r="E29" s="132"/>
      <c r="F29" s="124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1"/>
      <c r="R29" s="143"/>
      <c r="S29" s="143"/>
      <c r="T29" s="143"/>
      <c r="U29" s="144"/>
      <c r="V29" s="132"/>
      <c r="W29" s="124"/>
      <c r="X29" s="143"/>
      <c r="Y29" s="143"/>
      <c r="Z29" s="143"/>
      <c r="AA29" s="143"/>
      <c r="AB29" s="143"/>
      <c r="AC29" s="1978"/>
      <c r="AD29" s="1978"/>
      <c r="AE29" s="1978"/>
      <c r="AF29" s="1978"/>
      <c r="AG29" s="1978"/>
      <c r="AH29" s="1978"/>
      <c r="AI29" s="516"/>
      <c r="AJ29" s="516"/>
      <c r="AK29" s="516"/>
      <c r="AL29" s="516"/>
      <c r="AM29" s="516"/>
      <c r="AN29" s="516"/>
      <c r="AO29" s="516"/>
      <c r="AP29" s="516"/>
      <c r="AQ29" s="516"/>
      <c r="AR29" s="516"/>
      <c r="AS29" s="516"/>
      <c r="AT29" s="516"/>
      <c r="AU29" s="516"/>
      <c r="AV29" s="516"/>
      <c r="AW29" s="516"/>
      <c r="AX29" s="516"/>
      <c r="AY29" s="516"/>
      <c r="AZ29" s="516"/>
      <c r="BA29" s="516"/>
      <c r="BB29" s="516"/>
      <c r="BC29" s="516"/>
      <c r="BD29" s="516"/>
      <c r="BE29" s="516"/>
      <c r="BF29" s="516"/>
      <c r="BG29" s="516"/>
      <c r="BH29" s="516"/>
      <c r="BI29" s="516"/>
      <c r="BJ29" s="516"/>
      <c r="BK29" s="516"/>
      <c r="BL29" s="516"/>
      <c r="BM29" s="516"/>
      <c r="BN29" s="516"/>
      <c r="BO29" s="516"/>
      <c r="BP29" s="516"/>
      <c r="BQ29" s="516"/>
      <c r="BR29" s="516"/>
      <c r="BS29" s="516"/>
      <c r="BT29" s="516"/>
      <c r="BU29" s="516"/>
      <c r="BV29" s="516"/>
      <c r="BW29" s="516"/>
      <c r="BX29" s="516"/>
      <c r="BY29" s="516"/>
      <c r="BZ29" s="516"/>
      <c r="CA29" s="516"/>
      <c r="CB29" s="516"/>
      <c r="CC29" s="516"/>
    </row>
    <row r="30" spans="1:81">
      <c r="A30" s="146"/>
      <c r="B30" s="179"/>
      <c r="C30" s="124"/>
      <c r="D30" s="131"/>
      <c r="E30" s="132"/>
      <c r="F30" s="124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1"/>
      <c r="R30" s="143"/>
      <c r="S30" s="143"/>
      <c r="T30" s="143"/>
      <c r="U30" s="144"/>
      <c r="V30" s="132"/>
      <c r="W30" s="124"/>
      <c r="X30" s="143"/>
      <c r="Y30" s="143"/>
      <c r="Z30" s="143"/>
      <c r="AA30" s="143"/>
      <c r="AB30" s="143"/>
      <c r="AC30" s="1978"/>
      <c r="AD30" s="1978"/>
      <c r="AE30" s="1978"/>
      <c r="AF30" s="1978"/>
      <c r="AG30" s="1978"/>
      <c r="AH30" s="1978"/>
      <c r="AI30" s="516"/>
      <c r="AJ30" s="516"/>
      <c r="AK30" s="516"/>
      <c r="AL30" s="516"/>
      <c r="AM30" s="516"/>
      <c r="AN30" s="516"/>
      <c r="AO30" s="516"/>
      <c r="AP30" s="516"/>
      <c r="AQ30" s="516"/>
      <c r="AR30" s="516"/>
      <c r="AS30" s="516"/>
      <c r="AT30" s="516"/>
      <c r="AU30" s="516"/>
      <c r="AV30" s="516"/>
      <c r="AW30" s="516"/>
      <c r="AX30" s="516"/>
      <c r="AY30" s="516"/>
      <c r="AZ30" s="516"/>
      <c r="BA30" s="516"/>
      <c r="BB30" s="516"/>
      <c r="BC30" s="516"/>
      <c r="BD30" s="516"/>
      <c r="BE30" s="516"/>
      <c r="BF30" s="516"/>
      <c r="BG30" s="516"/>
      <c r="BH30" s="516"/>
      <c r="BI30" s="516"/>
      <c r="BJ30" s="516"/>
      <c r="BK30" s="516"/>
      <c r="BL30" s="516"/>
      <c r="BM30" s="516"/>
      <c r="BN30" s="516"/>
      <c r="BO30" s="516"/>
      <c r="BP30" s="516"/>
      <c r="BQ30" s="516"/>
      <c r="BR30" s="516"/>
      <c r="BS30" s="516"/>
      <c r="BT30" s="516"/>
      <c r="BU30" s="516"/>
      <c r="BV30" s="516"/>
      <c r="BW30" s="516"/>
      <c r="BX30" s="516"/>
      <c r="BY30" s="516"/>
      <c r="BZ30" s="516"/>
      <c r="CA30" s="516"/>
      <c r="CB30" s="516"/>
      <c r="CC30" s="516"/>
    </row>
    <row r="31" spans="1:81">
      <c r="A31" s="157"/>
      <c r="B31" s="179"/>
      <c r="C31" s="124"/>
      <c r="D31" s="131"/>
      <c r="E31" s="132"/>
      <c r="F31" s="124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1"/>
      <c r="R31" s="143"/>
      <c r="S31" s="143"/>
      <c r="T31" s="143"/>
      <c r="U31" s="144"/>
      <c r="V31" s="132"/>
      <c r="W31" s="124"/>
      <c r="X31" s="143"/>
      <c r="Y31" s="143"/>
      <c r="Z31" s="143"/>
      <c r="AA31" s="143"/>
      <c r="AB31" s="143"/>
      <c r="AC31" s="1978"/>
      <c r="AD31" s="1978"/>
      <c r="AE31" s="1978"/>
      <c r="AF31" s="1978"/>
      <c r="AG31" s="1978"/>
      <c r="AH31" s="1978"/>
      <c r="AI31" s="516"/>
      <c r="AJ31" s="516"/>
      <c r="AK31" s="516"/>
      <c r="AL31" s="516"/>
      <c r="AM31" s="516"/>
      <c r="AN31" s="516"/>
      <c r="AO31" s="516"/>
      <c r="AP31" s="516"/>
      <c r="AQ31" s="516"/>
      <c r="AR31" s="516"/>
      <c r="AS31" s="516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516"/>
      <c r="BI31" s="516"/>
      <c r="BJ31" s="516"/>
      <c r="BK31" s="516"/>
      <c r="BL31" s="516"/>
      <c r="BM31" s="516"/>
      <c r="BN31" s="516"/>
      <c r="BO31" s="516"/>
      <c r="BP31" s="516"/>
      <c r="BQ31" s="516"/>
      <c r="BR31" s="516"/>
      <c r="BS31" s="516"/>
      <c r="BT31" s="516"/>
      <c r="BU31" s="516"/>
      <c r="BV31" s="516"/>
      <c r="BW31" s="516"/>
      <c r="BX31" s="516"/>
      <c r="BY31" s="516"/>
      <c r="BZ31" s="516"/>
      <c r="CA31" s="516"/>
      <c r="CB31" s="516"/>
      <c r="CC31" s="516"/>
    </row>
    <row r="32" spans="1:81">
      <c r="A32" s="157"/>
      <c r="B32" s="179"/>
      <c r="C32" s="124"/>
      <c r="D32" s="131"/>
      <c r="E32" s="132"/>
      <c r="F32" s="124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1"/>
      <c r="R32" s="143"/>
      <c r="S32" s="143"/>
      <c r="T32" s="143"/>
      <c r="U32" s="144"/>
      <c r="V32" s="132"/>
      <c r="W32" s="124"/>
      <c r="X32" s="143"/>
      <c r="Y32" s="143"/>
      <c r="Z32" s="143"/>
      <c r="AA32" s="143"/>
      <c r="AB32" s="143"/>
      <c r="AC32" s="1978"/>
      <c r="AD32" s="1978"/>
      <c r="AE32" s="1978"/>
      <c r="AF32" s="1978"/>
      <c r="AG32" s="1978"/>
      <c r="AH32" s="1978"/>
      <c r="AI32" s="516"/>
      <c r="AJ32" s="516"/>
      <c r="AK32" s="516"/>
      <c r="AL32" s="516"/>
      <c r="AM32" s="516"/>
      <c r="AN32" s="516"/>
      <c r="AO32" s="516"/>
      <c r="AP32" s="516"/>
      <c r="AQ32" s="516"/>
      <c r="AR32" s="516"/>
      <c r="AS32" s="516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516"/>
      <c r="BI32" s="516"/>
      <c r="BJ32" s="516"/>
      <c r="BK32" s="516"/>
      <c r="BL32" s="516"/>
      <c r="BM32" s="516"/>
      <c r="BN32" s="516"/>
      <c r="BO32" s="516"/>
      <c r="BP32" s="516"/>
      <c r="BQ32" s="516"/>
      <c r="BR32" s="516"/>
      <c r="BS32" s="516"/>
      <c r="BT32" s="516"/>
      <c r="BU32" s="516"/>
      <c r="BV32" s="516"/>
      <c r="BW32" s="516"/>
      <c r="BX32" s="516"/>
      <c r="BY32" s="516"/>
      <c r="BZ32" s="516"/>
      <c r="CA32" s="516"/>
      <c r="CB32" s="516"/>
      <c r="CC32" s="516"/>
    </row>
    <row r="33" spans="1:81">
      <c r="A33" s="157"/>
      <c r="B33" s="336"/>
      <c r="C33" s="124"/>
      <c r="D33" s="131"/>
      <c r="E33" s="132"/>
      <c r="F33" s="124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84"/>
      <c r="R33" s="143"/>
      <c r="S33" s="143"/>
      <c r="T33" s="143"/>
      <c r="U33" s="144"/>
      <c r="V33" s="132"/>
      <c r="W33" s="124"/>
      <c r="X33" s="143"/>
      <c r="Y33" s="143"/>
      <c r="Z33" s="143"/>
      <c r="AA33" s="143"/>
      <c r="AB33" s="143"/>
      <c r="AC33" s="1978"/>
      <c r="AD33" s="1978"/>
      <c r="AE33" s="1978"/>
      <c r="AF33" s="1978"/>
      <c r="AG33" s="1978"/>
      <c r="AH33" s="1978"/>
      <c r="AI33" s="516"/>
      <c r="AJ33" s="516"/>
      <c r="AK33" s="516"/>
      <c r="AL33" s="516"/>
      <c r="AM33" s="516"/>
      <c r="AN33" s="516"/>
      <c r="AO33" s="516"/>
      <c r="AP33" s="516"/>
      <c r="AQ33" s="516"/>
      <c r="AR33" s="516"/>
      <c r="AS33" s="516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516"/>
      <c r="BI33" s="516"/>
      <c r="BJ33" s="516"/>
      <c r="BK33" s="516"/>
      <c r="BL33" s="516"/>
      <c r="BM33" s="516"/>
      <c r="BN33" s="516"/>
      <c r="BO33" s="516"/>
      <c r="BP33" s="516"/>
      <c r="BQ33" s="516"/>
      <c r="BR33" s="516"/>
      <c r="BS33" s="516"/>
      <c r="BT33" s="516"/>
      <c r="BU33" s="516"/>
      <c r="BV33" s="516"/>
      <c r="BW33" s="516"/>
      <c r="BX33" s="516"/>
      <c r="BY33" s="516"/>
      <c r="BZ33" s="516"/>
      <c r="CA33" s="516"/>
      <c r="CB33" s="516"/>
      <c r="CC33" s="516"/>
    </row>
    <row r="34" spans="1:81">
      <c r="A34" s="999"/>
      <c r="B34" s="335"/>
      <c r="C34" s="124"/>
      <c r="D34" s="131"/>
      <c r="E34" s="132"/>
      <c r="F34" s="124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84"/>
      <c r="R34" s="143"/>
      <c r="S34" s="143"/>
      <c r="T34" s="143"/>
      <c r="U34" s="144"/>
      <c r="V34" s="132"/>
      <c r="W34" s="124"/>
      <c r="X34" s="143"/>
      <c r="Y34" s="143"/>
      <c r="Z34" s="143"/>
      <c r="AA34" s="143"/>
      <c r="AB34" s="143"/>
      <c r="AC34" s="1978"/>
      <c r="AD34" s="1978"/>
      <c r="AE34" s="1978"/>
      <c r="AF34" s="1978"/>
      <c r="AG34" s="1978"/>
      <c r="AH34" s="1978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</row>
    <row r="35" spans="1:81">
      <c r="A35" s="157"/>
      <c r="B35" s="179"/>
      <c r="C35" s="124"/>
      <c r="D35" s="131"/>
      <c r="E35" s="132"/>
      <c r="F35" s="124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84"/>
      <c r="R35" s="143"/>
      <c r="S35" s="143"/>
      <c r="T35" s="143"/>
      <c r="U35" s="144"/>
      <c r="V35" s="132"/>
      <c r="W35" s="124"/>
      <c r="X35" s="143"/>
      <c r="Y35" s="143"/>
      <c r="Z35" s="143"/>
      <c r="AA35" s="143"/>
      <c r="AB35" s="143"/>
      <c r="AC35" s="1978"/>
      <c r="AD35" s="1978"/>
      <c r="AE35" s="1978"/>
      <c r="AF35" s="1978"/>
      <c r="AG35" s="1978"/>
      <c r="AH35" s="1978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</row>
    <row r="36" spans="1:81">
      <c r="A36" s="146"/>
      <c r="B36" s="179"/>
      <c r="C36" s="124"/>
      <c r="D36" s="131"/>
      <c r="E36" s="132"/>
      <c r="F36" s="124"/>
      <c r="G36" s="124"/>
      <c r="H36" s="124"/>
      <c r="I36" s="191"/>
      <c r="J36" s="124"/>
      <c r="K36" s="124"/>
      <c r="L36" s="143"/>
      <c r="M36" s="124"/>
      <c r="N36" s="124"/>
      <c r="O36" s="124"/>
      <c r="P36" s="143"/>
      <c r="Q36" s="184"/>
      <c r="R36" s="143"/>
      <c r="S36" s="143"/>
      <c r="T36" s="877"/>
      <c r="U36" s="144"/>
      <c r="V36" s="132"/>
      <c r="W36" s="124"/>
      <c r="X36" s="143"/>
      <c r="Y36" s="124"/>
      <c r="Z36" s="143"/>
      <c r="AA36" s="143"/>
      <c r="AB36" s="877"/>
      <c r="AC36" s="1978"/>
      <c r="AD36" s="1978"/>
      <c r="AE36" s="1978"/>
      <c r="AF36" s="1978"/>
      <c r="AG36" s="1978"/>
      <c r="AH36" s="1978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</row>
    <row r="37" spans="1:81">
      <c r="A37" s="157"/>
      <c r="B37" s="179"/>
      <c r="C37" s="124"/>
      <c r="D37" s="131"/>
      <c r="E37" s="132"/>
      <c r="F37" s="124"/>
      <c r="G37" s="124"/>
      <c r="H37" s="124"/>
      <c r="I37" s="191"/>
      <c r="J37" s="124"/>
      <c r="K37" s="124"/>
      <c r="L37" s="143"/>
      <c r="M37" s="124"/>
      <c r="N37" s="124"/>
      <c r="O37" s="124"/>
      <c r="P37" s="124"/>
      <c r="Q37" s="184"/>
      <c r="R37" s="143"/>
      <c r="S37" s="143"/>
      <c r="T37" s="877"/>
      <c r="U37" s="144"/>
      <c r="V37" s="132"/>
      <c r="W37" s="124"/>
      <c r="X37" s="143"/>
      <c r="Y37" s="124"/>
      <c r="Z37" s="124"/>
      <c r="AA37" s="143"/>
      <c r="AB37" s="877"/>
      <c r="AC37" s="1978"/>
      <c r="AD37" s="1978"/>
      <c r="AE37" s="1978"/>
      <c r="AF37" s="1978"/>
      <c r="AG37" s="1978"/>
      <c r="AH37" s="1978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</row>
    <row r="38" spans="1:81">
      <c r="A38" s="157"/>
      <c r="B38" s="179"/>
      <c r="C38" s="124"/>
      <c r="D38" s="131"/>
      <c r="E38" s="132"/>
      <c r="F38" s="124"/>
      <c r="G38" s="124"/>
      <c r="H38" s="124"/>
      <c r="I38" s="191"/>
      <c r="J38" s="124"/>
      <c r="K38" s="124"/>
      <c r="L38" s="143"/>
      <c r="M38" s="124"/>
      <c r="N38" s="124"/>
      <c r="O38" s="124"/>
      <c r="P38" s="124"/>
      <c r="Q38" s="184"/>
      <c r="R38" s="143"/>
      <c r="S38" s="143"/>
      <c r="T38" s="877"/>
      <c r="U38" s="144"/>
      <c r="V38" s="132"/>
      <c r="W38" s="124"/>
      <c r="X38" s="143"/>
      <c r="Y38" s="124"/>
      <c r="Z38" s="124"/>
      <c r="AA38" s="143"/>
      <c r="AB38" s="877"/>
      <c r="AC38" s="1978"/>
      <c r="AD38" s="1978"/>
      <c r="AE38" s="1978"/>
      <c r="AF38" s="1978"/>
      <c r="AG38" s="1978"/>
      <c r="AH38" s="1978"/>
      <c r="AI38" s="516"/>
      <c r="AJ38" s="516"/>
      <c r="AK38" s="516"/>
      <c r="AL38" s="516"/>
      <c r="AM38" s="516"/>
      <c r="AN38" s="516"/>
      <c r="AO38" s="516"/>
      <c r="AP38" s="516"/>
      <c r="AQ38" s="516"/>
      <c r="AR38" s="516"/>
      <c r="AS38" s="516"/>
      <c r="AT38" s="516"/>
      <c r="AU38" s="516"/>
      <c r="AV38" s="516"/>
      <c r="AW38" s="516"/>
      <c r="AX38" s="516"/>
      <c r="AY38" s="516"/>
      <c r="AZ38" s="516"/>
      <c r="BA38" s="516"/>
      <c r="BB38" s="516"/>
      <c r="BC38" s="516"/>
      <c r="BD38" s="516"/>
      <c r="BE38" s="516"/>
      <c r="BF38" s="516"/>
      <c r="BG38" s="516"/>
      <c r="BH38" s="516"/>
      <c r="BI38" s="516"/>
      <c r="BJ38" s="516"/>
      <c r="BK38" s="516"/>
      <c r="BL38" s="516"/>
      <c r="BM38" s="516"/>
      <c r="BN38" s="516"/>
      <c r="BO38" s="516"/>
      <c r="BP38" s="516"/>
      <c r="BQ38" s="516"/>
      <c r="BR38" s="516"/>
      <c r="BS38" s="516"/>
      <c r="BT38" s="516"/>
      <c r="BU38" s="516"/>
      <c r="BV38" s="516"/>
      <c r="BW38" s="516"/>
      <c r="BX38" s="516"/>
      <c r="BY38" s="516"/>
      <c r="BZ38" s="516"/>
      <c r="CA38" s="516"/>
      <c r="CB38" s="516"/>
      <c r="CC38" s="516"/>
    </row>
    <row r="39" spans="1:81">
      <c r="A39" s="157"/>
      <c r="B39" s="179"/>
      <c r="C39" s="124"/>
      <c r="D39" s="131"/>
      <c r="E39" s="132"/>
      <c r="F39" s="124"/>
      <c r="G39" s="124"/>
      <c r="H39" s="124"/>
      <c r="I39" s="191"/>
      <c r="J39" s="124"/>
      <c r="K39" s="124"/>
      <c r="L39" s="143"/>
      <c r="M39" s="124"/>
      <c r="N39" s="124"/>
      <c r="O39" s="124"/>
      <c r="P39" s="124"/>
      <c r="Q39" s="184"/>
      <c r="R39" s="143"/>
      <c r="S39" s="143"/>
      <c r="T39" s="877"/>
      <c r="U39" s="144"/>
      <c r="V39" s="132"/>
      <c r="W39" s="124"/>
      <c r="X39" s="143"/>
      <c r="Y39" s="124"/>
      <c r="Z39" s="124"/>
      <c r="AA39" s="143"/>
      <c r="AB39" s="877"/>
      <c r="AC39" s="1978"/>
      <c r="AD39" s="1978"/>
      <c r="AE39" s="1978"/>
      <c r="AF39" s="1978"/>
      <c r="AG39" s="1978"/>
      <c r="AH39" s="1978"/>
      <c r="AI39" s="516"/>
      <c r="AJ39" s="516"/>
      <c r="AK39" s="516"/>
      <c r="AL39" s="516"/>
      <c r="AM39" s="516"/>
      <c r="AN39" s="516"/>
      <c r="AO39" s="516"/>
      <c r="AP39" s="516"/>
      <c r="AQ39" s="516"/>
      <c r="AR39" s="516"/>
      <c r="AS39" s="516"/>
      <c r="AT39" s="516"/>
      <c r="AU39" s="516"/>
      <c r="AV39" s="516"/>
      <c r="AW39" s="516"/>
      <c r="AX39" s="516"/>
      <c r="AY39" s="516"/>
      <c r="AZ39" s="516"/>
      <c r="BA39" s="516"/>
      <c r="BB39" s="516"/>
      <c r="BC39" s="516"/>
      <c r="BD39" s="516"/>
      <c r="BE39" s="516"/>
      <c r="BF39" s="516"/>
      <c r="BG39" s="516"/>
      <c r="BH39" s="516"/>
      <c r="BI39" s="516"/>
      <c r="BJ39" s="516"/>
      <c r="BK39" s="516"/>
      <c r="BL39" s="516"/>
      <c r="BM39" s="516"/>
      <c r="BN39" s="516"/>
      <c r="BO39" s="516"/>
      <c r="BP39" s="516"/>
      <c r="BQ39" s="516"/>
      <c r="BR39" s="516"/>
      <c r="BS39" s="516"/>
      <c r="BT39" s="516"/>
      <c r="BU39" s="516"/>
      <c r="BV39" s="516"/>
      <c r="BW39" s="516"/>
      <c r="BX39" s="516"/>
      <c r="BY39" s="516"/>
      <c r="BZ39" s="516"/>
      <c r="CA39" s="516"/>
      <c r="CB39" s="516"/>
      <c r="CC39" s="516"/>
    </row>
    <row r="40" spans="1:81">
      <c r="A40" s="157"/>
      <c r="B40" s="179"/>
      <c r="C40" s="124"/>
      <c r="D40" s="131"/>
      <c r="E40" s="132"/>
      <c r="F40" s="124"/>
      <c r="G40" s="124"/>
      <c r="H40" s="124"/>
      <c r="I40" s="191"/>
      <c r="J40" s="124"/>
      <c r="K40" s="124"/>
      <c r="L40" s="143"/>
      <c r="M40" s="124"/>
      <c r="N40" s="124"/>
      <c r="O40" s="124"/>
      <c r="P40" s="124"/>
      <c r="Q40" s="184"/>
      <c r="R40" s="143"/>
      <c r="S40" s="143"/>
      <c r="T40" s="877"/>
      <c r="U40" s="144"/>
      <c r="V40" s="132"/>
      <c r="W40" s="124"/>
      <c r="X40" s="143"/>
      <c r="Y40" s="124"/>
      <c r="Z40" s="124"/>
      <c r="AA40" s="143"/>
      <c r="AB40" s="877"/>
      <c r="AC40" s="1978"/>
      <c r="AD40" s="1978"/>
      <c r="AE40" s="1978"/>
      <c r="AF40" s="1978"/>
      <c r="AG40" s="1978"/>
      <c r="AH40" s="1978"/>
      <c r="AI40" s="516"/>
      <c r="AJ40" s="516"/>
      <c r="AK40" s="516"/>
      <c r="AL40" s="516"/>
      <c r="AM40" s="516"/>
      <c r="AN40" s="516"/>
      <c r="AO40" s="516"/>
      <c r="AP40" s="516"/>
      <c r="AQ40" s="516"/>
      <c r="AR40" s="516"/>
      <c r="AS40" s="516"/>
      <c r="AT40" s="516"/>
      <c r="AU40" s="516"/>
      <c r="AV40" s="516"/>
      <c r="AW40" s="516"/>
      <c r="AX40" s="516"/>
      <c r="AY40" s="516"/>
      <c r="AZ40" s="516"/>
      <c r="BA40" s="516"/>
      <c r="BB40" s="516"/>
      <c r="BC40" s="516"/>
      <c r="BD40" s="516"/>
      <c r="BE40" s="516"/>
      <c r="BF40" s="516"/>
      <c r="BG40" s="516"/>
      <c r="BH40" s="516"/>
      <c r="BI40" s="516"/>
      <c r="BJ40" s="516"/>
      <c r="BK40" s="516"/>
      <c r="BL40" s="516"/>
      <c r="BM40" s="516"/>
      <c r="BN40" s="516"/>
      <c r="BO40" s="516"/>
      <c r="BP40" s="516"/>
      <c r="BQ40" s="516"/>
      <c r="BR40" s="516"/>
      <c r="BS40" s="516"/>
      <c r="BT40" s="516"/>
      <c r="BU40" s="516"/>
      <c r="BV40" s="516"/>
      <c r="BW40" s="516"/>
      <c r="BX40" s="516"/>
      <c r="BY40" s="516"/>
      <c r="BZ40" s="516"/>
      <c r="CA40" s="516"/>
      <c r="CB40" s="516"/>
      <c r="CC40" s="516"/>
    </row>
    <row r="41" spans="1:81">
      <c r="A41" s="157"/>
      <c r="B41" s="179"/>
      <c r="C41" s="124"/>
      <c r="D41" s="131"/>
      <c r="E41" s="132"/>
      <c r="F41" s="124"/>
      <c r="G41" s="124"/>
      <c r="H41" s="124"/>
      <c r="I41" s="191"/>
      <c r="J41" s="124"/>
      <c r="K41" s="124"/>
      <c r="L41" s="143"/>
      <c r="M41" s="124"/>
      <c r="N41" s="124"/>
      <c r="O41" s="124"/>
      <c r="P41" s="143"/>
      <c r="Q41" s="124"/>
      <c r="R41" s="143"/>
      <c r="S41" s="143"/>
      <c r="T41" s="877"/>
      <c r="U41" s="144"/>
      <c r="V41" s="132"/>
      <c r="W41" s="124"/>
      <c r="X41" s="143"/>
      <c r="Y41" s="124"/>
      <c r="Z41" s="143"/>
      <c r="AA41" s="143"/>
      <c r="AB41" s="877"/>
      <c r="AC41" s="1978"/>
      <c r="AD41" s="1978"/>
      <c r="AE41" s="1978"/>
      <c r="AF41" s="1978"/>
      <c r="AG41" s="1978"/>
      <c r="AH41" s="1978"/>
      <c r="AI41" s="516"/>
      <c r="AJ41" s="516"/>
      <c r="AK41" s="516"/>
      <c r="AL41" s="516"/>
      <c r="AM41" s="516"/>
      <c r="AN41" s="516"/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6"/>
      <c r="BC41" s="516"/>
      <c r="BD41" s="516"/>
      <c r="BE41" s="516"/>
      <c r="BF41" s="516"/>
      <c r="BG41" s="516"/>
      <c r="BH41" s="516"/>
      <c r="BI41" s="516"/>
      <c r="BJ41" s="516"/>
      <c r="BK41" s="516"/>
      <c r="BL41" s="516"/>
      <c r="BM41" s="516"/>
      <c r="BN41" s="516"/>
      <c r="BO41" s="516"/>
      <c r="BP41" s="516"/>
      <c r="BQ41" s="516"/>
      <c r="BR41" s="516"/>
      <c r="BS41" s="516"/>
      <c r="BT41" s="516"/>
      <c r="BU41" s="516"/>
      <c r="BV41" s="516"/>
      <c r="BW41" s="516"/>
      <c r="BX41" s="516"/>
      <c r="BY41" s="516"/>
      <c r="BZ41" s="516"/>
      <c r="CA41" s="516"/>
      <c r="CB41" s="516"/>
      <c r="CC41" s="516"/>
    </row>
    <row r="42" spans="1:81">
      <c r="A42" s="157"/>
      <c r="B42" s="179"/>
      <c r="C42" s="124"/>
      <c r="D42" s="131"/>
      <c r="E42" s="132"/>
      <c r="F42" s="124"/>
      <c r="G42" s="124"/>
      <c r="H42" s="124"/>
      <c r="I42" s="191"/>
      <c r="J42" s="124"/>
      <c r="K42" s="124"/>
      <c r="L42" s="143"/>
      <c r="M42" s="124"/>
      <c r="N42" s="124"/>
      <c r="O42" s="124"/>
      <c r="P42" s="143"/>
      <c r="Q42" s="124"/>
      <c r="R42" s="143"/>
      <c r="S42" s="143"/>
      <c r="T42" s="877"/>
      <c r="U42" s="144"/>
      <c r="V42" s="132"/>
      <c r="W42" s="124"/>
      <c r="X42" s="143"/>
      <c r="Y42" s="124"/>
      <c r="Z42" s="143"/>
      <c r="AA42" s="143"/>
      <c r="AB42" s="877"/>
      <c r="AC42" s="1978"/>
      <c r="AD42" s="1978"/>
      <c r="AE42" s="1978"/>
      <c r="AF42" s="1978"/>
      <c r="AG42" s="1978"/>
      <c r="AH42" s="1978"/>
      <c r="AI42" s="516"/>
      <c r="AJ42" s="516"/>
      <c r="AK42" s="516"/>
      <c r="AL42" s="516"/>
      <c r="AM42" s="516"/>
      <c r="AN42" s="516"/>
      <c r="AO42" s="516"/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516"/>
      <c r="BA42" s="516"/>
      <c r="BB42" s="516"/>
      <c r="BC42" s="516"/>
      <c r="BD42" s="516"/>
      <c r="BE42" s="516"/>
      <c r="BF42" s="516"/>
      <c r="BG42" s="516"/>
      <c r="BH42" s="516"/>
      <c r="BI42" s="516"/>
      <c r="BJ42" s="516"/>
      <c r="BK42" s="516"/>
      <c r="BL42" s="516"/>
      <c r="BM42" s="516"/>
      <c r="BN42" s="516"/>
      <c r="BO42" s="516"/>
      <c r="BP42" s="516"/>
      <c r="BQ42" s="516"/>
      <c r="BR42" s="516"/>
      <c r="BS42" s="516"/>
      <c r="BT42" s="516"/>
      <c r="BU42" s="516"/>
      <c r="BV42" s="516"/>
      <c r="BW42" s="516"/>
      <c r="BX42" s="516"/>
      <c r="BY42" s="516"/>
      <c r="BZ42" s="516"/>
      <c r="CA42" s="516"/>
      <c r="CB42" s="516"/>
      <c r="CC42" s="516"/>
    </row>
    <row r="43" spans="1:81">
      <c r="A43" s="157"/>
      <c r="B43" s="179"/>
      <c r="C43" s="124"/>
      <c r="D43" s="131"/>
      <c r="E43" s="132"/>
      <c r="F43" s="124"/>
      <c r="G43" s="124"/>
      <c r="H43" s="124"/>
      <c r="I43" s="191"/>
      <c r="J43" s="124"/>
      <c r="K43" s="124"/>
      <c r="L43" s="143"/>
      <c r="M43" s="124"/>
      <c r="N43" s="124"/>
      <c r="O43" s="124"/>
      <c r="P43" s="143"/>
      <c r="Q43" s="124"/>
      <c r="R43" s="143"/>
      <c r="S43" s="143"/>
      <c r="T43" s="877"/>
      <c r="U43" s="144"/>
      <c r="V43" s="132"/>
      <c r="W43" s="124"/>
      <c r="X43" s="143"/>
      <c r="Y43" s="124"/>
      <c r="Z43" s="143"/>
      <c r="AA43" s="143"/>
      <c r="AB43" s="877"/>
      <c r="AC43" s="1978"/>
      <c r="AD43" s="1978"/>
      <c r="AE43" s="1978"/>
      <c r="AF43" s="1978"/>
      <c r="AG43" s="1978"/>
      <c r="AH43" s="1978"/>
      <c r="AI43" s="516"/>
      <c r="AJ43" s="516"/>
      <c r="AK43" s="516"/>
      <c r="AL43" s="516"/>
      <c r="AM43" s="516"/>
      <c r="AN43" s="516"/>
      <c r="AO43" s="516"/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516"/>
      <c r="BA43" s="516"/>
      <c r="BB43" s="516"/>
      <c r="BC43" s="516"/>
      <c r="BD43" s="516"/>
      <c r="BE43" s="516"/>
      <c r="BF43" s="516"/>
      <c r="BG43" s="516"/>
      <c r="BH43" s="516"/>
      <c r="BI43" s="516"/>
      <c r="BJ43" s="516"/>
      <c r="BK43" s="516"/>
      <c r="BL43" s="516"/>
      <c r="BM43" s="516"/>
      <c r="BN43" s="516"/>
      <c r="BO43" s="516"/>
      <c r="BP43" s="516"/>
      <c r="BQ43" s="516"/>
      <c r="BR43" s="516"/>
      <c r="BS43" s="516"/>
      <c r="BT43" s="516"/>
      <c r="BU43" s="516"/>
      <c r="BV43" s="516"/>
      <c r="BW43" s="516"/>
      <c r="BX43" s="516"/>
      <c r="BY43" s="516"/>
      <c r="BZ43" s="516"/>
      <c r="CA43" s="516"/>
      <c r="CB43" s="516"/>
      <c r="CC43" s="516"/>
    </row>
    <row r="44" spans="1:81">
      <c r="A44" s="157"/>
      <c r="B44" s="179"/>
      <c r="C44" s="124"/>
      <c r="D44" s="131"/>
      <c r="E44" s="132"/>
      <c r="F44" s="124"/>
      <c r="G44" s="124"/>
      <c r="H44" s="124"/>
      <c r="I44" s="191"/>
      <c r="J44" s="124"/>
      <c r="K44" s="124"/>
      <c r="L44" s="143"/>
      <c r="M44" s="124"/>
      <c r="N44" s="124"/>
      <c r="O44" s="124"/>
      <c r="P44" s="143"/>
      <c r="Q44" s="124"/>
      <c r="R44" s="143"/>
      <c r="S44" s="143"/>
      <c r="T44" s="877"/>
      <c r="U44" s="144"/>
      <c r="V44" s="132"/>
      <c r="W44" s="124"/>
      <c r="X44" s="143"/>
      <c r="Y44" s="124"/>
      <c r="Z44" s="143"/>
      <c r="AA44" s="143"/>
      <c r="AB44" s="877"/>
      <c r="AC44" s="1978"/>
      <c r="AD44" s="1978"/>
      <c r="AE44" s="1978"/>
      <c r="AF44" s="1978"/>
      <c r="AG44" s="1978"/>
      <c r="AH44" s="1978"/>
      <c r="AI44" s="516"/>
      <c r="AJ44" s="516"/>
      <c r="AK44" s="516"/>
      <c r="AL44" s="516"/>
      <c r="AM44" s="516"/>
      <c r="AN44" s="516"/>
      <c r="AO44" s="516"/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516"/>
      <c r="BA44" s="516"/>
      <c r="BB44" s="516"/>
      <c r="BC44" s="516"/>
      <c r="BD44" s="516"/>
      <c r="BE44" s="516"/>
      <c r="BF44" s="516"/>
      <c r="BG44" s="516"/>
      <c r="BH44" s="516"/>
      <c r="BI44" s="516"/>
      <c r="BJ44" s="516"/>
      <c r="BK44" s="516"/>
      <c r="BL44" s="516"/>
      <c r="BM44" s="516"/>
      <c r="BN44" s="516"/>
      <c r="BO44" s="516"/>
      <c r="BP44" s="516"/>
      <c r="BQ44" s="516"/>
      <c r="BR44" s="516"/>
      <c r="BS44" s="516"/>
      <c r="BT44" s="516"/>
      <c r="BU44" s="516"/>
      <c r="BV44" s="516"/>
      <c r="BW44" s="516"/>
      <c r="BX44" s="516"/>
      <c r="BY44" s="516"/>
      <c r="BZ44" s="516"/>
      <c r="CA44" s="516"/>
      <c r="CB44" s="516"/>
      <c r="CC44" s="516"/>
    </row>
    <row r="45" spans="1:81">
      <c r="A45" s="157"/>
      <c r="B45" s="179"/>
      <c r="C45" s="124"/>
      <c r="D45" s="131"/>
      <c r="E45" s="132"/>
      <c r="F45" s="124"/>
      <c r="G45" s="124"/>
      <c r="H45" s="124"/>
      <c r="I45" s="191"/>
      <c r="J45" s="124"/>
      <c r="K45" s="124"/>
      <c r="L45" s="143"/>
      <c r="M45" s="124"/>
      <c r="N45" s="124"/>
      <c r="O45" s="124"/>
      <c r="P45" s="143"/>
      <c r="Q45" s="124"/>
      <c r="R45" s="143"/>
      <c r="S45" s="143"/>
      <c r="T45" s="877"/>
      <c r="U45" s="144"/>
      <c r="V45" s="132"/>
      <c r="W45" s="124"/>
      <c r="X45" s="143"/>
      <c r="Y45" s="124"/>
      <c r="Z45" s="143"/>
      <c r="AA45" s="143"/>
      <c r="AB45" s="877"/>
      <c r="AC45" s="1978"/>
      <c r="AD45" s="1978"/>
      <c r="AE45" s="1978"/>
      <c r="AF45" s="1978"/>
      <c r="AG45" s="1978"/>
      <c r="AH45" s="1978"/>
      <c r="AI45" s="516"/>
      <c r="AJ45" s="516"/>
      <c r="AK45" s="516"/>
      <c r="AL45" s="516"/>
      <c r="AM45" s="516"/>
      <c r="AN45" s="516"/>
      <c r="AO45" s="516"/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516"/>
      <c r="BA45" s="516"/>
      <c r="BB45" s="516"/>
      <c r="BC45" s="516"/>
      <c r="BD45" s="516"/>
      <c r="BE45" s="516"/>
      <c r="BF45" s="516"/>
      <c r="BG45" s="516"/>
      <c r="BH45" s="516"/>
      <c r="BI45" s="516"/>
      <c r="BJ45" s="516"/>
      <c r="BK45" s="516"/>
      <c r="BL45" s="516"/>
      <c r="BM45" s="516"/>
      <c r="BN45" s="516"/>
      <c r="BO45" s="516"/>
      <c r="BP45" s="516"/>
      <c r="BQ45" s="516"/>
      <c r="BR45" s="516"/>
      <c r="BS45" s="516"/>
      <c r="BT45" s="516"/>
      <c r="BU45" s="516"/>
      <c r="BV45" s="516"/>
      <c r="BW45" s="516"/>
      <c r="BX45" s="516"/>
      <c r="BY45" s="516"/>
      <c r="BZ45" s="516"/>
      <c r="CA45" s="516"/>
      <c r="CB45" s="516"/>
      <c r="CC45" s="516"/>
    </row>
    <row r="46" spans="1:81">
      <c r="A46" s="157"/>
      <c r="B46" s="179"/>
      <c r="C46" s="124"/>
      <c r="D46" s="131"/>
      <c r="E46" s="132"/>
      <c r="F46" s="124"/>
      <c r="G46" s="124"/>
      <c r="H46" s="124"/>
      <c r="I46" s="191"/>
      <c r="J46" s="124"/>
      <c r="K46" s="124"/>
      <c r="L46" s="143"/>
      <c r="M46" s="124"/>
      <c r="N46" s="124"/>
      <c r="O46" s="124"/>
      <c r="P46" s="143"/>
      <c r="Q46" s="124"/>
      <c r="R46" s="143"/>
      <c r="S46" s="143"/>
      <c r="T46" s="877"/>
      <c r="U46" s="144"/>
      <c r="V46" s="132"/>
      <c r="W46" s="124"/>
      <c r="X46" s="143"/>
      <c r="Y46" s="124"/>
      <c r="Z46" s="143"/>
      <c r="AA46" s="143"/>
      <c r="AB46" s="877"/>
      <c r="AC46" s="1978"/>
      <c r="AD46" s="1978"/>
      <c r="AE46" s="1978"/>
      <c r="AF46" s="1978"/>
      <c r="AG46" s="1978"/>
      <c r="AH46" s="1978"/>
      <c r="AI46" s="516"/>
      <c r="AJ46" s="516"/>
      <c r="AK46" s="516"/>
      <c r="AL46" s="516"/>
      <c r="AM46" s="516"/>
      <c r="AN46" s="516"/>
      <c r="AO46" s="516"/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516"/>
      <c r="BA46" s="516"/>
      <c r="BB46" s="516"/>
      <c r="BC46" s="516"/>
      <c r="BD46" s="516"/>
      <c r="BE46" s="516"/>
      <c r="BF46" s="516"/>
      <c r="BG46" s="516"/>
      <c r="BH46" s="516"/>
      <c r="BI46" s="516"/>
      <c r="BJ46" s="516"/>
      <c r="BK46" s="516"/>
      <c r="BL46" s="516"/>
      <c r="BM46" s="516"/>
      <c r="BN46" s="516"/>
      <c r="BO46" s="516"/>
      <c r="BP46" s="516"/>
      <c r="BQ46" s="516"/>
      <c r="BR46" s="516"/>
      <c r="BS46" s="516"/>
      <c r="BT46" s="516"/>
      <c r="BU46" s="516"/>
      <c r="BV46" s="516"/>
      <c r="BW46" s="516"/>
      <c r="BX46" s="516"/>
      <c r="BY46" s="516"/>
      <c r="BZ46" s="516"/>
      <c r="CA46" s="516"/>
      <c r="CB46" s="516"/>
      <c r="CC46" s="516"/>
    </row>
    <row r="47" spans="1:81">
      <c r="A47" s="157"/>
      <c r="B47" s="179"/>
      <c r="C47" s="124"/>
      <c r="D47" s="131"/>
      <c r="E47" s="132"/>
      <c r="F47" s="124"/>
      <c r="G47" s="124"/>
      <c r="H47" s="124"/>
      <c r="I47" s="191"/>
      <c r="J47" s="124"/>
      <c r="K47" s="124"/>
      <c r="L47" s="143"/>
      <c r="M47" s="124"/>
      <c r="N47" s="124"/>
      <c r="O47" s="124"/>
      <c r="P47" s="143"/>
      <c r="Q47" s="124"/>
      <c r="R47" s="143"/>
      <c r="S47" s="143"/>
      <c r="T47" s="877"/>
      <c r="U47" s="144"/>
      <c r="V47" s="132"/>
      <c r="W47" s="124"/>
      <c r="X47" s="143"/>
      <c r="Y47" s="124"/>
      <c r="Z47" s="143"/>
      <c r="AA47" s="143"/>
      <c r="AB47" s="877"/>
      <c r="AC47" s="1978"/>
      <c r="AD47" s="1978"/>
      <c r="AE47" s="1978"/>
      <c r="AF47" s="1978"/>
      <c r="AG47" s="1978"/>
      <c r="AH47" s="1978"/>
      <c r="AI47" s="516"/>
      <c r="AJ47" s="516"/>
      <c r="AK47" s="516"/>
      <c r="AL47" s="516"/>
      <c r="AM47" s="516"/>
      <c r="AN47" s="516"/>
      <c r="AO47" s="516"/>
      <c r="AP47" s="516"/>
      <c r="AQ47" s="516"/>
      <c r="AR47" s="516"/>
      <c r="AS47" s="516"/>
      <c r="AT47" s="516"/>
      <c r="AU47" s="516"/>
      <c r="AV47" s="516"/>
      <c r="AW47" s="516"/>
      <c r="AX47" s="516"/>
      <c r="AY47" s="516"/>
      <c r="AZ47" s="516"/>
      <c r="BA47" s="516"/>
      <c r="BB47" s="516"/>
      <c r="BC47" s="516"/>
      <c r="BD47" s="516"/>
      <c r="BE47" s="516"/>
      <c r="BF47" s="516"/>
      <c r="BG47" s="516"/>
      <c r="BH47" s="516"/>
      <c r="BI47" s="516"/>
      <c r="BJ47" s="516"/>
      <c r="BK47" s="516"/>
      <c r="BL47" s="516"/>
      <c r="BM47" s="516"/>
      <c r="BN47" s="516"/>
      <c r="BO47" s="516"/>
      <c r="BP47" s="516"/>
      <c r="BQ47" s="516"/>
      <c r="BR47" s="516"/>
      <c r="BS47" s="516"/>
      <c r="BT47" s="516"/>
      <c r="BU47" s="516"/>
      <c r="BV47" s="516"/>
      <c r="BW47" s="516"/>
      <c r="BX47" s="516"/>
      <c r="BY47" s="516"/>
      <c r="BZ47" s="516"/>
      <c r="CA47" s="516"/>
      <c r="CB47" s="516"/>
      <c r="CC47" s="516"/>
    </row>
    <row r="48" spans="1:81">
      <c r="A48" s="157"/>
      <c r="B48" s="179"/>
      <c r="C48" s="124"/>
      <c r="D48" s="131"/>
      <c r="E48" s="132"/>
      <c r="F48" s="124"/>
      <c r="G48" s="124"/>
      <c r="H48" s="124"/>
      <c r="I48" s="191"/>
      <c r="J48" s="124"/>
      <c r="K48" s="124"/>
      <c r="L48" s="143"/>
      <c r="M48" s="124"/>
      <c r="N48" s="124"/>
      <c r="O48" s="124"/>
      <c r="P48" s="143"/>
      <c r="Q48" s="124"/>
      <c r="R48" s="143"/>
      <c r="S48" s="143"/>
      <c r="T48" s="877"/>
      <c r="U48" s="144"/>
      <c r="V48" s="132"/>
      <c r="W48" s="124"/>
      <c r="X48" s="143"/>
      <c r="Y48" s="124"/>
      <c r="Z48" s="143"/>
      <c r="AA48" s="143"/>
      <c r="AB48" s="877"/>
      <c r="AC48" s="1978"/>
      <c r="AD48" s="1978"/>
      <c r="AE48" s="1978"/>
      <c r="AF48" s="1978"/>
      <c r="AG48" s="1978"/>
      <c r="AH48" s="1978"/>
      <c r="AI48" s="516"/>
      <c r="AJ48" s="516"/>
      <c r="AK48" s="516"/>
      <c r="AL48" s="516"/>
      <c r="AM48" s="516"/>
      <c r="AN48" s="516"/>
      <c r="AO48" s="516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516"/>
      <c r="BA48" s="516"/>
      <c r="BB48" s="516"/>
      <c r="BC48" s="516"/>
      <c r="BD48" s="516"/>
      <c r="BE48" s="516"/>
      <c r="BF48" s="516"/>
      <c r="BG48" s="516"/>
      <c r="BH48" s="516"/>
      <c r="BI48" s="516"/>
      <c r="BJ48" s="516"/>
      <c r="BK48" s="516"/>
      <c r="BL48" s="516"/>
      <c r="BM48" s="516"/>
      <c r="BN48" s="516"/>
      <c r="BO48" s="516"/>
      <c r="BP48" s="516"/>
      <c r="BQ48" s="516"/>
      <c r="BR48" s="516"/>
      <c r="BS48" s="516"/>
      <c r="BT48" s="516"/>
      <c r="BU48" s="516"/>
      <c r="BV48" s="516"/>
      <c r="BW48" s="516"/>
      <c r="BX48" s="516"/>
      <c r="BY48" s="516"/>
      <c r="BZ48" s="516"/>
      <c r="CA48" s="516"/>
      <c r="CB48" s="516"/>
      <c r="CC48" s="516"/>
    </row>
    <row r="49" spans="1:81">
      <c r="A49" s="157"/>
      <c r="B49" s="179"/>
      <c r="C49" s="124"/>
      <c r="D49" s="131"/>
      <c r="E49" s="146"/>
      <c r="F49" s="124"/>
      <c r="G49" s="124"/>
      <c r="H49" s="124"/>
      <c r="I49" s="191"/>
      <c r="J49" s="124"/>
      <c r="K49" s="124"/>
      <c r="L49" s="143"/>
      <c r="M49" s="124"/>
      <c r="N49" s="124"/>
      <c r="O49" s="124"/>
      <c r="P49" s="143"/>
      <c r="Q49" s="124"/>
      <c r="R49" s="143"/>
      <c r="S49" s="143"/>
      <c r="T49" s="877"/>
      <c r="U49" s="144"/>
      <c r="V49" s="146"/>
      <c r="W49" s="124"/>
      <c r="X49" s="143"/>
      <c r="Y49" s="124"/>
      <c r="Z49" s="143"/>
      <c r="AA49" s="143"/>
      <c r="AB49" s="877"/>
      <c r="AC49" s="1978"/>
      <c r="AD49" s="1978"/>
      <c r="AE49" s="1978"/>
      <c r="AF49" s="1978"/>
      <c r="AG49" s="1978"/>
      <c r="AH49" s="1978"/>
      <c r="AI49" s="516"/>
      <c r="AJ49" s="516"/>
      <c r="AK49" s="516"/>
      <c r="AL49" s="516"/>
      <c r="AM49" s="516"/>
      <c r="AN49" s="516"/>
      <c r="AO49" s="516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516"/>
      <c r="BA49" s="516"/>
      <c r="BB49" s="516"/>
      <c r="BC49" s="516"/>
      <c r="BD49" s="516"/>
      <c r="BE49" s="516"/>
      <c r="BF49" s="516"/>
      <c r="BG49" s="516"/>
      <c r="BH49" s="516"/>
      <c r="BI49" s="516"/>
      <c r="BJ49" s="516"/>
      <c r="BK49" s="516"/>
      <c r="BL49" s="516"/>
      <c r="BM49" s="516"/>
      <c r="BN49" s="516"/>
      <c r="BO49" s="516"/>
      <c r="BP49" s="516"/>
      <c r="BQ49" s="516"/>
      <c r="BR49" s="516"/>
      <c r="BS49" s="516"/>
      <c r="BT49" s="516"/>
      <c r="BU49" s="516"/>
      <c r="BV49" s="516"/>
      <c r="BW49" s="516"/>
      <c r="BX49" s="516"/>
      <c r="BY49" s="516"/>
      <c r="BZ49" s="516"/>
      <c r="CA49" s="516"/>
      <c r="CB49" s="516"/>
      <c r="CC49" s="516"/>
    </row>
    <row r="50" spans="1:81">
      <c r="A50" s="157"/>
      <c r="B50" s="179"/>
      <c r="C50" s="124"/>
      <c r="D50" s="131"/>
      <c r="E50" s="146"/>
      <c r="F50" s="124"/>
      <c r="G50" s="124"/>
      <c r="H50" s="124"/>
      <c r="I50" s="191"/>
      <c r="J50" s="124"/>
      <c r="K50" s="124"/>
      <c r="L50" s="143"/>
      <c r="M50" s="124"/>
      <c r="N50" s="124"/>
      <c r="O50" s="124"/>
      <c r="P50" s="143"/>
      <c r="Q50" s="124"/>
      <c r="R50" s="143"/>
      <c r="S50" s="143"/>
      <c r="T50" s="877"/>
      <c r="U50" s="144"/>
      <c r="V50" s="146"/>
      <c r="W50" s="124"/>
      <c r="X50" s="143"/>
      <c r="Y50" s="124"/>
      <c r="Z50" s="143"/>
      <c r="AA50" s="143"/>
      <c r="AB50" s="877"/>
      <c r="AC50" s="1978"/>
      <c r="AD50" s="1978"/>
      <c r="AE50" s="1978"/>
      <c r="AF50" s="1978"/>
      <c r="AG50" s="1978"/>
      <c r="AH50" s="1978"/>
      <c r="AI50" s="516"/>
      <c r="AJ50" s="516"/>
      <c r="AK50" s="516"/>
      <c r="AL50" s="516"/>
      <c r="AM50" s="516"/>
      <c r="AN50" s="516"/>
      <c r="AO50" s="516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516"/>
      <c r="BA50" s="516"/>
      <c r="BB50" s="516"/>
      <c r="BC50" s="516"/>
      <c r="BD50" s="516"/>
      <c r="BE50" s="516"/>
      <c r="BF50" s="516"/>
      <c r="BG50" s="516"/>
      <c r="BH50" s="516"/>
      <c r="BI50" s="516"/>
      <c r="BJ50" s="516"/>
      <c r="BK50" s="516"/>
      <c r="BL50" s="516"/>
      <c r="BM50" s="516"/>
      <c r="BN50" s="516"/>
      <c r="BO50" s="516"/>
      <c r="BP50" s="516"/>
      <c r="BQ50" s="516"/>
      <c r="BR50" s="516"/>
      <c r="BS50" s="516"/>
      <c r="BT50" s="516"/>
      <c r="BU50" s="516"/>
      <c r="BV50" s="516"/>
      <c r="BW50" s="516"/>
      <c r="BX50" s="516"/>
      <c r="BY50" s="516"/>
      <c r="BZ50" s="516"/>
      <c r="CA50" s="516"/>
      <c r="CB50" s="516"/>
      <c r="CC50" s="516"/>
    </row>
    <row r="51" spans="1:81">
      <c r="A51" s="157"/>
      <c r="B51" s="179"/>
      <c r="C51" s="124"/>
      <c r="D51" s="131"/>
      <c r="E51" s="146"/>
      <c r="F51" s="124"/>
      <c r="G51" s="124"/>
      <c r="H51" s="124"/>
      <c r="I51" s="191"/>
      <c r="J51" s="124"/>
      <c r="K51" s="124"/>
      <c r="L51" s="143"/>
      <c r="M51" s="124"/>
      <c r="N51" s="124"/>
      <c r="O51" s="124"/>
      <c r="P51" s="143"/>
      <c r="Q51" s="124"/>
      <c r="R51" s="143"/>
      <c r="S51" s="143"/>
      <c r="T51" s="877"/>
      <c r="U51" s="144"/>
      <c r="V51" s="146"/>
      <c r="W51" s="124"/>
      <c r="X51" s="143"/>
      <c r="Y51" s="124"/>
      <c r="Z51" s="143"/>
      <c r="AA51" s="143"/>
      <c r="AB51" s="877"/>
      <c r="AC51" s="1978"/>
      <c r="AD51" s="1978"/>
      <c r="AE51" s="1978"/>
      <c r="AF51" s="1978"/>
      <c r="AG51" s="1978"/>
      <c r="AH51" s="1978"/>
      <c r="AI51" s="516"/>
      <c r="AJ51" s="516"/>
      <c r="AK51" s="516"/>
      <c r="AL51" s="516"/>
      <c r="AM51" s="516"/>
      <c r="AN51" s="516"/>
      <c r="AO51" s="516"/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516"/>
      <c r="BA51" s="516"/>
      <c r="BB51" s="516"/>
      <c r="BC51" s="516"/>
      <c r="BD51" s="516"/>
      <c r="BE51" s="516"/>
      <c r="BF51" s="516"/>
      <c r="BG51" s="516"/>
      <c r="BH51" s="516"/>
      <c r="BI51" s="516"/>
      <c r="BJ51" s="516"/>
      <c r="BK51" s="516"/>
      <c r="BL51" s="516"/>
      <c r="BM51" s="516"/>
      <c r="BN51" s="516"/>
      <c r="BO51" s="516"/>
      <c r="BP51" s="516"/>
      <c r="BQ51" s="516"/>
      <c r="BR51" s="516"/>
      <c r="BS51" s="516"/>
      <c r="BT51" s="516"/>
      <c r="BU51" s="516"/>
      <c r="BV51" s="516"/>
      <c r="BW51" s="516"/>
      <c r="BX51" s="516"/>
      <c r="BY51" s="516"/>
      <c r="BZ51" s="516"/>
      <c r="CA51" s="516"/>
      <c r="CB51" s="516"/>
      <c r="CC51" s="516"/>
    </row>
    <row r="52" spans="1:81">
      <c r="A52" s="157"/>
      <c r="B52" s="179"/>
      <c r="C52" s="124"/>
      <c r="D52" s="131"/>
      <c r="E52" s="146"/>
      <c r="F52" s="124"/>
      <c r="G52" s="124"/>
      <c r="H52" s="124"/>
      <c r="I52" s="191"/>
      <c r="J52" s="124"/>
      <c r="K52" s="124"/>
      <c r="L52" s="143"/>
      <c r="M52" s="124"/>
      <c r="N52" s="124"/>
      <c r="O52" s="124"/>
      <c r="P52" s="143"/>
      <c r="Q52" s="124"/>
      <c r="R52" s="143"/>
      <c r="S52" s="143"/>
      <c r="T52" s="877"/>
      <c r="U52" s="144"/>
      <c r="V52" s="146"/>
      <c r="W52" s="124"/>
      <c r="X52" s="143"/>
      <c r="Y52" s="124"/>
      <c r="Z52" s="143"/>
      <c r="AA52" s="143"/>
      <c r="AB52" s="877"/>
      <c r="AC52" s="1978"/>
      <c r="AD52" s="1978"/>
      <c r="AE52" s="1978"/>
      <c r="AF52" s="1978"/>
      <c r="AG52" s="1978"/>
      <c r="AH52" s="1978"/>
      <c r="AI52" s="516"/>
      <c r="AJ52" s="516"/>
      <c r="AK52" s="516"/>
      <c r="AL52" s="516"/>
      <c r="AM52" s="516"/>
      <c r="AN52" s="516"/>
      <c r="AO52" s="516"/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516"/>
      <c r="BA52" s="516"/>
      <c r="BB52" s="516"/>
      <c r="BC52" s="516"/>
      <c r="BD52" s="516"/>
      <c r="BE52" s="516"/>
      <c r="BF52" s="516"/>
      <c r="BG52" s="516"/>
      <c r="BH52" s="516"/>
      <c r="BI52" s="516"/>
      <c r="BJ52" s="516"/>
      <c r="BK52" s="516"/>
      <c r="BL52" s="516"/>
      <c r="BM52" s="516"/>
      <c r="BN52" s="516"/>
      <c r="BO52" s="516"/>
      <c r="BP52" s="516"/>
      <c r="BQ52" s="516"/>
      <c r="BR52" s="516"/>
      <c r="BS52" s="516"/>
      <c r="BT52" s="516"/>
      <c r="BU52" s="516"/>
      <c r="BV52" s="516"/>
      <c r="BW52" s="516"/>
      <c r="BX52" s="516"/>
      <c r="BY52" s="516"/>
      <c r="BZ52" s="516"/>
      <c r="CA52" s="516"/>
      <c r="CB52" s="516"/>
      <c r="CC52" s="516"/>
    </row>
    <row r="53" spans="1:81">
      <c r="A53" s="157"/>
      <c r="B53" s="179"/>
      <c r="C53" s="124"/>
      <c r="D53" s="131"/>
      <c r="E53" s="146"/>
      <c r="F53" s="124"/>
      <c r="G53" s="124"/>
      <c r="H53" s="124"/>
      <c r="I53" s="191"/>
      <c r="J53" s="124"/>
      <c r="K53" s="124"/>
      <c r="L53" s="143"/>
      <c r="M53" s="124"/>
      <c r="N53" s="124"/>
      <c r="O53" s="124"/>
      <c r="P53" s="143"/>
      <c r="Q53" s="124"/>
      <c r="R53" s="143"/>
      <c r="S53" s="143"/>
      <c r="T53" s="877"/>
      <c r="U53" s="144"/>
      <c r="V53" s="146"/>
      <c r="W53" s="124"/>
      <c r="X53" s="143"/>
      <c r="Y53" s="124"/>
      <c r="Z53" s="143"/>
      <c r="AA53" s="143"/>
      <c r="AB53" s="877"/>
      <c r="AC53" s="1978"/>
      <c r="AD53" s="1978"/>
      <c r="AE53" s="1978"/>
      <c r="AF53" s="1978"/>
      <c r="AG53" s="1978"/>
      <c r="AH53" s="1978"/>
      <c r="AI53" s="516"/>
      <c r="AJ53" s="516"/>
      <c r="AK53" s="516"/>
      <c r="AL53" s="516"/>
      <c r="AM53" s="516"/>
      <c r="AN53" s="516"/>
      <c r="AO53" s="516"/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6"/>
      <c r="BQ53" s="516"/>
      <c r="BR53" s="516"/>
      <c r="BS53" s="516"/>
      <c r="BT53" s="516"/>
      <c r="BU53" s="516"/>
      <c r="BV53" s="516"/>
      <c r="BW53" s="516"/>
      <c r="BX53" s="516"/>
      <c r="BY53" s="516"/>
      <c r="BZ53" s="516"/>
      <c r="CA53" s="516"/>
      <c r="CB53" s="516"/>
      <c r="CC53" s="516"/>
    </row>
    <row r="54" spans="1:81">
      <c r="A54" s="157"/>
      <c r="B54" s="179"/>
      <c r="C54" s="124"/>
      <c r="D54" s="131"/>
      <c r="E54" s="146"/>
      <c r="F54" s="124"/>
      <c r="G54" s="124"/>
      <c r="H54" s="124"/>
      <c r="I54" s="191"/>
      <c r="J54" s="124"/>
      <c r="K54" s="124"/>
      <c r="L54" s="143"/>
      <c r="M54" s="124"/>
      <c r="N54" s="124"/>
      <c r="O54" s="124"/>
      <c r="P54" s="143"/>
      <c r="Q54" s="124"/>
      <c r="R54" s="143"/>
      <c r="S54" s="143"/>
      <c r="T54" s="877"/>
      <c r="U54" s="144"/>
      <c r="V54" s="146"/>
      <c r="W54" s="124"/>
      <c r="X54" s="143"/>
      <c r="Y54" s="124"/>
      <c r="Z54" s="143"/>
      <c r="AA54" s="143"/>
      <c r="AB54" s="877"/>
      <c r="AC54" s="1978"/>
      <c r="AD54" s="1978"/>
      <c r="AE54" s="1978"/>
      <c r="AF54" s="1978"/>
      <c r="AG54" s="1978"/>
      <c r="AH54" s="1978"/>
      <c r="AI54" s="516"/>
      <c r="AJ54" s="516"/>
      <c r="AK54" s="516"/>
      <c r="AL54" s="516"/>
      <c r="AM54" s="516"/>
      <c r="AN54" s="516"/>
      <c r="AO54" s="516"/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516"/>
      <c r="BA54" s="516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516"/>
      <c r="BM54" s="516"/>
      <c r="BN54" s="516"/>
      <c r="BO54" s="516"/>
      <c r="BP54" s="516"/>
      <c r="BQ54" s="516"/>
      <c r="BR54" s="516"/>
      <c r="BS54" s="516"/>
      <c r="BT54" s="516"/>
      <c r="BU54" s="516"/>
      <c r="BV54" s="516"/>
      <c r="BW54" s="516"/>
      <c r="BX54" s="516"/>
      <c r="BY54" s="516"/>
      <c r="BZ54" s="516"/>
      <c r="CA54" s="516"/>
      <c r="CB54" s="516"/>
      <c r="CC54" s="516"/>
    </row>
    <row r="55" spans="1:81">
      <c r="A55" s="157"/>
      <c r="B55" s="179"/>
      <c r="C55" s="124"/>
      <c r="D55" s="131"/>
      <c r="E55" s="146"/>
      <c r="F55" s="124"/>
      <c r="G55" s="124"/>
      <c r="H55" s="124"/>
      <c r="I55" s="191"/>
      <c r="J55" s="124"/>
      <c r="K55" s="124"/>
      <c r="L55" s="143"/>
      <c r="M55" s="124"/>
      <c r="N55" s="124"/>
      <c r="O55" s="124"/>
      <c r="P55" s="143"/>
      <c r="Q55" s="124"/>
      <c r="R55" s="143"/>
      <c r="S55" s="143"/>
      <c r="T55" s="877"/>
      <c r="U55" s="144"/>
      <c r="V55" s="146"/>
      <c r="W55" s="124"/>
      <c r="X55" s="143"/>
      <c r="Y55" s="124"/>
      <c r="Z55" s="143"/>
      <c r="AA55" s="143"/>
      <c r="AB55" s="877"/>
      <c r="AC55" s="1978"/>
      <c r="AD55" s="1978"/>
      <c r="AE55" s="1978"/>
      <c r="AF55" s="1978"/>
      <c r="AG55" s="1978"/>
      <c r="AH55" s="1978"/>
      <c r="AI55" s="516"/>
      <c r="AJ55" s="516"/>
      <c r="AK55" s="516"/>
      <c r="AL55" s="516"/>
      <c r="AM55" s="516"/>
      <c r="AN55" s="516"/>
      <c r="AO55" s="516"/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516"/>
      <c r="BA55" s="516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516"/>
      <c r="BM55" s="516"/>
      <c r="BN55" s="516"/>
      <c r="BO55" s="516"/>
      <c r="BP55" s="516"/>
      <c r="BQ55" s="516"/>
      <c r="BR55" s="516"/>
      <c r="BS55" s="516"/>
      <c r="BT55" s="516"/>
      <c r="BU55" s="516"/>
      <c r="BV55" s="516"/>
      <c r="BW55" s="516"/>
      <c r="BX55" s="516"/>
      <c r="BY55" s="516"/>
      <c r="BZ55" s="516"/>
      <c r="CA55" s="516"/>
      <c r="CB55" s="516"/>
      <c r="CC55" s="516"/>
    </row>
    <row r="56" spans="1:81">
      <c r="A56" s="157"/>
      <c r="B56" s="179"/>
      <c r="C56" s="124"/>
      <c r="D56" s="131"/>
      <c r="E56" s="132"/>
      <c r="F56" s="124"/>
      <c r="G56" s="124"/>
      <c r="H56" s="124"/>
      <c r="I56" s="124"/>
      <c r="J56" s="124"/>
      <c r="K56" s="124"/>
      <c r="L56" s="143"/>
      <c r="M56" s="124"/>
      <c r="N56" s="124"/>
      <c r="O56" s="124"/>
      <c r="P56" s="143"/>
      <c r="Q56" s="124"/>
      <c r="R56" s="143"/>
      <c r="S56" s="143"/>
      <c r="T56" s="877"/>
      <c r="U56" s="144"/>
      <c r="V56" s="132"/>
      <c r="W56" s="124"/>
      <c r="X56" s="143"/>
      <c r="Y56" s="124"/>
      <c r="Z56" s="143"/>
      <c r="AA56" s="143"/>
      <c r="AB56" s="877"/>
      <c r="AC56" s="1978"/>
      <c r="AD56" s="1978"/>
      <c r="AE56" s="1978"/>
      <c r="AF56" s="1978"/>
      <c r="AG56" s="1978"/>
      <c r="AH56" s="1978"/>
      <c r="AI56" s="516"/>
      <c r="AJ56" s="516"/>
      <c r="AK56" s="516"/>
      <c r="AL56" s="516"/>
      <c r="AM56" s="516"/>
      <c r="AN56" s="516"/>
      <c r="AO56" s="516"/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516"/>
      <c r="BA56" s="516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516"/>
      <c r="BM56" s="516"/>
      <c r="BN56" s="516"/>
      <c r="BO56" s="516"/>
      <c r="BP56" s="516"/>
      <c r="BQ56" s="516"/>
      <c r="BR56" s="516"/>
      <c r="BS56" s="516"/>
      <c r="BT56" s="516"/>
      <c r="BU56" s="516"/>
      <c r="BV56" s="516"/>
      <c r="BW56" s="516"/>
      <c r="BX56" s="516"/>
      <c r="BY56" s="516"/>
      <c r="BZ56" s="516"/>
      <c r="CA56" s="516"/>
      <c r="CB56" s="516"/>
      <c r="CC56" s="516"/>
    </row>
    <row r="57" spans="1:81" ht="12.75">
      <c r="A57" s="159"/>
      <c r="B57" s="340" t="s">
        <v>17</v>
      </c>
      <c r="C57" s="892">
        <f t="shared" ref="C57:AB57" si="1">SUM(C15:C56)</f>
        <v>516000</v>
      </c>
      <c r="D57" s="892">
        <f t="shared" si="1"/>
        <v>516000</v>
      </c>
      <c r="E57" s="892">
        <f t="shared" si="1"/>
        <v>4</v>
      </c>
      <c r="F57" s="892">
        <f t="shared" si="1"/>
        <v>516000</v>
      </c>
      <c r="G57" s="892">
        <f t="shared" si="1"/>
        <v>0</v>
      </c>
      <c r="H57" s="892">
        <f t="shared" si="1"/>
        <v>0</v>
      </c>
      <c r="I57" s="892">
        <f t="shared" si="1"/>
        <v>204000</v>
      </c>
      <c r="J57" s="892">
        <f t="shared" si="1"/>
        <v>102000</v>
      </c>
      <c r="K57" s="892">
        <f t="shared" si="1"/>
        <v>0</v>
      </c>
      <c r="L57" s="892">
        <f t="shared" si="1"/>
        <v>102000</v>
      </c>
      <c r="M57" s="892">
        <f t="shared" si="1"/>
        <v>0</v>
      </c>
      <c r="N57" s="892">
        <f t="shared" si="1"/>
        <v>0</v>
      </c>
      <c r="O57" s="892">
        <f t="shared" si="1"/>
        <v>0.5</v>
      </c>
      <c r="P57" s="892">
        <f t="shared" si="1"/>
        <v>102000</v>
      </c>
      <c r="Q57" s="892">
        <f t="shared" si="1"/>
        <v>0.5</v>
      </c>
      <c r="R57" s="892">
        <f t="shared" si="1"/>
        <v>102000</v>
      </c>
      <c r="S57" s="892">
        <f t="shared" si="1"/>
        <v>0</v>
      </c>
      <c r="T57" s="893">
        <f>W57-L57</f>
        <v>414000</v>
      </c>
      <c r="U57" s="892">
        <f t="shared" si="1"/>
        <v>516000</v>
      </c>
      <c r="V57" s="892">
        <f t="shared" si="1"/>
        <v>4</v>
      </c>
      <c r="W57" s="892">
        <f t="shared" si="1"/>
        <v>516000</v>
      </c>
      <c r="X57" s="892">
        <f t="shared" si="1"/>
        <v>102000</v>
      </c>
      <c r="Y57" s="892">
        <f t="shared" si="1"/>
        <v>0</v>
      </c>
      <c r="Z57" s="892">
        <f t="shared" si="1"/>
        <v>102000</v>
      </c>
      <c r="AA57" s="892">
        <f t="shared" si="1"/>
        <v>0</v>
      </c>
      <c r="AB57" s="892">
        <f t="shared" si="1"/>
        <v>516000</v>
      </c>
      <c r="AC57" s="1978"/>
      <c r="AD57" s="1978"/>
      <c r="AE57" s="1978"/>
      <c r="AF57" s="1978"/>
      <c r="AG57" s="1978"/>
      <c r="AH57" s="1978"/>
      <c r="AI57" s="516"/>
      <c r="AJ57" s="516"/>
      <c r="AK57" s="516"/>
      <c r="AL57" s="516"/>
      <c r="AM57" s="516"/>
      <c r="AN57" s="516"/>
      <c r="AO57" s="516"/>
      <c r="AP57" s="516"/>
      <c r="AQ57" s="516"/>
      <c r="AR57" s="516"/>
      <c r="AS57" s="516"/>
      <c r="AT57" s="516"/>
      <c r="AU57" s="516"/>
      <c r="AV57" s="516"/>
      <c r="AW57" s="516"/>
      <c r="AX57" s="516"/>
      <c r="AY57" s="516"/>
      <c r="AZ57" s="516"/>
      <c r="BA57" s="516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516"/>
      <c r="BM57" s="516"/>
      <c r="BN57" s="516"/>
      <c r="BO57" s="516"/>
      <c r="BP57" s="516"/>
      <c r="BQ57" s="516"/>
      <c r="BR57" s="516"/>
      <c r="BS57" s="516"/>
      <c r="BT57" s="516"/>
      <c r="BU57" s="516"/>
      <c r="BV57" s="516"/>
      <c r="BW57" s="516"/>
      <c r="BX57" s="516"/>
      <c r="BY57" s="516"/>
      <c r="BZ57" s="516"/>
      <c r="CA57" s="516"/>
      <c r="CB57" s="516"/>
      <c r="CC57" s="516"/>
    </row>
    <row r="58" spans="1:81" ht="12.75">
      <c r="A58" s="1347"/>
      <c r="B58" s="1348"/>
      <c r="C58" s="896"/>
      <c r="D58" s="896"/>
      <c r="E58" s="896"/>
      <c r="F58" s="1003"/>
      <c r="G58" s="1003"/>
      <c r="H58" s="1003"/>
      <c r="I58" s="1003"/>
      <c r="J58" s="1003"/>
      <c r="K58" s="1003"/>
      <c r="L58" s="1003"/>
      <c r="M58" s="1003"/>
      <c r="N58" s="1003"/>
      <c r="O58" s="896"/>
      <c r="P58" s="1003"/>
      <c r="Q58" s="896"/>
      <c r="R58" s="896"/>
      <c r="S58" s="1004"/>
      <c r="T58" s="1004"/>
      <c r="U58" s="896"/>
      <c r="V58" s="896"/>
      <c r="W58" s="1003"/>
      <c r="X58" s="1004"/>
      <c r="Y58" s="1004"/>
      <c r="Z58" s="1004"/>
      <c r="AA58" s="1004"/>
      <c r="AB58" s="1004"/>
      <c r="AC58" s="1978"/>
      <c r="AD58" s="1978"/>
      <c r="AE58" s="1978"/>
      <c r="AF58" s="1978"/>
      <c r="AG58" s="1978"/>
      <c r="AH58" s="1978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</row>
    <row r="59" spans="1:81" ht="12.75">
      <c r="A59" s="1347"/>
      <c r="B59" s="1348"/>
      <c r="C59" s="896"/>
      <c r="D59" s="896"/>
      <c r="E59" s="896"/>
      <c r="F59" s="1003"/>
      <c r="G59" s="1003"/>
      <c r="H59" s="1003"/>
      <c r="I59" s="1003"/>
      <c r="J59" s="1003"/>
      <c r="K59" s="1003"/>
      <c r="L59" s="1003"/>
      <c r="M59" s="1003"/>
      <c r="N59" s="1003"/>
      <c r="O59" s="896"/>
      <c r="P59" s="1003"/>
      <c r="Q59" s="896"/>
      <c r="R59" s="896"/>
      <c r="S59" s="1004"/>
      <c r="T59" s="1004"/>
      <c r="U59" s="896"/>
      <c r="V59" s="896"/>
      <c r="W59" s="1003"/>
      <c r="X59" s="1004"/>
      <c r="Y59" s="1004"/>
      <c r="Z59" s="1004"/>
      <c r="AA59" s="1004"/>
      <c r="AB59" s="1004"/>
      <c r="AC59" s="1978"/>
      <c r="AD59" s="1978"/>
      <c r="AE59" s="1978"/>
      <c r="AF59" s="1978"/>
      <c r="AG59" s="1978"/>
      <c r="AH59" s="1978"/>
      <c r="AI59" s="516"/>
      <c r="AJ59" s="516"/>
      <c r="AK59" s="516"/>
      <c r="AL59" s="516"/>
      <c r="AM59" s="516"/>
      <c r="AN59" s="516"/>
      <c r="AO59" s="516"/>
      <c r="AP59" s="516"/>
      <c r="AQ59" s="516"/>
      <c r="AR59" s="516"/>
      <c r="AS59" s="516"/>
      <c r="AT59" s="516"/>
      <c r="AU59" s="516"/>
      <c r="AV59" s="516"/>
      <c r="AW59" s="516"/>
      <c r="AX59" s="516"/>
      <c r="AY59" s="516"/>
      <c r="AZ59" s="516"/>
      <c r="BA59" s="516"/>
      <c r="BB59" s="516"/>
      <c r="BC59" s="516"/>
      <c r="BD59" s="516"/>
      <c r="BE59" s="516"/>
      <c r="BF59" s="516"/>
      <c r="BG59" s="516"/>
      <c r="BH59" s="516"/>
      <c r="BI59" s="516"/>
      <c r="BJ59" s="516"/>
      <c r="BK59" s="516"/>
      <c r="BL59" s="516"/>
      <c r="BM59" s="516"/>
      <c r="BN59" s="516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</row>
    <row r="60" spans="1:81" ht="12.75">
      <c r="A60" s="166"/>
      <c r="B60" s="166"/>
      <c r="C60" s="896"/>
      <c r="D60" s="896"/>
      <c r="E60" s="896"/>
      <c r="F60" s="1003"/>
      <c r="G60" s="896"/>
      <c r="H60" s="896"/>
      <c r="I60" s="896"/>
      <c r="J60" s="896"/>
      <c r="K60" s="896"/>
      <c r="L60" s="896"/>
      <c r="M60" s="896"/>
      <c r="N60" s="896"/>
      <c r="O60" s="896"/>
      <c r="P60" s="896"/>
      <c r="Q60" s="1004"/>
      <c r="R60" s="896"/>
      <c r="S60" s="1004"/>
      <c r="T60" s="1004"/>
      <c r="U60" s="896"/>
      <c r="V60" s="896"/>
      <c r="W60" s="1003"/>
      <c r="X60" s="1004"/>
      <c r="Y60" s="1004"/>
      <c r="Z60" s="1004"/>
      <c r="AA60" s="1004"/>
      <c r="AB60" s="1004"/>
      <c r="AC60" s="1978"/>
      <c r="AD60" s="1978"/>
      <c r="AE60" s="1978"/>
      <c r="AF60" s="1978"/>
      <c r="AG60" s="1978"/>
      <c r="AH60" s="1978"/>
      <c r="AI60" s="516"/>
      <c r="AJ60" s="516"/>
      <c r="AK60" s="516"/>
      <c r="AL60" s="516"/>
      <c r="AM60" s="516"/>
      <c r="AN60" s="516"/>
      <c r="AO60" s="516"/>
      <c r="AP60" s="516"/>
      <c r="AQ60" s="516"/>
      <c r="AR60" s="516"/>
      <c r="AS60" s="516"/>
      <c r="AT60" s="516"/>
      <c r="AU60" s="516"/>
      <c r="AV60" s="516"/>
      <c r="AW60" s="516"/>
      <c r="AX60" s="516"/>
      <c r="AY60" s="516"/>
      <c r="AZ60" s="516"/>
      <c r="BA60" s="516"/>
      <c r="BB60" s="516"/>
      <c r="BC60" s="516"/>
      <c r="BD60" s="516"/>
      <c r="BE60" s="516"/>
      <c r="BF60" s="516"/>
      <c r="BG60" s="516"/>
      <c r="BH60" s="516"/>
      <c r="BI60" s="516"/>
      <c r="BJ60" s="516"/>
      <c r="BK60" s="516"/>
      <c r="BL60" s="516"/>
      <c r="BM60" s="516"/>
      <c r="BN60" s="516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</row>
    <row r="61" spans="1:81" ht="12.75">
      <c r="A61" s="166"/>
      <c r="B61" s="166"/>
      <c r="C61" s="166"/>
      <c r="D61" s="166"/>
      <c r="E61" s="166"/>
      <c r="F61" s="1349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523"/>
      <c r="R61" s="166"/>
      <c r="S61" s="523"/>
      <c r="T61" s="523"/>
      <c r="U61" s="166"/>
      <c r="V61" s="166"/>
      <c r="W61" s="1349"/>
      <c r="X61" s="523"/>
      <c r="Y61" s="523"/>
      <c r="Z61" s="523"/>
      <c r="AA61" s="523"/>
      <c r="AB61" s="523"/>
      <c r="AC61" s="1978"/>
      <c r="AD61" s="1978"/>
      <c r="AE61" s="1978"/>
      <c r="AF61" s="1978"/>
      <c r="AG61" s="1978"/>
      <c r="AH61" s="1978"/>
      <c r="AI61" s="516"/>
      <c r="AJ61" s="516"/>
      <c r="AK61" s="516"/>
      <c r="AL61" s="516"/>
      <c r="AM61" s="516"/>
      <c r="AN61" s="516"/>
      <c r="AO61" s="516"/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516"/>
      <c r="BB61" s="516"/>
      <c r="BC61" s="516"/>
      <c r="BD61" s="516"/>
      <c r="BE61" s="516"/>
      <c r="BF61" s="516"/>
      <c r="BG61" s="516"/>
      <c r="BH61" s="516"/>
      <c r="BI61" s="516"/>
      <c r="BJ61" s="516"/>
      <c r="BK61" s="516"/>
      <c r="BL61" s="516"/>
      <c r="BM61" s="516"/>
      <c r="BN61" s="516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</row>
    <row r="62" spans="1:81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8"/>
      <c r="R62" s="67"/>
      <c r="S62" s="68"/>
      <c r="T62" s="68"/>
      <c r="U62" s="67"/>
      <c r="V62" s="67"/>
      <c r="W62" s="67"/>
      <c r="X62" s="68"/>
      <c r="Y62" s="68"/>
      <c r="Z62" s="68"/>
      <c r="AA62" s="68"/>
      <c r="AB62" s="68"/>
      <c r="AC62" s="1978"/>
      <c r="AD62" s="1978"/>
      <c r="AE62" s="1978"/>
      <c r="AF62" s="1978"/>
      <c r="AG62" s="1978"/>
      <c r="AH62" s="1978"/>
      <c r="AI62" s="516"/>
      <c r="AJ62" s="516"/>
      <c r="AK62" s="516"/>
      <c r="AL62" s="516"/>
      <c r="AM62" s="516"/>
      <c r="AN62" s="516"/>
      <c r="AO62" s="516"/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516"/>
      <c r="BB62" s="516"/>
      <c r="BC62" s="516"/>
      <c r="BD62" s="516"/>
      <c r="BE62" s="516"/>
      <c r="BF62" s="516"/>
      <c r="BG62" s="516"/>
      <c r="BH62" s="516"/>
      <c r="BI62" s="516"/>
      <c r="BJ62" s="516"/>
      <c r="BK62" s="516"/>
      <c r="BL62" s="516"/>
      <c r="BM62" s="516"/>
      <c r="BN62" s="516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</row>
    <row r="63" spans="1:81">
      <c r="A63" s="67" t="s">
        <v>59</v>
      </c>
      <c r="B63" s="67"/>
      <c r="C63" s="67"/>
      <c r="D63" s="67"/>
      <c r="E63" s="67"/>
      <c r="F63" s="163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8"/>
      <c r="R63" s="68"/>
      <c r="S63" s="68"/>
      <c r="T63" s="68"/>
      <c r="U63" s="67"/>
      <c r="V63" s="67"/>
      <c r="W63" s="163"/>
      <c r="X63" s="68"/>
      <c r="Y63" s="68"/>
      <c r="Z63" s="68"/>
      <c r="AA63" s="68"/>
      <c r="AB63" s="68"/>
      <c r="AC63" s="1978"/>
      <c r="AD63" s="1978"/>
      <c r="AE63" s="1978"/>
      <c r="AF63" s="1978"/>
      <c r="AG63" s="1978"/>
      <c r="AH63" s="1978"/>
      <c r="AI63" s="516"/>
      <c r="AJ63" s="516"/>
      <c r="AK63" s="516"/>
      <c r="AL63" s="516"/>
      <c r="AM63" s="516"/>
      <c r="AN63" s="516"/>
      <c r="AO63" s="516"/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516"/>
      <c r="BB63" s="516"/>
      <c r="BC63" s="516"/>
      <c r="BD63" s="516"/>
      <c r="BE63" s="516"/>
      <c r="BF63" s="516"/>
      <c r="BG63" s="516"/>
      <c r="BH63" s="516"/>
      <c r="BI63" s="516"/>
      <c r="BJ63" s="516"/>
      <c r="BK63" s="516"/>
      <c r="BL63" s="516"/>
      <c r="BM63" s="516"/>
      <c r="BN63" s="516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</row>
  </sheetData>
  <mergeCells count="7">
    <mergeCell ref="Z8:Z12"/>
    <mergeCell ref="AA8:AA12"/>
    <mergeCell ref="AB8:AB12"/>
    <mergeCell ref="E1:F1"/>
    <mergeCell ref="D6:E6"/>
    <mergeCell ref="X8:X12"/>
    <mergeCell ref="Y8:Y12"/>
  </mergeCells>
  <phoneticPr fontId="0" type="noConversion"/>
  <conditionalFormatting sqref="X8:AA12">
    <cfRule type="cellIs" dxfId="10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/>
  <dimension ref="A1:AH77"/>
  <sheetViews>
    <sheetView showGridLines="0" showZeros="0" topLeftCell="M1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23" width="11" style="792"/>
    <col min="24" max="28" width="11" style="792" customWidth="1"/>
    <col min="29" max="34" width="11" style="79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s="12" customFormat="1" ht="12.75">
      <c r="A2" s="13" t="s">
        <v>65</v>
      </c>
      <c r="B2" s="2456" t="s">
        <v>288</v>
      </c>
      <c r="C2" s="2456"/>
      <c r="D2" s="2456"/>
      <c r="E2" s="2456"/>
      <c r="F2" s="2456"/>
      <c r="G2" s="2456"/>
      <c r="H2" s="2456"/>
      <c r="I2" s="2456"/>
      <c r="J2" s="216"/>
      <c r="K2" s="216"/>
      <c r="L2" s="216"/>
      <c r="M2" s="216"/>
      <c r="N2" s="216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8"/>
      <c r="AF2" s="788"/>
      <c r="AG2" s="788"/>
      <c r="AH2" s="787"/>
    </row>
    <row r="3" spans="1:34" ht="12.75">
      <c r="A3" s="6" t="s">
        <v>70</v>
      </c>
      <c r="B3" s="7" t="s">
        <v>71</v>
      </c>
      <c r="C3" s="65" t="s">
        <v>66</v>
      </c>
      <c r="D3" s="65" t="s">
        <v>72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</row>
    <row r="4" spans="1:34" s="12" customFormat="1" ht="12.75">
      <c r="A4" s="13" t="s">
        <v>73</v>
      </c>
      <c r="B4" s="14" t="s">
        <v>289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8"/>
      <c r="AF4" s="788"/>
      <c r="AG4" s="788"/>
      <c r="AH4" s="787"/>
    </row>
    <row r="5" spans="1:34" s="12" customFormat="1" ht="12" customHeight="1">
      <c r="A5" s="13" t="s">
        <v>74</v>
      </c>
      <c r="B5" s="14">
        <v>201000101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8"/>
      <c r="AF5" s="788"/>
      <c r="AG5" s="788"/>
      <c r="AH5" s="787"/>
    </row>
    <row r="6" spans="1:34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790"/>
      <c r="J6" s="1427"/>
      <c r="K6" s="789"/>
      <c r="L6" s="789"/>
      <c r="M6" s="789"/>
      <c r="N6" s="789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8"/>
      <c r="AF6" s="788"/>
      <c r="AG6" s="788"/>
      <c r="AH6" s="787"/>
    </row>
    <row r="7" spans="1:34" s="12" customFormat="1" ht="12.75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  <c r="X7" s="212"/>
      <c r="Y7" s="212"/>
      <c r="Z7" s="212"/>
      <c r="AA7" s="212"/>
      <c r="AB7" s="212"/>
      <c r="AC7" s="788"/>
      <c r="AD7" s="788"/>
      <c r="AE7" s="788"/>
      <c r="AF7" s="788"/>
      <c r="AG7" s="788"/>
      <c r="AH7" s="787"/>
    </row>
    <row r="8" spans="1:34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8"/>
      <c r="AF8" s="788"/>
      <c r="AG8" s="788"/>
      <c r="AH8" s="787"/>
    </row>
    <row r="9" spans="1:34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8"/>
      <c r="AF9" s="788"/>
      <c r="AG9" s="788"/>
      <c r="AH9" s="787"/>
    </row>
    <row r="10" spans="1:34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8"/>
      <c r="AF10" s="788"/>
      <c r="AG10" s="788"/>
      <c r="AH10" s="787"/>
    </row>
    <row r="11" spans="1:34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8"/>
      <c r="AF11" s="788"/>
      <c r="AG11" s="788"/>
      <c r="AH11" s="787"/>
    </row>
    <row r="12" spans="1:34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8"/>
      <c r="AF12" s="788"/>
      <c r="AG12" s="788"/>
      <c r="AH12" s="787"/>
    </row>
    <row r="13" spans="1:34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1354"/>
      <c r="Y13" s="1354"/>
      <c r="Z13" s="1354"/>
      <c r="AA13" s="1354"/>
      <c r="AB13" s="1354"/>
      <c r="AC13" s="788"/>
      <c r="AD13" s="788"/>
      <c r="AE13" s="788"/>
      <c r="AF13" s="788"/>
      <c r="AG13" s="788"/>
      <c r="AH13" s="787"/>
    </row>
    <row r="14" spans="1:34" s="12" customFormat="1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/>
      <c r="U14" s="1739"/>
      <c r="V14" s="1739"/>
      <c r="W14" s="1739"/>
      <c r="X14" s="1739"/>
      <c r="Y14" s="1739"/>
      <c r="Z14" s="1739"/>
      <c r="AA14" s="1739"/>
      <c r="AB14" s="464"/>
      <c r="AC14" s="788"/>
      <c r="AD14" s="788"/>
      <c r="AE14" s="788"/>
      <c r="AF14" s="788"/>
      <c r="AG14" s="788"/>
      <c r="AH14" s="787"/>
    </row>
    <row r="15" spans="1:34" s="12" customFormat="1" ht="12.75">
      <c r="A15" s="22"/>
      <c r="B15" s="23"/>
      <c r="C15" s="1739"/>
      <c r="D15" s="1739"/>
      <c r="E15" s="1739"/>
      <c r="F15" s="1739"/>
      <c r="G15" s="1737"/>
      <c r="H15" s="1737"/>
      <c r="I15" s="1739"/>
      <c r="J15" s="1739"/>
      <c r="K15" s="1739"/>
      <c r="L15" s="1739"/>
      <c r="M15" s="1739"/>
      <c r="N15" s="1739"/>
      <c r="O15" s="1739"/>
      <c r="P15" s="1739"/>
      <c r="Q15" s="1739"/>
      <c r="R15" s="1739"/>
      <c r="S15" s="1739"/>
      <c r="T15" s="1739"/>
      <c r="U15" s="1739"/>
      <c r="V15" s="1739"/>
      <c r="W15" s="1739"/>
      <c r="X15" s="1739"/>
      <c r="Y15" s="1739"/>
      <c r="Z15" s="1739"/>
      <c r="AA15" s="1739"/>
      <c r="AB15" s="464"/>
      <c r="AC15" s="788"/>
      <c r="AD15" s="788"/>
      <c r="AE15" s="788"/>
      <c r="AF15" s="788"/>
      <c r="AG15" s="788"/>
      <c r="AH15" s="787"/>
    </row>
    <row r="16" spans="1:34" s="12" customFormat="1" ht="12.75">
      <c r="A16" s="1363"/>
      <c r="B16" s="1364"/>
      <c r="C16" s="1951"/>
      <c r="D16" s="1951"/>
      <c r="E16" s="1952"/>
      <c r="F16" s="1365"/>
      <c r="G16" s="1365"/>
      <c r="H16" s="1365"/>
      <c r="I16" s="1365"/>
      <c r="J16" s="1365"/>
      <c r="K16" s="1365"/>
      <c r="L16" s="1365"/>
      <c r="M16" s="1365"/>
      <c r="N16" s="1365"/>
      <c r="O16" s="1952"/>
      <c r="P16" s="1365"/>
      <c r="Q16" s="1951"/>
      <c r="R16" s="1951"/>
      <c r="S16" s="1951"/>
      <c r="T16" s="1951"/>
      <c r="U16" s="1951"/>
      <c r="V16" s="1952"/>
      <c r="W16" s="1365"/>
      <c r="X16" s="1365"/>
      <c r="Y16" s="1365"/>
      <c r="Z16" s="1365"/>
      <c r="AA16" s="1951"/>
      <c r="AB16" s="1366"/>
      <c r="AC16" s="788"/>
      <c r="AD16" s="788"/>
      <c r="AE16" s="788"/>
      <c r="AF16" s="788"/>
      <c r="AG16" s="788"/>
      <c r="AH16" s="787"/>
    </row>
    <row r="17" spans="1:34" s="12" customFormat="1" ht="33.75">
      <c r="A17" s="1363">
        <v>1</v>
      </c>
      <c r="B17" s="1364" t="s">
        <v>288</v>
      </c>
      <c r="C17" s="1953">
        <f>300000*1.2</f>
        <v>360000</v>
      </c>
      <c r="D17" s="1953">
        <f>C17</f>
        <v>360000</v>
      </c>
      <c r="E17" s="1954">
        <v>1</v>
      </c>
      <c r="F17" s="1371">
        <f>D17*E17</f>
        <v>360000</v>
      </c>
      <c r="G17" s="1371">
        <v>0</v>
      </c>
      <c r="H17" s="1371"/>
      <c r="I17" s="1371">
        <f>F17</f>
        <v>360000</v>
      </c>
      <c r="J17" s="1371">
        <v>0</v>
      </c>
      <c r="K17" s="1371"/>
      <c r="L17" s="1371">
        <f>I17-J17+K17</f>
        <v>360000</v>
      </c>
      <c r="M17" s="1371"/>
      <c r="N17" s="1371"/>
      <c r="O17" s="1954">
        <v>1</v>
      </c>
      <c r="P17" s="1371">
        <f>+O17*W17</f>
        <v>360000</v>
      </c>
      <c r="Q17" s="1371">
        <v>1</v>
      </c>
      <c r="R17" s="1953">
        <f>+Q17*W17</f>
        <v>360000</v>
      </c>
      <c r="S17" s="1953"/>
      <c r="T17" s="1953">
        <f>W17-L17</f>
        <v>0</v>
      </c>
      <c r="U17" s="1953">
        <f>D17</f>
        <v>360000</v>
      </c>
      <c r="V17" s="1954">
        <v>1</v>
      </c>
      <c r="W17" s="1371">
        <f>U17*V17</f>
        <v>360000</v>
      </c>
      <c r="X17" s="1371">
        <v>360000</v>
      </c>
      <c r="Y17" s="1371"/>
      <c r="Z17" s="1371">
        <v>360000</v>
      </c>
      <c r="AA17" s="1953">
        <v>270000</v>
      </c>
      <c r="AB17" s="1372">
        <f>F17</f>
        <v>360000</v>
      </c>
      <c r="AC17" s="788"/>
      <c r="AD17" s="788"/>
      <c r="AE17" s="788"/>
      <c r="AF17" s="788"/>
      <c r="AG17" s="788"/>
      <c r="AH17" s="787"/>
    </row>
    <row r="18" spans="1:34" s="12" customFormat="1" ht="12.75">
      <c r="A18" s="1355"/>
      <c r="B18" s="1367"/>
      <c r="C18" s="1953"/>
      <c r="D18" s="1955"/>
      <c r="E18" s="1954"/>
      <c r="F18" s="1371"/>
      <c r="G18" s="1955"/>
      <c r="H18" s="1955"/>
      <c r="I18" s="1955"/>
      <c r="J18" s="1955"/>
      <c r="K18" s="1955"/>
      <c r="L18" s="1371"/>
      <c r="M18" s="1955"/>
      <c r="N18" s="1955"/>
      <c r="O18" s="1954"/>
      <c r="P18" s="1371"/>
      <c r="Q18" s="1955"/>
      <c r="R18" s="1955"/>
      <c r="S18" s="1953"/>
      <c r="T18" s="1953"/>
      <c r="U18" s="1955"/>
      <c r="V18" s="1954"/>
      <c r="W18" s="1371"/>
      <c r="X18" s="1371"/>
      <c r="Y18" s="1955"/>
      <c r="Z18" s="1371"/>
      <c r="AA18" s="1955"/>
      <c r="AB18" s="1373"/>
      <c r="AC18" s="788"/>
      <c r="AD18" s="788"/>
      <c r="AE18" s="788"/>
      <c r="AF18" s="788"/>
      <c r="AG18" s="788"/>
      <c r="AH18" s="787"/>
    </row>
    <row r="19" spans="1:34" s="12" customFormat="1" ht="12.75">
      <c r="A19" s="1355"/>
      <c r="B19" s="1364"/>
      <c r="C19" s="1953"/>
      <c r="D19" s="1955"/>
      <c r="E19" s="1954"/>
      <c r="F19" s="1371"/>
      <c r="G19" s="1955"/>
      <c r="H19" s="1955"/>
      <c r="I19" s="1955"/>
      <c r="J19" s="1955"/>
      <c r="K19" s="1955"/>
      <c r="L19" s="1371"/>
      <c r="M19" s="1955"/>
      <c r="N19" s="1955"/>
      <c r="O19" s="1955"/>
      <c r="P19" s="1955"/>
      <c r="Q19" s="1955"/>
      <c r="R19" s="1955"/>
      <c r="S19" s="1953"/>
      <c r="T19" s="1953"/>
      <c r="U19" s="1955"/>
      <c r="V19" s="1954"/>
      <c r="W19" s="1371"/>
      <c r="X19" s="1371"/>
      <c r="Y19" s="1955"/>
      <c r="Z19" s="1955"/>
      <c r="AA19" s="1955"/>
      <c r="AB19" s="1373"/>
      <c r="AC19" s="788"/>
      <c r="AD19" s="788"/>
      <c r="AE19" s="788"/>
      <c r="AF19" s="788"/>
      <c r="AG19" s="788"/>
      <c r="AH19" s="787"/>
    </row>
    <row r="20" spans="1:34" s="12" customFormat="1" ht="12.75">
      <c r="A20" s="1355"/>
      <c r="B20" s="1368"/>
      <c r="C20" s="1953"/>
      <c r="D20" s="1955"/>
      <c r="E20" s="1954"/>
      <c r="F20" s="1371"/>
      <c r="G20" s="1955"/>
      <c r="H20" s="1955"/>
      <c r="I20" s="1955"/>
      <c r="J20" s="1955"/>
      <c r="K20" s="1955"/>
      <c r="L20" s="1371"/>
      <c r="M20" s="1955"/>
      <c r="N20" s="1955"/>
      <c r="O20" s="1955"/>
      <c r="P20" s="1955"/>
      <c r="Q20" s="1955"/>
      <c r="R20" s="1955"/>
      <c r="S20" s="1955"/>
      <c r="T20" s="1953"/>
      <c r="U20" s="1955"/>
      <c r="V20" s="1954"/>
      <c r="W20" s="1371"/>
      <c r="X20" s="1371"/>
      <c r="Y20" s="1955"/>
      <c r="Z20" s="1955"/>
      <c r="AA20" s="1955"/>
      <c r="AB20" s="1373"/>
      <c r="AC20" s="788"/>
      <c r="AD20" s="788"/>
      <c r="AE20" s="788"/>
      <c r="AF20" s="788"/>
      <c r="AG20" s="788"/>
      <c r="AH20" s="787"/>
    </row>
    <row r="21" spans="1:34" s="12" customFormat="1" ht="12.75">
      <c r="A21" s="1355"/>
      <c r="B21" s="1368"/>
      <c r="C21" s="1953"/>
      <c r="D21" s="1955"/>
      <c r="E21" s="1954"/>
      <c r="F21" s="1371"/>
      <c r="G21" s="1955"/>
      <c r="H21" s="1955"/>
      <c r="I21" s="1955"/>
      <c r="J21" s="1955"/>
      <c r="K21" s="1955"/>
      <c r="L21" s="1371"/>
      <c r="M21" s="1955"/>
      <c r="N21" s="1955"/>
      <c r="O21" s="1955"/>
      <c r="P21" s="1955"/>
      <c r="Q21" s="1955"/>
      <c r="R21" s="1955"/>
      <c r="S21" s="1955"/>
      <c r="T21" s="1953"/>
      <c r="U21" s="1955"/>
      <c r="V21" s="1954"/>
      <c r="W21" s="1371"/>
      <c r="X21" s="1371"/>
      <c r="Y21" s="1955"/>
      <c r="Z21" s="1955"/>
      <c r="AA21" s="1955"/>
      <c r="AB21" s="1373"/>
      <c r="AC21" s="788"/>
      <c r="AD21" s="788"/>
      <c r="AE21" s="788"/>
      <c r="AF21" s="788"/>
      <c r="AG21" s="788"/>
      <c r="AH21" s="787"/>
    </row>
    <row r="22" spans="1:34" s="12" customFormat="1" ht="12.75">
      <c r="A22" s="1355"/>
      <c r="B22" s="1368"/>
      <c r="C22" s="1953"/>
      <c r="D22" s="1955"/>
      <c r="E22" s="1954"/>
      <c r="F22" s="1371"/>
      <c r="G22" s="1955"/>
      <c r="H22" s="1955"/>
      <c r="I22" s="1955"/>
      <c r="J22" s="1955"/>
      <c r="K22" s="1955"/>
      <c r="L22" s="1371"/>
      <c r="M22" s="1955"/>
      <c r="N22" s="1955"/>
      <c r="O22" s="1955"/>
      <c r="P22" s="1955"/>
      <c r="Q22" s="1955"/>
      <c r="R22" s="1955"/>
      <c r="S22" s="1955"/>
      <c r="T22" s="1953"/>
      <c r="U22" s="1955"/>
      <c r="V22" s="1954"/>
      <c r="W22" s="1371"/>
      <c r="X22" s="1371"/>
      <c r="Y22" s="1955"/>
      <c r="Z22" s="1955"/>
      <c r="AA22" s="1955"/>
      <c r="AB22" s="1373"/>
      <c r="AC22" s="788"/>
      <c r="AD22" s="788"/>
      <c r="AE22" s="788"/>
      <c r="AF22" s="788"/>
      <c r="AG22" s="788"/>
      <c r="AH22" s="787"/>
    </row>
    <row r="23" spans="1:34" s="12" customFormat="1" ht="12.75">
      <c r="A23" s="1355"/>
      <c r="B23" s="1368"/>
      <c r="C23" s="1953"/>
      <c r="D23" s="1955"/>
      <c r="E23" s="1954"/>
      <c r="F23" s="1371"/>
      <c r="G23" s="1955"/>
      <c r="H23" s="1955"/>
      <c r="I23" s="1955"/>
      <c r="J23" s="1955"/>
      <c r="K23" s="1955"/>
      <c r="L23" s="1371"/>
      <c r="M23" s="1955"/>
      <c r="N23" s="1955"/>
      <c r="O23" s="1955"/>
      <c r="P23" s="1955"/>
      <c r="Q23" s="1955"/>
      <c r="R23" s="1955"/>
      <c r="S23" s="1955"/>
      <c r="T23" s="1953"/>
      <c r="U23" s="1955"/>
      <c r="V23" s="1954"/>
      <c r="W23" s="1371"/>
      <c r="X23" s="1371"/>
      <c r="Y23" s="1955"/>
      <c r="Z23" s="1955"/>
      <c r="AA23" s="1955"/>
      <c r="AB23" s="1373"/>
      <c r="AC23" s="788"/>
      <c r="AD23" s="788"/>
      <c r="AE23" s="788"/>
      <c r="AF23" s="788"/>
      <c r="AG23" s="788"/>
      <c r="AH23" s="787"/>
    </row>
    <row r="24" spans="1:34" s="12" customFormat="1" ht="12.75">
      <c r="A24" s="1355"/>
      <c r="B24" s="1368"/>
      <c r="C24" s="1955"/>
      <c r="D24" s="1955"/>
      <c r="E24" s="1954"/>
      <c r="F24" s="1371"/>
      <c r="G24" s="1955"/>
      <c r="H24" s="1955"/>
      <c r="I24" s="1955"/>
      <c r="J24" s="1955"/>
      <c r="K24" s="1955"/>
      <c r="L24" s="1371"/>
      <c r="M24" s="1955"/>
      <c r="N24" s="1955"/>
      <c r="O24" s="1955"/>
      <c r="P24" s="1955"/>
      <c r="Q24" s="1955"/>
      <c r="R24" s="1955"/>
      <c r="S24" s="1955"/>
      <c r="T24" s="1953"/>
      <c r="U24" s="1955"/>
      <c r="V24" s="1954"/>
      <c r="W24" s="1371"/>
      <c r="X24" s="1371"/>
      <c r="Y24" s="1955"/>
      <c r="Z24" s="1955"/>
      <c r="AA24" s="1955"/>
      <c r="AB24" s="1373"/>
      <c r="AC24" s="788"/>
      <c r="AD24" s="788"/>
      <c r="AE24" s="788"/>
      <c r="AF24" s="788"/>
      <c r="AG24" s="788"/>
      <c r="AH24" s="787"/>
    </row>
    <row r="25" spans="1:34" s="12" customFormat="1" ht="12.75">
      <c r="A25" s="1355"/>
      <c r="B25" s="1368"/>
      <c r="C25" s="1955"/>
      <c r="D25" s="1955"/>
      <c r="E25" s="1954"/>
      <c r="F25" s="1371"/>
      <c r="G25" s="1955"/>
      <c r="H25" s="1955"/>
      <c r="I25" s="1955"/>
      <c r="J25" s="1955"/>
      <c r="K25" s="1955"/>
      <c r="L25" s="1371"/>
      <c r="M25" s="1955"/>
      <c r="N25" s="1955"/>
      <c r="O25" s="1955"/>
      <c r="P25" s="1955"/>
      <c r="Q25" s="1955"/>
      <c r="R25" s="1955"/>
      <c r="S25" s="1955"/>
      <c r="T25" s="1953"/>
      <c r="U25" s="1955"/>
      <c r="V25" s="1954"/>
      <c r="W25" s="1371"/>
      <c r="X25" s="1371"/>
      <c r="Y25" s="1955"/>
      <c r="Z25" s="1955"/>
      <c r="AA25" s="1955"/>
      <c r="AB25" s="1373"/>
      <c r="AC25" s="788"/>
      <c r="AD25" s="788"/>
      <c r="AE25" s="788"/>
      <c r="AF25" s="788"/>
      <c r="AG25" s="788"/>
      <c r="AH25" s="787"/>
    </row>
    <row r="26" spans="1:34" s="12" customFormat="1" ht="12.75">
      <c r="A26" s="1355"/>
      <c r="B26" s="1368"/>
      <c r="C26" s="1955"/>
      <c r="D26" s="1955"/>
      <c r="E26" s="1954"/>
      <c r="F26" s="1371"/>
      <c r="G26" s="1955"/>
      <c r="H26" s="1955"/>
      <c r="I26" s="1955"/>
      <c r="J26" s="1955"/>
      <c r="K26" s="1955"/>
      <c r="L26" s="1371"/>
      <c r="M26" s="1955"/>
      <c r="N26" s="1955"/>
      <c r="O26" s="1955"/>
      <c r="P26" s="1955"/>
      <c r="Q26" s="1955"/>
      <c r="R26" s="1955"/>
      <c r="S26" s="1955"/>
      <c r="T26" s="1953"/>
      <c r="U26" s="1955"/>
      <c r="V26" s="1954"/>
      <c r="W26" s="1371"/>
      <c r="X26" s="1371"/>
      <c r="Y26" s="1955"/>
      <c r="Z26" s="1955"/>
      <c r="AA26" s="1955"/>
      <c r="AB26" s="1374"/>
      <c r="AC26" s="788"/>
      <c r="AD26" s="788"/>
      <c r="AE26" s="788"/>
      <c r="AF26" s="788"/>
      <c r="AG26" s="788"/>
      <c r="AH26" s="787"/>
    </row>
    <row r="27" spans="1:34" s="12" customFormat="1" ht="12.75">
      <c r="A27" s="1355"/>
      <c r="B27" s="1368"/>
      <c r="C27" s="1955"/>
      <c r="D27" s="1955"/>
      <c r="E27" s="1954"/>
      <c r="F27" s="1371"/>
      <c r="G27" s="1955"/>
      <c r="H27" s="1955"/>
      <c r="I27" s="1955"/>
      <c r="J27" s="1955"/>
      <c r="K27" s="1955"/>
      <c r="L27" s="1371"/>
      <c r="M27" s="1955"/>
      <c r="N27" s="1955"/>
      <c r="O27" s="1955"/>
      <c r="P27" s="1955"/>
      <c r="Q27" s="1955"/>
      <c r="R27" s="1955"/>
      <c r="S27" s="1955"/>
      <c r="T27" s="1953"/>
      <c r="U27" s="1955"/>
      <c r="V27" s="1954"/>
      <c r="W27" s="1371"/>
      <c r="X27" s="1371"/>
      <c r="Y27" s="1955"/>
      <c r="Z27" s="1955"/>
      <c r="AA27" s="1955"/>
      <c r="AB27" s="1374"/>
      <c r="AC27" s="788"/>
      <c r="AD27" s="788"/>
      <c r="AE27" s="788"/>
      <c r="AF27" s="788"/>
      <c r="AG27" s="788"/>
      <c r="AH27" s="787"/>
    </row>
    <row r="28" spans="1:34" s="12" customFormat="1" ht="12.75">
      <c r="A28" s="1355"/>
      <c r="B28" s="1368"/>
      <c r="C28" s="1955"/>
      <c r="D28" s="1955"/>
      <c r="E28" s="1954"/>
      <c r="F28" s="1371"/>
      <c r="G28" s="1955"/>
      <c r="H28" s="1955"/>
      <c r="I28" s="1955"/>
      <c r="J28" s="1955"/>
      <c r="K28" s="1955"/>
      <c r="L28" s="1371"/>
      <c r="M28" s="1955"/>
      <c r="N28" s="1955"/>
      <c r="O28" s="1955"/>
      <c r="P28" s="1955"/>
      <c r="Q28" s="1955"/>
      <c r="R28" s="1955"/>
      <c r="S28" s="1955"/>
      <c r="T28" s="1953"/>
      <c r="U28" s="1955"/>
      <c r="V28" s="1954"/>
      <c r="W28" s="1371"/>
      <c r="X28" s="1371"/>
      <c r="Y28" s="1955"/>
      <c r="Z28" s="1955"/>
      <c r="AA28" s="1955"/>
      <c r="AB28" s="1373"/>
      <c r="AC28" s="788"/>
      <c r="AD28" s="788"/>
      <c r="AE28" s="788"/>
      <c r="AF28" s="788"/>
      <c r="AG28" s="788"/>
      <c r="AH28" s="787"/>
    </row>
    <row r="29" spans="1:34" s="12" customFormat="1" ht="12.75">
      <c r="A29" s="1355"/>
      <c r="B29" s="1368"/>
      <c r="C29" s="1955"/>
      <c r="D29" s="1955"/>
      <c r="E29" s="1954"/>
      <c r="F29" s="1371"/>
      <c r="G29" s="1955"/>
      <c r="H29" s="1955"/>
      <c r="I29" s="1955"/>
      <c r="J29" s="1955"/>
      <c r="K29" s="1955"/>
      <c r="L29" s="1371"/>
      <c r="M29" s="1955"/>
      <c r="N29" s="1955"/>
      <c r="O29" s="1955"/>
      <c r="P29" s="1955"/>
      <c r="Q29" s="1955"/>
      <c r="R29" s="1955"/>
      <c r="S29" s="1955"/>
      <c r="T29" s="1953"/>
      <c r="U29" s="1955"/>
      <c r="V29" s="1954"/>
      <c r="W29" s="1371"/>
      <c r="X29" s="1371"/>
      <c r="Y29" s="1955"/>
      <c r="Z29" s="1955"/>
      <c r="AA29" s="1955"/>
      <c r="AB29" s="1373"/>
      <c r="AC29" s="788"/>
      <c r="AD29" s="788"/>
      <c r="AE29" s="788"/>
      <c r="AF29" s="788"/>
      <c r="AG29" s="788"/>
      <c r="AH29" s="787"/>
    </row>
    <row r="30" spans="1:34" s="12" customFormat="1" ht="12.75">
      <c r="A30" s="1355"/>
      <c r="B30" s="1368"/>
      <c r="C30" s="1955"/>
      <c r="D30" s="1955"/>
      <c r="E30" s="1954"/>
      <c r="F30" s="1371"/>
      <c r="G30" s="1955"/>
      <c r="H30" s="1955"/>
      <c r="I30" s="1955"/>
      <c r="J30" s="1955"/>
      <c r="K30" s="1955"/>
      <c r="L30" s="1371"/>
      <c r="M30" s="1955"/>
      <c r="N30" s="1955"/>
      <c r="O30" s="1955"/>
      <c r="P30" s="1955"/>
      <c r="Q30" s="1955"/>
      <c r="R30" s="1955"/>
      <c r="S30" s="1955"/>
      <c r="T30" s="1953"/>
      <c r="U30" s="1955"/>
      <c r="V30" s="1954"/>
      <c r="W30" s="1371"/>
      <c r="X30" s="1371"/>
      <c r="Y30" s="1955"/>
      <c r="Z30" s="1955"/>
      <c r="AA30" s="1955"/>
      <c r="AB30" s="1373"/>
      <c r="AC30" s="788"/>
      <c r="AD30" s="788"/>
      <c r="AE30" s="788"/>
      <c r="AF30" s="788"/>
      <c r="AG30" s="788"/>
      <c r="AH30" s="787"/>
    </row>
    <row r="31" spans="1:34" s="12" customFormat="1" ht="12.75">
      <c r="A31" s="1355"/>
      <c r="B31" s="1368"/>
      <c r="C31" s="1955"/>
      <c r="D31" s="1955"/>
      <c r="E31" s="1954"/>
      <c r="F31" s="1371"/>
      <c r="G31" s="1955"/>
      <c r="H31" s="1955"/>
      <c r="I31" s="1955"/>
      <c r="J31" s="1955"/>
      <c r="K31" s="1955"/>
      <c r="L31" s="1371"/>
      <c r="M31" s="1955"/>
      <c r="N31" s="1955"/>
      <c r="O31" s="1955"/>
      <c r="P31" s="1955"/>
      <c r="Q31" s="1955"/>
      <c r="R31" s="1955"/>
      <c r="S31" s="1955"/>
      <c r="T31" s="1953"/>
      <c r="U31" s="1955"/>
      <c r="V31" s="1954"/>
      <c r="W31" s="1371"/>
      <c r="X31" s="1371"/>
      <c r="Y31" s="1955"/>
      <c r="Z31" s="1955"/>
      <c r="AA31" s="1955"/>
      <c r="AB31" s="1373"/>
      <c r="AC31" s="788"/>
      <c r="AD31" s="788"/>
      <c r="AE31" s="788"/>
      <c r="AF31" s="788"/>
      <c r="AG31" s="788"/>
      <c r="AH31" s="787"/>
    </row>
    <row r="32" spans="1:34" s="12" customFormat="1" ht="12.75">
      <c r="A32" s="1355"/>
      <c r="B32" s="1368"/>
      <c r="C32" s="1955"/>
      <c r="D32" s="1955"/>
      <c r="E32" s="1954"/>
      <c r="F32" s="1371"/>
      <c r="G32" s="1955"/>
      <c r="H32" s="1955"/>
      <c r="I32" s="1955"/>
      <c r="J32" s="1955"/>
      <c r="K32" s="1955"/>
      <c r="L32" s="1371"/>
      <c r="M32" s="1955"/>
      <c r="N32" s="1955"/>
      <c r="O32" s="1955"/>
      <c r="P32" s="1955"/>
      <c r="Q32" s="1955"/>
      <c r="R32" s="1955"/>
      <c r="S32" s="1955"/>
      <c r="T32" s="1953"/>
      <c r="U32" s="1955"/>
      <c r="V32" s="1954"/>
      <c r="W32" s="1371"/>
      <c r="X32" s="1371"/>
      <c r="Y32" s="1955"/>
      <c r="Z32" s="1955"/>
      <c r="AA32" s="1955"/>
      <c r="AB32" s="1373"/>
      <c r="AC32" s="788"/>
      <c r="AD32" s="788"/>
      <c r="AE32" s="788"/>
      <c r="AF32" s="788"/>
      <c r="AG32" s="788"/>
      <c r="AH32" s="787"/>
    </row>
    <row r="33" spans="1:34" s="12" customFormat="1" ht="12.75">
      <c r="A33" s="1355"/>
      <c r="B33" s="1368"/>
      <c r="C33" s="1955"/>
      <c r="D33" s="1955"/>
      <c r="E33" s="1954"/>
      <c r="F33" s="1371"/>
      <c r="G33" s="1955"/>
      <c r="H33" s="1955"/>
      <c r="I33" s="1955"/>
      <c r="J33" s="1955"/>
      <c r="K33" s="1955"/>
      <c r="L33" s="1371"/>
      <c r="M33" s="1955"/>
      <c r="N33" s="1955"/>
      <c r="O33" s="1955"/>
      <c r="P33" s="1955"/>
      <c r="Q33" s="1955"/>
      <c r="R33" s="1955"/>
      <c r="S33" s="1955"/>
      <c r="T33" s="1953"/>
      <c r="U33" s="1955"/>
      <c r="V33" s="1954"/>
      <c r="W33" s="1371"/>
      <c r="X33" s="1371"/>
      <c r="Y33" s="1955"/>
      <c r="Z33" s="1955"/>
      <c r="AA33" s="1955"/>
      <c r="AB33" s="1373"/>
      <c r="AC33" s="788"/>
      <c r="AD33" s="788"/>
      <c r="AE33" s="788"/>
      <c r="AF33" s="788"/>
      <c r="AG33" s="788"/>
      <c r="AH33" s="787"/>
    </row>
    <row r="34" spans="1:34" s="12" customFormat="1" ht="12.75">
      <c r="A34" s="1355"/>
      <c r="B34" s="1368"/>
      <c r="C34" s="1955"/>
      <c r="D34" s="1955"/>
      <c r="E34" s="1954"/>
      <c r="F34" s="1371"/>
      <c r="G34" s="1955"/>
      <c r="H34" s="1955"/>
      <c r="I34" s="1955"/>
      <c r="J34" s="1955"/>
      <c r="K34" s="1955"/>
      <c r="L34" s="1371"/>
      <c r="M34" s="1955"/>
      <c r="N34" s="1955"/>
      <c r="O34" s="1955"/>
      <c r="P34" s="1955"/>
      <c r="Q34" s="1955"/>
      <c r="R34" s="1955"/>
      <c r="S34" s="1955"/>
      <c r="T34" s="1953"/>
      <c r="U34" s="1955"/>
      <c r="V34" s="1954"/>
      <c r="W34" s="1371"/>
      <c r="X34" s="1371"/>
      <c r="Y34" s="1955"/>
      <c r="Z34" s="1955"/>
      <c r="AA34" s="1955"/>
      <c r="AB34" s="1373"/>
      <c r="AC34" s="788"/>
      <c r="AD34" s="788"/>
      <c r="AE34" s="788"/>
      <c r="AF34" s="788"/>
      <c r="AG34" s="788"/>
      <c r="AH34" s="787"/>
    </row>
    <row r="35" spans="1:34" s="12" customFormat="1" ht="12.75">
      <c r="A35" s="1355"/>
      <c r="B35" s="1368"/>
      <c r="C35" s="1955"/>
      <c r="D35" s="1955"/>
      <c r="E35" s="1954"/>
      <c r="F35" s="1371"/>
      <c r="G35" s="1955"/>
      <c r="H35" s="1955"/>
      <c r="I35" s="1955"/>
      <c r="J35" s="1955"/>
      <c r="K35" s="1955"/>
      <c r="L35" s="1371"/>
      <c r="M35" s="1955"/>
      <c r="N35" s="1955"/>
      <c r="O35" s="1955"/>
      <c r="P35" s="1955"/>
      <c r="Q35" s="1955"/>
      <c r="R35" s="1955"/>
      <c r="S35" s="1955"/>
      <c r="T35" s="1953"/>
      <c r="U35" s="1955"/>
      <c r="V35" s="1954"/>
      <c r="W35" s="1371"/>
      <c r="X35" s="1371"/>
      <c r="Y35" s="1955"/>
      <c r="Z35" s="1955"/>
      <c r="AA35" s="1955"/>
      <c r="AB35" s="1373"/>
      <c r="AC35" s="788"/>
      <c r="AD35" s="788"/>
      <c r="AE35" s="788"/>
      <c r="AF35" s="788"/>
      <c r="AG35" s="788"/>
      <c r="AH35" s="787"/>
    </row>
    <row r="36" spans="1:34" s="12" customFormat="1" ht="12.75">
      <c r="A36" s="1355"/>
      <c r="B36" s="1368"/>
      <c r="C36" s="1955"/>
      <c r="D36" s="1955"/>
      <c r="E36" s="1954"/>
      <c r="F36" s="1371"/>
      <c r="G36" s="1955"/>
      <c r="H36" s="1955"/>
      <c r="I36" s="1955"/>
      <c r="J36" s="1955"/>
      <c r="K36" s="1955"/>
      <c r="L36" s="1371"/>
      <c r="M36" s="1955"/>
      <c r="N36" s="1955"/>
      <c r="O36" s="1955"/>
      <c r="P36" s="1955"/>
      <c r="Q36" s="1955"/>
      <c r="R36" s="1955"/>
      <c r="S36" s="1955"/>
      <c r="T36" s="1953"/>
      <c r="U36" s="1955"/>
      <c r="V36" s="1954"/>
      <c r="W36" s="1371"/>
      <c r="X36" s="1371"/>
      <c r="Y36" s="1955"/>
      <c r="Z36" s="1955"/>
      <c r="AA36" s="1955"/>
      <c r="AB36" s="1373"/>
      <c r="AC36" s="788"/>
      <c r="AD36" s="788"/>
      <c r="AE36" s="788"/>
      <c r="AF36" s="788"/>
      <c r="AG36" s="788"/>
      <c r="AH36" s="787"/>
    </row>
    <row r="37" spans="1:34" s="12" customFormat="1" ht="12.75">
      <c r="A37" s="1355"/>
      <c r="B37" s="1368"/>
      <c r="C37" s="1955"/>
      <c r="D37" s="1955"/>
      <c r="E37" s="1954"/>
      <c r="F37" s="1371"/>
      <c r="G37" s="1955"/>
      <c r="H37" s="1955"/>
      <c r="I37" s="1955"/>
      <c r="J37" s="1955"/>
      <c r="K37" s="1955"/>
      <c r="L37" s="1371"/>
      <c r="M37" s="1955"/>
      <c r="N37" s="1955"/>
      <c r="O37" s="1955"/>
      <c r="P37" s="1955"/>
      <c r="Q37" s="1955"/>
      <c r="R37" s="1955"/>
      <c r="S37" s="1955"/>
      <c r="T37" s="1953"/>
      <c r="U37" s="1955"/>
      <c r="V37" s="1954"/>
      <c r="W37" s="1371"/>
      <c r="X37" s="1371"/>
      <c r="Y37" s="1955"/>
      <c r="Z37" s="1955"/>
      <c r="AA37" s="1955"/>
      <c r="AB37" s="1373"/>
      <c r="AC37" s="788"/>
      <c r="AD37" s="788"/>
      <c r="AE37" s="788"/>
      <c r="AF37" s="788"/>
      <c r="AG37" s="788"/>
      <c r="AH37" s="787"/>
    </row>
    <row r="38" spans="1:34" s="12" customFormat="1" ht="12.75">
      <c r="A38" s="1355"/>
      <c r="B38" s="1368"/>
      <c r="C38" s="1955"/>
      <c r="D38" s="1955"/>
      <c r="E38" s="1954"/>
      <c r="F38" s="1371"/>
      <c r="G38" s="1955"/>
      <c r="H38" s="1955"/>
      <c r="I38" s="1955"/>
      <c r="J38" s="1955"/>
      <c r="K38" s="1955"/>
      <c r="L38" s="1371"/>
      <c r="M38" s="1955"/>
      <c r="N38" s="1955"/>
      <c r="O38" s="1955"/>
      <c r="P38" s="1955"/>
      <c r="Q38" s="1955"/>
      <c r="R38" s="1955"/>
      <c r="S38" s="1955"/>
      <c r="T38" s="1953"/>
      <c r="U38" s="1955"/>
      <c r="V38" s="1954"/>
      <c r="W38" s="1371"/>
      <c r="X38" s="1371"/>
      <c r="Y38" s="1955"/>
      <c r="Z38" s="1955"/>
      <c r="AA38" s="1955"/>
      <c r="AB38" s="1373"/>
      <c r="AC38" s="788"/>
      <c r="AD38" s="788"/>
      <c r="AE38" s="788"/>
      <c r="AF38" s="788"/>
      <c r="AG38" s="788"/>
      <c r="AH38" s="787"/>
    </row>
    <row r="39" spans="1:34" s="12" customFormat="1">
      <c r="A39" s="1355"/>
      <c r="B39" s="1369"/>
      <c r="C39" s="1955"/>
      <c r="D39" s="1955"/>
      <c r="E39" s="1954"/>
      <c r="F39" s="1955"/>
      <c r="G39" s="1955"/>
      <c r="H39" s="1955"/>
      <c r="I39" s="1955"/>
      <c r="J39" s="1955"/>
      <c r="K39" s="1955"/>
      <c r="L39" s="1955"/>
      <c r="M39" s="1955"/>
      <c r="N39" s="1955"/>
      <c r="O39" s="1955"/>
      <c r="P39" s="1955">
        <v>0</v>
      </c>
      <c r="Q39" s="1955"/>
      <c r="R39" s="1955">
        <v>0</v>
      </c>
      <c r="S39" s="1955"/>
      <c r="T39" s="1953"/>
      <c r="U39" s="1955"/>
      <c r="V39" s="1954"/>
      <c r="W39" s="1955"/>
      <c r="X39" s="1955"/>
      <c r="Y39" s="1955"/>
      <c r="Z39" s="1955">
        <v>0</v>
      </c>
      <c r="AA39" s="1955">
        <v>0</v>
      </c>
      <c r="AB39" s="1373"/>
      <c r="AC39" s="788"/>
      <c r="AD39" s="788"/>
      <c r="AE39" s="788"/>
      <c r="AF39" s="788"/>
      <c r="AG39" s="788"/>
      <c r="AH39" s="787"/>
    </row>
    <row r="40" spans="1:34" s="12" customFormat="1">
      <c r="A40" s="1355"/>
      <c r="B40" s="1369"/>
      <c r="C40" s="1955"/>
      <c r="D40" s="1955"/>
      <c r="E40" s="1954"/>
      <c r="F40" s="1955"/>
      <c r="G40" s="1955"/>
      <c r="H40" s="1955"/>
      <c r="I40" s="1955"/>
      <c r="J40" s="1955"/>
      <c r="K40" s="1955"/>
      <c r="L40" s="1955"/>
      <c r="M40" s="1955"/>
      <c r="N40" s="1955"/>
      <c r="O40" s="1955"/>
      <c r="P40" s="1955">
        <v>0</v>
      </c>
      <c r="Q40" s="1955"/>
      <c r="R40" s="1955">
        <v>0</v>
      </c>
      <c r="S40" s="1955"/>
      <c r="T40" s="1953"/>
      <c r="U40" s="1955"/>
      <c r="V40" s="1954"/>
      <c r="W40" s="1955"/>
      <c r="X40" s="1955"/>
      <c r="Y40" s="1955"/>
      <c r="Z40" s="1955">
        <v>0</v>
      </c>
      <c r="AA40" s="1955">
        <v>0</v>
      </c>
      <c r="AB40" s="1373"/>
      <c r="AC40" s="788"/>
      <c r="AD40" s="788"/>
      <c r="AE40" s="788"/>
      <c r="AF40" s="788"/>
      <c r="AG40" s="788"/>
      <c r="AH40" s="787"/>
    </row>
    <row r="41" spans="1:34" s="12" customFormat="1">
      <c r="A41" s="1357"/>
      <c r="B41" s="1356"/>
      <c r="C41" s="1955"/>
      <c r="D41" s="1955"/>
      <c r="E41" s="1954"/>
      <c r="F41" s="1955"/>
      <c r="G41" s="1955"/>
      <c r="H41" s="1955"/>
      <c r="I41" s="1955"/>
      <c r="J41" s="1955"/>
      <c r="K41" s="1955"/>
      <c r="L41" s="1955"/>
      <c r="M41" s="1955"/>
      <c r="N41" s="1955"/>
      <c r="O41" s="1955"/>
      <c r="P41" s="1955"/>
      <c r="Q41" s="1955"/>
      <c r="R41" s="1955"/>
      <c r="S41" s="1955"/>
      <c r="T41" s="1953"/>
      <c r="U41" s="1955"/>
      <c r="V41" s="1954"/>
      <c r="W41" s="1955"/>
      <c r="X41" s="1955"/>
      <c r="Y41" s="1955"/>
      <c r="Z41" s="1955"/>
      <c r="AA41" s="1955"/>
      <c r="AB41" s="1373"/>
      <c r="AC41" s="788"/>
      <c r="AD41" s="788"/>
      <c r="AE41" s="788"/>
      <c r="AF41" s="788"/>
      <c r="AG41" s="788"/>
      <c r="AH41" s="787"/>
    </row>
    <row r="42" spans="1:34" s="12" customFormat="1">
      <c r="A42" s="1357"/>
      <c r="B42" s="1356"/>
      <c r="C42" s="1955"/>
      <c r="D42" s="1955"/>
      <c r="E42" s="1954"/>
      <c r="F42" s="1955"/>
      <c r="G42" s="1955"/>
      <c r="H42" s="1955"/>
      <c r="I42" s="1955"/>
      <c r="J42" s="1955"/>
      <c r="K42" s="1955"/>
      <c r="L42" s="1955"/>
      <c r="M42" s="1955"/>
      <c r="N42" s="1955"/>
      <c r="O42" s="1955"/>
      <c r="P42" s="1955"/>
      <c r="Q42" s="1955"/>
      <c r="R42" s="1955"/>
      <c r="S42" s="1955"/>
      <c r="T42" s="1953"/>
      <c r="U42" s="1955"/>
      <c r="V42" s="1954"/>
      <c r="W42" s="1955"/>
      <c r="X42" s="1955"/>
      <c r="Y42" s="1955"/>
      <c r="Z42" s="1955"/>
      <c r="AA42" s="1955"/>
      <c r="AB42" s="1373"/>
      <c r="AC42" s="788"/>
      <c r="AD42" s="788"/>
      <c r="AE42" s="788"/>
      <c r="AF42" s="788"/>
      <c r="AG42" s="788"/>
      <c r="AH42" s="787"/>
    </row>
    <row r="43" spans="1:34" s="12" customFormat="1">
      <c r="A43" s="1357"/>
      <c r="B43" s="1356"/>
      <c r="C43" s="1955"/>
      <c r="D43" s="1955"/>
      <c r="E43" s="1954"/>
      <c r="F43" s="1955"/>
      <c r="G43" s="1955"/>
      <c r="H43" s="1955"/>
      <c r="I43" s="1955"/>
      <c r="J43" s="1955"/>
      <c r="K43" s="1955"/>
      <c r="L43" s="1955"/>
      <c r="M43" s="1955"/>
      <c r="N43" s="1955"/>
      <c r="O43" s="1955"/>
      <c r="P43" s="1955"/>
      <c r="Q43" s="1955"/>
      <c r="R43" s="1955"/>
      <c r="S43" s="1955"/>
      <c r="T43" s="1953"/>
      <c r="U43" s="1955"/>
      <c r="V43" s="1954"/>
      <c r="W43" s="1955"/>
      <c r="X43" s="1955"/>
      <c r="Y43" s="1955"/>
      <c r="Z43" s="1955"/>
      <c r="AA43" s="1955"/>
      <c r="AB43" s="1373"/>
      <c r="AC43" s="788"/>
      <c r="AD43" s="788"/>
      <c r="AE43" s="788"/>
      <c r="AF43" s="788"/>
      <c r="AG43" s="788"/>
      <c r="AH43" s="787"/>
    </row>
    <row r="44" spans="1:34" s="12" customFormat="1">
      <c r="A44" s="1357"/>
      <c r="B44" s="1356"/>
      <c r="C44" s="1955"/>
      <c r="D44" s="1955"/>
      <c r="E44" s="1954"/>
      <c r="F44" s="1955"/>
      <c r="G44" s="1955"/>
      <c r="H44" s="1955"/>
      <c r="I44" s="1955"/>
      <c r="J44" s="1955"/>
      <c r="K44" s="1955"/>
      <c r="L44" s="1955"/>
      <c r="M44" s="1955"/>
      <c r="N44" s="1955"/>
      <c r="O44" s="1955"/>
      <c r="P44" s="1955"/>
      <c r="Q44" s="1955"/>
      <c r="R44" s="1955"/>
      <c r="S44" s="1955"/>
      <c r="T44" s="1953"/>
      <c r="U44" s="1955"/>
      <c r="V44" s="1954"/>
      <c r="W44" s="1955"/>
      <c r="X44" s="1955"/>
      <c r="Y44" s="1955"/>
      <c r="Z44" s="1955"/>
      <c r="AA44" s="1955"/>
      <c r="AB44" s="1373"/>
      <c r="AC44" s="788"/>
      <c r="AD44" s="788"/>
      <c r="AE44" s="788"/>
      <c r="AF44" s="788"/>
      <c r="AG44" s="788"/>
      <c r="AH44" s="787"/>
    </row>
    <row r="45" spans="1:34" s="12" customFormat="1">
      <c r="A45" s="1357"/>
      <c r="B45" s="1356"/>
      <c r="C45" s="1955"/>
      <c r="D45" s="1955"/>
      <c r="E45" s="1954"/>
      <c r="F45" s="1955"/>
      <c r="G45" s="1955"/>
      <c r="H45" s="1955"/>
      <c r="I45" s="1955"/>
      <c r="J45" s="1955"/>
      <c r="K45" s="1955"/>
      <c r="L45" s="1955"/>
      <c r="M45" s="1955"/>
      <c r="N45" s="1955"/>
      <c r="O45" s="1955"/>
      <c r="P45" s="1955"/>
      <c r="Q45" s="1955"/>
      <c r="R45" s="1955"/>
      <c r="S45" s="1955"/>
      <c r="T45" s="1953"/>
      <c r="U45" s="1955"/>
      <c r="V45" s="1954"/>
      <c r="W45" s="1955"/>
      <c r="X45" s="1955"/>
      <c r="Y45" s="1955"/>
      <c r="Z45" s="1955"/>
      <c r="AA45" s="1955"/>
      <c r="AB45" s="1373"/>
      <c r="AC45" s="788"/>
      <c r="AD45" s="788"/>
      <c r="AE45" s="788"/>
      <c r="AF45" s="788"/>
      <c r="AG45" s="788"/>
      <c r="AH45" s="787"/>
    </row>
    <row r="46" spans="1:34" s="12" customFormat="1">
      <c r="A46" s="1357"/>
      <c r="B46" s="1356"/>
      <c r="C46" s="1955"/>
      <c r="D46" s="1955"/>
      <c r="E46" s="1954"/>
      <c r="F46" s="1955"/>
      <c r="G46" s="1955"/>
      <c r="H46" s="1955"/>
      <c r="I46" s="1955"/>
      <c r="J46" s="1955"/>
      <c r="K46" s="1955"/>
      <c r="L46" s="1955"/>
      <c r="M46" s="1955"/>
      <c r="N46" s="1955"/>
      <c r="O46" s="1955"/>
      <c r="P46" s="1955"/>
      <c r="Q46" s="1955"/>
      <c r="R46" s="1955"/>
      <c r="S46" s="1955"/>
      <c r="T46" s="1953"/>
      <c r="U46" s="1955"/>
      <c r="V46" s="1954"/>
      <c r="W46" s="1955"/>
      <c r="X46" s="1955"/>
      <c r="Y46" s="1955"/>
      <c r="Z46" s="1955"/>
      <c r="AA46" s="1955"/>
      <c r="AB46" s="1373"/>
      <c r="AC46" s="788"/>
      <c r="AD46" s="788"/>
      <c r="AE46" s="788"/>
      <c r="AF46" s="788"/>
      <c r="AG46" s="788"/>
      <c r="AH46" s="787"/>
    </row>
    <row r="47" spans="1:34" s="12" customFormat="1">
      <c r="A47" s="1357"/>
      <c r="B47" s="1356"/>
      <c r="C47" s="1955"/>
      <c r="D47" s="1955"/>
      <c r="E47" s="1954"/>
      <c r="F47" s="1955"/>
      <c r="G47" s="1955"/>
      <c r="H47" s="1955"/>
      <c r="I47" s="1955"/>
      <c r="J47" s="1955"/>
      <c r="K47" s="1955"/>
      <c r="L47" s="1955"/>
      <c r="M47" s="1955"/>
      <c r="N47" s="1955"/>
      <c r="O47" s="1955"/>
      <c r="P47" s="1955"/>
      <c r="Q47" s="1955"/>
      <c r="R47" s="1955"/>
      <c r="S47" s="1955"/>
      <c r="T47" s="1953"/>
      <c r="U47" s="1955"/>
      <c r="V47" s="1954"/>
      <c r="W47" s="1955"/>
      <c r="X47" s="1955"/>
      <c r="Y47" s="1955"/>
      <c r="Z47" s="1955"/>
      <c r="AA47" s="1955"/>
      <c r="AB47" s="1373"/>
      <c r="AC47" s="788"/>
      <c r="AD47" s="788"/>
      <c r="AE47" s="788"/>
      <c r="AF47" s="788"/>
      <c r="AG47" s="788"/>
      <c r="AH47" s="787"/>
    </row>
    <row r="48" spans="1:34" s="12" customFormat="1">
      <c r="A48" s="1357"/>
      <c r="B48" s="1356"/>
      <c r="C48" s="1955"/>
      <c r="D48" s="1955"/>
      <c r="E48" s="1954"/>
      <c r="F48" s="1955"/>
      <c r="G48" s="1955"/>
      <c r="H48" s="1955"/>
      <c r="I48" s="1955"/>
      <c r="J48" s="1955"/>
      <c r="K48" s="1955"/>
      <c r="L48" s="1955"/>
      <c r="M48" s="1955"/>
      <c r="N48" s="1955"/>
      <c r="O48" s="1955"/>
      <c r="P48" s="1955"/>
      <c r="Q48" s="1955"/>
      <c r="R48" s="1955"/>
      <c r="S48" s="1955"/>
      <c r="T48" s="1953"/>
      <c r="U48" s="1955"/>
      <c r="V48" s="1954"/>
      <c r="W48" s="1955"/>
      <c r="X48" s="1955"/>
      <c r="Y48" s="1955"/>
      <c r="Z48" s="1955"/>
      <c r="AA48" s="1955"/>
      <c r="AB48" s="1373"/>
      <c r="AC48" s="788"/>
      <c r="AD48" s="788"/>
      <c r="AE48" s="788"/>
      <c r="AF48" s="788"/>
      <c r="AG48" s="788"/>
      <c r="AH48" s="787"/>
    </row>
    <row r="49" spans="1:34" s="12" customFormat="1">
      <c r="A49" s="1357"/>
      <c r="B49" s="1356"/>
      <c r="C49" s="1955"/>
      <c r="D49" s="1955"/>
      <c r="E49" s="1954"/>
      <c r="F49" s="1955"/>
      <c r="G49" s="1955"/>
      <c r="H49" s="1955"/>
      <c r="I49" s="1955"/>
      <c r="J49" s="1955"/>
      <c r="K49" s="1955"/>
      <c r="L49" s="1955"/>
      <c r="M49" s="1955"/>
      <c r="N49" s="1955"/>
      <c r="O49" s="1955"/>
      <c r="P49" s="1955"/>
      <c r="Q49" s="1955"/>
      <c r="R49" s="1955"/>
      <c r="S49" s="1955"/>
      <c r="T49" s="1953"/>
      <c r="U49" s="1955"/>
      <c r="V49" s="1954"/>
      <c r="W49" s="1955"/>
      <c r="X49" s="1955"/>
      <c r="Y49" s="1955"/>
      <c r="Z49" s="1955"/>
      <c r="AA49" s="1955"/>
      <c r="AB49" s="1373"/>
      <c r="AC49" s="788"/>
      <c r="AD49" s="788"/>
      <c r="AE49" s="788"/>
      <c r="AF49" s="788"/>
      <c r="AG49" s="788"/>
      <c r="AH49" s="787"/>
    </row>
    <row r="50" spans="1:34" s="12" customFormat="1">
      <c r="A50" s="1355"/>
      <c r="B50" s="1369"/>
      <c r="C50" s="1955"/>
      <c r="D50" s="1955"/>
      <c r="E50" s="1954"/>
      <c r="F50" s="1955"/>
      <c r="G50" s="1955"/>
      <c r="H50" s="1955"/>
      <c r="I50" s="1955"/>
      <c r="J50" s="1955"/>
      <c r="K50" s="1955"/>
      <c r="L50" s="1955"/>
      <c r="M50" s="1955"/>
      <c r="N50" s="1955"/>
      <c r="O50" s="1955"/>
      <c r="P50" s="1955"/>
      <c r="Q50" s="1955"/>
      <c r="R50" s="1955"/>
      <c r="S50" s="1955"/>
      <c r="T50" s="1953"/>
      <c r="U50" s="1955"/>
      <c r="V50" s="1954"/>
      <c r="W50" s="1955"/>
      <c r="X50" s="1955"/>
      <c r="Y50" s="1955"/>
      <c r="Z50" s="1955"/>
      <c r="AA50" s="1955"/>
      <c r="AB50" s="1373"/>
      <c r="AC50" s="788"/>
      <c r="AD50" s="788"/>
      <c r="AE50" s="788"/>
      <c r="AF50" s="788"/>
      <c r="AG50" s="788"/>
      <c r="AH50" s="787"/>
    </row>
    <row r="51" spans="1:34" s="12" customFormat="1">
      <c r="A51" s="1357"/>
      <c r="B51" s="1369"/>
      <c r="C51" s="1955"/>
      <c r="D51" s="1955"/>
      <c r="E51" s="1954"/>
      <c r="F51" s="1955"/>
      <c r="G51" s="1955"/>
      <c r="H51" s="1955"/>
      <c r="I51" s="1955"/>
      <c r="J51" s="1955"/>
      <c r="K51" s="1955"/>
      <c r="L51" s="1955"/>
      <c r="M51" s="1955"/>
      <c r="N51" s="1955"/>
      <c r="O51" s="1955"/>
      <c r="P51" s="1955"/>
      <c r="Q51" s="1955"/>
      <c r="R51" s="1955"/>
      <c r="S51" s="1955"/>
      <c r="T51" s="1953"/>
      <c r="U51" s="1955"/>
      <c r="V51" s="1954"/>
      <c r="W51" s="1955"/>
      <c r="X51" s="1955"/>
      <c r="Y51" s="1955"/>
      <c r="Z51" s="1955"/>
      <c r="AA51" s="1955"/>
      <c r="AB51" s="1373"/>
      <c r="AC51" s="788"/>
      <c r="AD51" s="788"/>
      <c r="AE51" s="788"/>
      <c r="AF51" s="788"/>
      <c r="AG51" s="788"/>
      <c r="AH51" s="787"/>
    </row>
    <row r="52" spans="1:34" s="12" customFormat="1">
      <c r="A52" s="1355"/>
      <c r="B52" s="1356"/>
      <c r="C52" s="1955"/>
      <c r="D52" s="1955"/>
      <c r="E52" s="1955"/>
      <c r="F52" s="1955"/>
      <c r="G52" s="1955"/>
      <c r="H52" s="1955"/>
      <c r="I52" s="1955"/>
      <c r="J52" s="1955"/>
      <c r="K52" s="1955"/>
      <c r="L52" s="1955"/>
      <c r="M52" s="1955"/>
      <c r="N52" s="1955"/>
      <c r="O52" s="1955"/>
      <c r="P52" s="1955"/>
      <c r="Q52" s="1955"/>
      <c r="R52" s="1955"/>
      <c r="S52" s="1955"/>
      <c r="T52" s="1953"/>
      <c r="U52" s="1955"/>
      <c r="V52" s="1955"/>
      <c r="W52" s="1955"/>
      <c r="X52" s="1955"/>
      <c r="Y52" s="1955"/>
      <c r="Z52" s="1955"/>
      <c r="AA52" s="1955"/>
      <c r="AB52" s="1373"/>
      <c r="AC52" s="788"/>
      <c r="AD52" s="788"/>
      <c r="AE52" s="788"/>
      <c r="AF52" s="788"/>
      <c r="AG52" s="788"/>
      <c r="AH52" s="787"/>
    </row>
    <row r="53" spans="1:34" s="12" customFormat="1">
      <c r="A53" s="1355"/>
      <c r="B53" s="1356"/>
      <c r="C53" s="1955"/>
      <c r="D53" s="1955"/>
      <c r="E53" s="1954"/>
      <c r="F53" s="1955"/>
      <c r="G53" s="1955"/>
      <c r="H53" s="1955"/>
      <c r="I53" s="1955"/>
      <c r="J53" s="1955"/>
      <c r="K53" s="1955"/>
      <c r="L53" s="1955"/>
      <c r="M53" s="1955"/>
      <c r="N53" s="1955"/>
      <c r="O53" s="1955"/>
      <c r="P53" s="1955"/>
      <c r="Q53" s="1955"/>
      <c r="R53" s="1955"/>
      <c r="S53" s="1955"/>
      <c r="T53" s="1953"/>
      <c r="U53" s="1955"/>
      <c r="V53" s="1954"/>
      <c r="W53" s="1955"/>
      <c r="X53" s="1955"/>
      <c r="Y53" s="1955"/>
      <c r="Z53" s="1955"/>
      <c r="AA53" s="1955"/>
      <c r="AB53" s="1373"/>
      <c r="AC53" s="788"/>
      <c r="AD53" s="788"/>
      <c r="AE53" s="788"/>
      <c r="AF53" s="788"/>
      <c r="AG53" s="788"/>
      <c r="AH53" s="787"/>
    </row>
    <row r="54" spans="1:34" s="12" customFormat="1">
      <c r="A54" s="1355"/>
      <c r="B54" s="1369"/>
      <c r="C54" s="1955"/>
      <c r="D54" s="1371"/>
      <c r="E54" s="1954"/>
      <c r="F54" s="1955"/>
      <c r="G54" s="1371"/>
      <c r="H54" s="1371"/>
      <c r="I54" s="1371"/>
      <c r="J54" s="1371"/>
      <c r="K54" s="1371"/>
      <c r="L54" s="1371"/>
      <c r="M54" s="1371"/>
      <c r="N54" s="1371"/>
      <c r="O54" s="1955"/>
      <c r="P54" s="1955"/>
      <c r="Q54" s="1955"/>
      <c r="R54" s="1955"/>
      <c r="S54" s="1955"/>
      <c r="T54" s="1953"/>
      <c r="U54" s="1371"/>
      <c r="V54" s="1954"/>
      <c r="W54" s="1955"/>
      <c r="X54" s="1371"/>
      <c r="Y54" s="1371"/>
      <c r="Z54" s="1955"/>
      <c r="AA54" s="1955"/>
      <c r="AB54" s="1373"/>
      <c r="AC54" s="788"/>
      <c r="AD54" s="788"/>
      <c r="AE54" s="788"/>
      <c r="AF54" s="788"/>
      <c r="AG54" s="788"/>
      <c r="AH54" s="787"/>
    </row>
    <row r="55" spans="1:34" s="12" customFormat="1">
      <c r="A55" s="1357"/>
      <c r="B55" s="1358"/>
      <c r="C55" s="1955"/>
      <c r="D55" s="1371"/>
      <c r="E55" s="1371"/>
      <c r="F55" s="1955"/>
      <c r="G55" s="1371"/>
      <c r="H55" s="1371"/>
      <c r="I55" s="1371"/>
      <c r="J55" s="1371"/>
      <c r="K55" s="1371"/>
      <c r="L55" s="1371"/>
      <c r="M55" s="1371"/>
      <c r="N55" s="1371"/>
      <c r="O55" s="1955"/>
      <c r="P55" s="1955"/>
      <c r="Q55" s="1955"/>
      <c r="R55" s="1955"/>
      <c r="S55" s="1955"/>
      <c r="T55" s="1953"/>
      <c r="U55" s="1371"/>
      <c r="V55" s="1371"/>
      <c r="W55" s="1955"/>
      <c r="X55" s="1371"/>
      <c r="Y55" s="1371"/>
      <c r="Z55" s="1955"/>
      <c r="AA55" s="1955"/>
      <c r="AB55" s="1373"/>
      <c r="AC55" s="788"/>
      <c r="AD55" s="788"/>
      <c r="AE55" s="788"/>
      <c r="AF55" s="788"/>
      <c r="AG55" s="788"/>
      <c r="AH55" s="787"/>
    </row>
    <row r="56" spans="1:34" s="12" customFormat="1" ht="12.75">
      <c r="A56" s="1359"/>
      <c r="B56" s="1360"/>
      <c r="C56" s="1955"/>
      <c r="D56" s="1371"/>
      <c r="E56" s="1371"/>
      <c r="F56" s="1955"/>
      <c r="G56" s="1371"/>
      <c r="H56" s="1371"/>
      <c r="I56" s="1371"/>
      <c r="J56" s="1371"/>
      <c r="K56" s="1371"/>
      <c r="L56" s="1371">
        <f>I56-J56+K56</f>
        <v>0</v>
      </c>
      <c r="M56" s="1371"/>
      <c r="N56" s="1371"/>
      <c r="O56" s="1955"/>
      <c r="P56" s="1955"/>
      <c r="Q56" s="1955"/>
      <c r="R56" s="1955"/>
      <c r="S56" s="1953"/>
      <c r="T56" s="1953"/>
      <c r="U56" s="1371"/>
      <c r="V56" s="1371"/>
      <c r="W56" s="1955"/>
      <c r="X56" s="1371">
        <v>0</v>
      </c>
      <c r="Y56" s="1371"/>
      <c r="Z56" s="1955"/>
      <c r="AA56" s="1955"/>
      <c r="AB56" s="1373"/>
      <c r="AC56" s="788"/>
      <c r="AD56" s="788"/>
      <c r="AE56" s="788"/>
      <c r="AF56" s="788"/>
      <c r="AG56" s="788"/>
      <c r="AH56" s="787"/>
    </row>
    <row r="57" spans="1:34" s="12" customFormat="1" ht="12.75">
      <c r="A57" s="1361"/>
      <c r="B57" s="1362" t="s">
        <v>17</v>
      </c>
      <c r="C57" s="1370">
        <f t="shared" ref="C57:Y57" si="0">SUM(C15:C56)</f>
        <v>360000</v>
      </c>
      <c r="D57" s="1370">
        <f t="shared" si="0"/>
        <v>360000</v>
      </c>
      <c r="E57" s="1370">
        <f t="shared" si="0"/>
        <v>1</v>
      </c>
      <c r="F57" s="1370">
        <f t="shared" si="0"/>
        <v>360000</v>
      </c>
      <c r="G57" s="1370">
        <f t="shared" si="0"/>
        <v>0</v>
      </c>
      <c r="H57" s="1370">
        <f t="shared" si="0"/>
        <v>0</v>
      </c>
      <c r="I57" s="1370">
        <f t="shared" si="0"/>
        <v>360000</v>
      </c>
      <c r="J57" s="1370">
        <f t="shared" si="0"/>
        <v>0</v>
      </c>
      <c r="K57" s="1370">
        <f t="shared" si="0"/>
        <v>0</v>
      </c>
      <c r="L57" s="1370">
        <f t="shared" si="0"/>
        <v>360000</v>
      </c>
      <c r="M57" s="1370">
        <f t="shared" si="0"/>
        <v>0</v>
      </c>
      <c r="N57" s="1370">
        <f t="shared" si="0"/>
        <v>0</v>
      </c>
      <c r="O57" s="1370">
        <f t="shared" si="0"/>
        <v>1</v>
      </c>
      <c r="P57" s="1370">
        <f t="shared" si="0"/>
        <v>360000</v>
      </c>
      <c r="Q57" s="1370">
        <f t="shared" si="0"/>
        <v>1</v>
      </c>
      <c r="R57" s="1370">
        <f t="shared" si="0"/>
        <v>360000</v>
      </c>
      <c r="S57" s="1370">
        <f t="shared" si="0"/>
        <v>0</v>
      </c>
      <c r="T57" s="1274">
        <f>W57-L57</f>
        <v>0</v>
      </c>
      <c r="U57" s="1370">
        <f t="shared" si="0"/>
        <v>360000</v>
      </c>
      <c r="V57" s="1370">
        <f t="shared" si="0"/>
        <v>1</v>
      </c>
      <c r="W57" s="1370">
        <f t="shared" si="0"/>
        <v>360000</v>
      </c>
      <c r="X57" s="1370">
        <f t="shared" si="0"/>
        <v>360000</v>
      </c>
      <c r="Y57" s="1370">
        <f t="shared" si="0"/>
        <v>0</v>
      </c>
      <c r="Z57" s="1370">
        <v>360000</v>
      </c>
      <c r="AA57" s="1370">
        <f>SUM(AA15:AA56)</f>
        <v>270000</v>
      </c>
      <c r="AB57" s="1370">
        <f>SUM(AB15:AB56)</f>
        <v>360000</v>
      </c>
      <c r="AC57" s="788"/>
      <c r="AD57" s="788"/>
      <c r="AE57" s="788"/>
      <c r="AF57" s="788"/>
      <c r="AG57" s="788"/>
      <c r="AH57" s="787"/>
    </row>
    <row r="58" spans="1:34" s="12" customFormat="1">
      <c r="A58" s="43"/>
      <c r="B58" s="44"/>
      <c r="C58" s="213"/>
      <c r="D58" s="213"/>
      <c r="E58" s="213"/>
      <c r="F58" s="1769"/>
      <c r="G58" s="1769"/>
      <c r="H58" s="1769"/>
      <c r="I58" s="1769"/>
      <c r="J58" s="1769"/>
      <c r="K58" s="1769"/>
      <c r="L58" s="1769"/>
      <c r="M58" s="1769"/>
      <c r="N58" s="1967"/>
      <c r="O58" s="1968"/>
      <c r="P58" s="1968"/>
      <c r="Q58" s="1968"/>
      <c r="R58" s="1968"/>
      <c r="S58" s="1969"/>
      <c r="T58" s="788"/>
      <c r="U58" s="213"/>
      <c r="V58" s="213"/>
      <c r="W58" s="1769"/>
      <c r="X58" s="212"/>
      <c r="Y58" s="212"/>
      <c r="Z58" s="212"/>
      <c r="AA58" s="212"/>
      <c r="AB58" s="212"/>
      <c r="AC58" s="788"/>
      <c r="AD58" s="788"/>
      <c r="AE58" s="788"/>
      <c r="AF58" s="788"/>
      <c r="AG58" s="788"/>
      <c r="AH58" s="787"/>
    </row>
    <row r="59" spans="1:34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970"/>
      <c r="O59" s="1971"/>
      <c r="P59" s="1971"/>
      <c r="Q59" s="1971"/>
      <c r="R59" s="1971"/>
      <c r="S59" s="1972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8"/>
      <c r="AF59" s="788"/>
      <c r="AG59" s="788"/>
      <c r="AH59" s="787"/>
    </row>
    <row r="60" spans="1:34" s="12" customFormat="1" ht="12.75">
      <c r="A60" s="10"/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1973"/>
      <c r="O60" s="1974"/>
      <c r="P60" s="1971"/>
      <c r="Q60" s="1974"/>
      <c r="R60" s="1971"/>
      <c r="S60" s="1972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8"/>
      <c r="AF60" s="788"/>
      <c r="AG60" s="788"/>
      <c r="AH60" s="787"/>
    </row>
    <row r="61" spans="1:34" s="12" customFormat="1" ht="12.75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1973"/>
      <c r="O61" s="1974"/>
      <c r="P61" s="1971"/>
      <c r="Q61" s="1974"/>
      <c r="R61" s="1971"/>
      <c r="S61" s="1972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8"/>
      <c r="AF61" s="788"/>
      <c r="AG61" s="788"/>
      <c r="AH61" s="787"/>
    </row>
    <row r="62" spans="1:34" s="12" customFormat="1" ht="12.75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1973"/>
      <c r="O62" s="1975"/>
      <c r="P62" s="1974">
        <v>0</v>
      </c>
      <c r="Q62" s="1975"/>
      <c r="R62" s="1976">
        <v>0</v>
      </c>
      <c r="S62" s="1972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788"/>
      <c r="AF62" s="788"/>
      <c r="AG62" s="788"/>
      <c r="AH62" s="787"/>
    </row>
    <row r="63" spans="1:34" s="12" customFormat="1">
      <c r="A63" s="10" t="s">
        <v>59</v>
      </c>
      <c r="B63" s="454"/>
      <c r="C63" s="213"/>
      <c r="D63" s="213"/>
      <c r="E63" s="213"/>
      <c r="F63" s="1769"/>
      <c r="G63" s="213"/>
      <c r="H63" s="213"/>
      <c r="I63" s="213"/>
      <c r="J63" s="213"/>
      <c r="K63" s="213"/>
      <c r="L63" s="213"/>
      <c r="M63" s="213"/>
      <c r="N63" s="1973"/>
      <c r="O63" s="1973"/>
      <c r="P63" s="1973"/>
      <c r="Q63" s="1972"/>
      <c r="R63" s="1972"/>
      <c r="S63" s="1972"/>
      <c r="T63" s="1977"/>
      <c r="U63" s="213"/>
      <c r="V63" s="213"/>
      <c r="W63" s="1769"/>
      <c r="X63" s="212"/>
      <c r="Y63" s="212"/>
      <c r="Z63" s="212"/>
      <c r="AA63" s="212"/>
      <c r="AB63" s="212"/>
      <c r="AC63" s="788"/>
      <c r="AD63" s="788"/>
      <c r="AE63" s="788"/>
      <c r="AF63" s="788"/>
      <c r="AG63" s="788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8"/>
      <c r="AF64" s="788"/>
      <c r="AG64" s="788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8"/>
      <c r="AF65" s="788"/>
      <c r="AG65" s="788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8"/>
      <c r="AF66" s="788"/>
      <c r="AG66" s="788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8"/>
      <c r="AF67" s="788"/>
      <c r="AG67" s="788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8"/>
      <c r="AF68" s="788"/>
      <c r="AG68" s="788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8"/>
      <c r="AF69" s="788"/>
      <c r="AG69" s="788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8"/>
      <c r="AF70" s="788"/>
      <c r="AG70" s="788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8"/>
      <c r="AF71" s="788"/>
      <c r="AG71" s="788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8"/>
      <c r="AF72" s="788"/>
      <c r="AG72" s="788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8"/>
      <c r="AF73" s="788"/>
      <c r="AG73" s="788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8"/>
      <c r="AF74" s="788"/>
      <c r="AG74" s="788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8"/>
      <c r="AF75" s="788"/>
      <c r="AG75" s="788"/>
      <c r="AH75" s="787"/>
    </row>
    <row r="76" spans="1:34" s="12" customFormat="1">
      <c r="A76" s="10"/>
      <c r="B76" s="454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788"/>
      <c r="R76" s="788"/>
      <c r="S76" s="788"/>
      <c r="T76" s="788"/>
      <c r="U76" s="213"/>
      <c r="V76" s="213"/>
      <c r="W76" s="213"/>
      <c r="X76" s="212"/>
      <c r="Y76" s="212"/>
      <c r="Z76" s="212"/>
      <c r="AA76" s="212"/>
      <c r="AB76" s="212"/>
      <c r="AC76" s="788"/>
      <c r="AD76" s="788"/>
      <c r="AE76" s="788"/>
      <c r="AF76" s="788"/>
      <c r="AG76" s="788"/>
      <c r="AH76" s="787"/>
    </row>
    <row r="77" spans="1:34" s="12" customFormat="1">
      <c r="A77" s="10"/>
      <c r="B77" s="454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788"/>
      <c r="R77" s="788"/>
      <c r="S77" s="788"/>
      <c r="T77" s="788"/>
      <c r="U77" s="213"/>
      <c r="V77" s="213"/>
      <c r="W77" s="213"/>
      <c r="X77" s="212"/>
      <c r="Y77" s="212"/>
      <c r="Z77" s="212"/>
      <c r="AA77" s="212"/>
      <c r="AB77" s="212"/>
      <c r="AC77" s="788"/>
      <c r="AD77" s="788"/>
      <c r="AE77" s="788"/>
      <c r="AF77" s="788"/>
      <c r="AG77" s="788"/>
      <c r="AH77" s="787"/>
    </row>
  </sheetData>
  <mergeCells count="10">
    <mergeCell ref="Y8:Y12"/>
    <mergeCell ref="AB8:AB12"/>
    <mergeCell ref="AA8:AA12"/>
    <mergeCell ref="Z8:Z12"/>
    <mergeCell ref="E1:F1"/>
    <mergeCell ref="B2:I2"/>
    <mergeCell ref="I5:N5"/>
    <mergeCell ref="O5:T5"/>
    <mergeCell ref="U8:W9"/>
    <mergeCell ref="X8:X12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/>
  <dimension ref="A1:AV71"/>
  <sheetViews>
    <sheetView showGridLines="0" showZeros="0" topLeftCell="L1" workbookViewId="0">
      <selection activeCell="E81" sqref="E81:P81"/>
    </sheetView>
  </sheetViews>
  <sheetFormatPr baseColWidth="10" defaultColWidth="14.25" defaultRowHeight="11.25"/>
  <cols>
    <col min="1" max="1" width="10.25" style="489" customWidth="1"/>
    <col min="2" max="2" width="35.375" style="515" customWidth="1"/>
    <col min="3" max="3" width="10.125" style="489" customWidth="1"/>
    <col min="4" max="4" width="9" style="489" customWidth="1"/>
    <col min="5" max="5" width="4.875" style="489" customWidth="1"/>
    <col min="6" max="9" width="10.25" style="489" customWidth="1"/>
    <col min="10" max="10" width="12" style="489" customWidth="1"/>
    <col min="11" max="11" width="10.25" style="489" customWidth="1"/>
    <col min="12" max="12" width="10.875" style="489" bestFit="1" customWidth="1"/>
    <col min="13" max="13" width="9.125" style="489" customWidth="1"/>
    <col min="14" max="14" width="12.375" style="489" customWidth="1"/>
    <col min="15" max="15" width="6.5" style="489" customWidth="1"/>
    <col min="16" max="16" width="14.375" style="489" bestFit="1" customWidth="1"/>
    <col min="17" max="17" width="9.5" style="487" customWidth="1"/>
    <col min="18" max="19" width="14.25" style="487"/>
    <col min="20" max="20" width="10.875" style="487" customWidth="1"/>
    <col min="21" max="21" width="9" style="489" customWidth="1"/>
    <col min="22" max="22" width="7.625" style="489" bestFit="1" customWidth="1"/>
    <col min="23" max="23" width="10.25" style="489" customWidth="1"/>
    <col min="24" max="24" width="9.375" style="486" customWidth="1"/>
    <col min="25" max="25" width="10.375" style="486" customWidth="1"/>
    <col min="26" max="26" width="10.875" style="486" customWidth="1"/>
    <col min="27" max="27" width="11.125" style="486" customWidth="1"/>
    <col min="28" max="28" width="11.25" style="486" customWidth="1"/>
    <col min="29" max="16384" width="14.25" style="487"/>
  </cols>
  <sheetData>
    <row r="1" spans="1:48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48" ht="12.75">
      <c r="A2" s="1323" t="s">
        <v>65</v>
      </c>
      <c r="B2" s="1324" t="s">
        <v>261</v>
      </c>
      <c r="C2" s="1325"/>
      <c r="D2" s="1325"/>
      <c r="E2" s="1325"/>
      <c r="F2" s="1325"/>
      <c r="G2" s="1325"/>
      <c r="H2" s="1325"/>
      <c r="Q2" s="489"/>
      <c r="R2" s="489"/>
    </row>
    <row r="3" spans="1:48" s="491" customFormat="1" ht="12.75">
      <c r="A3" s="1326" t="s">
        <v>245</v>
      </c>
      <c r="B3" s="1327" t="s">
        <v>71</v>
      </c>
      <c r="C3" s="1328" t="s">
        <v>66</v>
      </c>
      <c r="D3" s="1325" t="s">
        <v>52</v>
      </c>
      <c r="E3" s="1328" t="s">
        <v>84</v>
      </c>
      <c r="F3" s="1329"/>
      <c r="G3" s="1328" t="s">
        <v>106</v>
      </c>
      <c r="H3" s="1328"/>
      <c r="I3" s="490"/>
      <c r="J3" s="490"/>
      <c r="K3" s="490"/>
      <c r="L3" s="490"/>
      <c r="M3" s="490"/>
      <c r="N3" s="490"/>
      <c r="O3" s="490"/>
      <c r="P3" s="490"/>
      <c r="Q3" s="490"/>
      <c r="R3" s="490"/>
      <c r="U3" s="490"/>
      <c r="V3" s="490"/>
      <c r="W3" s="490"/>
      <c r="X3" s="486"/>
      <c r="Y3" s="486"/>
      <c r="Z3" s="486"/>
      <c r="AA3" s="486"/>
      <c r="AB3" s="486"/>
    </row>
    <row r="4" spans="1:48" ht="12.75">
      <c r="A4" s="1323" t="s">
        <v>246</v>
      </c>
      <c r="B4" s="303" t="s">
        <v>99</v>
      </c>
      <c r="C4" s="1330" t="s">
        <v>262</v>
      </c>
      <c r="D4" s="1328" t="s">
        <v>263</v>
      </c>
      <c r="E4" s="1325"/>
      <c r="F4" s="1324"/>
      <c r="G4" s="1324"/>
      <c r="H4" s="1324"/>
      <c r="I4" s="488"/>
      <c r="J4" s="488"/>
      <c r="K4" s="488"/>
      <c r="L4" s="488"/>
      <c r="M4" s="488"/>
      <c r="N4" s="488"/>
      <c r="P4" s="488"/>
      <c r="Q4" s="489"/>
      <c r="R4" s="489"/>
      <c r="W4" s="488"/>
    </row>
    <row r="5" spans="1:48" ht="12.75">
      <c r="A5" s="1323" t="s">
        <v>248</v>
      </c>
      <c r="B5" s="303">
        <v>201000072</v>
      </c>
      <c r="C5" s="1325"/>
      <c r="D5" s="1325"/>
      <c r="E5" s="1325"/>
      <c r="F5" s="1324"/>
      <c r="G5" s="1324"/>
      <c r="H5" s="1323"/>
      <c r="I5" s="488"/>
      <c r="J5" s="488"/>
      <c r="K5" s="487"/>
      <c r="L5" s="488"/>
      <c r="M5" s="488"/>
      <c r="N5" s="488"/>
      <c r="P5" s="488"/>
      <c r="Q5" s="489"/>
      <c r="R5" s="489"/>
      <c r="S5" s="488"/>
      <c r="W5" s="488"/>
    </row>
    <row r="6" spans="1:48" ht="12.75">
      <c r="A6" s="1323" t="s">
        <v>80</v>
      </c>
      <c r="B6" s="303"/>
      <c r="C6" s="1325"/>
      <c r="D6" s="1325"/>
      <c r="E6" s="1325"/>
      <c r="F6" s="1324"/>
      <c r="G6" s="1324"/>
      <c r="H6" s="1331"/>
      <c r="I6" s="493"/>
      <c r="J6" s="494"/>
      <c r="K6" s="487"/>
      <c r="L6" s="487"/>
      <c r="M6" s="487"/>
      <c r="N6" s="487"/>
      <c r="O6" s="487"/>
      <c r="P6" s="487"/>
      <c r="R6" s="489"/>
      <c r="W6" s="488"/>
    </row>
    <row r="7" spans="1:48" s="486" customFormat="1" ht="12.75">
      <c r="A7" s="1332" t="s">
        <v>264</v>
      </c>
      <c r="B7" s="1332"/>
      <c r="C7" s="1333">
        <f>ROW(B57)</f>
        <v>57</v>
      </c>
      <c r="D7" s="1334"/>
      <c r="E7" s="1334"/>
      <c r="F7" s="1335"/>
      <c r="G7" s="1335"/>
      <c r="H7" s="1336"/>
      <c r="I7" s="496"/>
      <c r="J7" s="497"/>
      <c r="R7" s="485"/>
      <c r="U7" s="485"/>
      <c r="V7" s="498"/>
      <c r="W7" s="495"/>
      <c r="AV7" s="499"/>
    </row>
    <row r="8" spans="1:48" ht="16.5" customHeight="1">
      <c r="A8" s="2478" t="s">
        <v>265</v>
      </c>
      <c r="B8" s="2481" t="s">
        <v>1</v>
      </c>
      <c r="C8" s="2484" t="s">
        <v>2</v>
      </c>
      <c r="D8" s="2487" t="s">
        <v>3</v>
      </c>
      <c r="E8" s="2488"/>
      <c r="F8" s="2489"/>
      <c r="G8" s="2472" t="s">
        <v>4</v>
      </c>
      <c r="H8" s="2473"/>
      <c r="I8" s="2457" t="s">
        <v>266</v>
      </c>
      <c r="J8" s="2458"/>
      <c r="K8" s="2463" t="s">
        <v>267</v>
      </c>
      <c r="L8" s="1649"/>
      <c r="M8" s="2466" t="s">
        <v>268</v>
      </c>
      <c r="N8" s="2463" t="s">
        <v>269</v>
      </c>
      <c r="O8" s="2495" t="s">
        <v>7</v>
      </c>
      <c r="P8" s="2496"/>
      <c r="Q8" s="2495" t="s">
        <v>8</v>
      </c>
      <c r="R8" s="2496"/>
      <c r="S8" s="2484" t="s">
        <v>270</v>
      </c>
      <c r="T8" s="2478" t="s">
        <v>271</v>
      </c>
      <c r="U8" s="2503" t="s">
        <v>82</v>
      </c>
      <c r="V8" s="2504"/>
      <c r="W8" s="2496"/>
      <c r="X8" s="2500" t="str">
        <f>"Production cumulée au 31/12/"&amp;(YEAR($E$1)-1)</f>
        <v>Production cumulée au 31/12/2014</v>
      </c>
      <c r="Y8" s="2500" t="str">
        <f>"Sous traitance cumulée au 31/12/"&amp;(YEAR($E$1)-1)</f>
        <v>Sous traitance cumulée au 31/12/2014</v>
      </c>
      <c r="Z8" s="2500" t="str">
        <f>"Facturation cumulée au 31/12/"&amp;(YEAR($E$1)-1)</f>
        <v>Facturation cumulée au 31/12/2014</v>
      </c>
      <c r="AA8" s="2500" t="str">
        <f>"Encaissement cumulé au 31/12/"&amp;(YEAR($E$1)-1)</f>
        <v>Encaissement cumulé au 31/12/2014</v>
      </c>
      <c r="AB8" s="2500" t="s">
        <v>272</v>
      </c>
    </row>
    <row r="9" spans="1:48" ht="8.25" customHeight="1">
      <c r="A9" s="2479"/>
      <c r="B9" s="2482"/>
      <c r="C9" s="2485"/>
      <c r="D9" s="2490"/>
      <c r="E9" s="2491"/>
      <c r="F9" s="2492"/>
      <c r="G9" s="2474"/>
      <c r="H9" s="2475"/>
      <c r="I9" s="2459"/>
      <c r="J9" s="2460"/>
      <c r="K9" s="2464"/>
      <c r="L9" s="1337"/>
      <c r="M9" s="2467"/>
      <c r="N9" s="2493"/>
      <c r="O9" s="2497"/>
      <c r="P9" s="2498"/>
      <c r="Q9" s="2497"/>
      <c r="R9" s="2498"/>
      <c r="S9" s="2499"/>
      <c r="T9" s="2493"/>
      <c r="U9" s="2497"/>
      <c r="V9" s="2505"/>
      <c r="W9" s="2498"/>
      <c r="X9" s="2501"/>
      <c r="Y9" s="2501"/>
      <c r="Z9" s="2501"/>
      <c r="AA9" s="2501"/>
      <c r="AB9" s="2501"/>
    </row>
    <row r="10" spans="1:48" ht="8.25" customHeight="1">
      <c r="A10" s="2479"/>
      <c r="B10" s="2482"/>
      <c r="C10" s="2485"/>
      <c r="D10" s="2484" t="s">
        <v>273</v>
      </c>
      <c r="E10" s="2484" t="s">
        <v>16</v>
      </c>
      <c r="F10" s="2463" t="s">
        <v>274</v>
      </c>
      <c r="G10" s="2476"/>
      <c r="H10" s="2477"/>
      <c r="I10" s="2461"/>
      <c r="J10" s="2462"/>
      <c r="K10" s="2464"/>
      <c r="L10" s="1648" t="s">
        <v>275</v>
      </c>
      <c r="M10" s="2467"/>
      <c r="N10" s="2493"/>
      <c r="O10" s="2484" t="s">
        <v>16</v>
      </c>
      <c r="P10" s="2463" t="s">
        <v>276</v>
      </c>
      <c r="Q10" s="2484" t="s">
        <v>16</v>
      </c>
      <c r="R10" s="2463" t="s">
        <v>274</v>
      </c>
      <c r="S10" s="2499"/>
      <c r="T10" s="2493"/>
      <c r="U10" s="2484" t="s">
        <v>277</v>
      </c>
      <c r="V10" s="2484" t="s">
        <v>16</v>
      </c>
      <c r="W10" s="2463" t="s">
        <v>278</v>
      </c>
      <c r="X10" s="2501"/>
      <c r="Y10" s="2501"/>
      <c r="Z10" s="2501"/>
      <c r="AA10" s="2501"/>
      <c r="AB10" s="2501"/>
    </row>
    <row r="11" spans="1:48" ht="12.75" customHeight="1">
      <c r="A11" s="2479"/>
      <c r="B11" s="2482"/>
      <c r="C11" s="2485"/>
      <c r="D11" s="2499"/>
      <c r="E11" s="2499"/>
      <c r="F11" s="2499"/>
      <c r="G11" s="2463" t="s">
        <v>24</v>
      </c>
      <c r="H11" s="2470" t="s">
        <v>25</v>
      </c>
      <c r="I11" s="2470" t="s">
        <v>26</v>
      </c>
      <c r="J11" s="2463" t="s">
        <v>279</v>
      </c>
      <c r="K11" s="2464"/>
      <c r="L11" s="1337"/>
      <c r="M11" s="2467"/>
      <c r="N11" s="2493"/>
      <c r="O11" s="2493"/>
      <c r="P11" s="2493"/>
      <c r="Q11" s="2493"/>
      <c r="R11" s="2493"/>
      <c r="S11" s="2499"/>
      <c r="T11" s="2493"/>
      <c r="U11" s="2493"/>
      <c r="V11" s="2493"/>
      <c r="W11" s="2493"/>
      <c r="X11" s="2501"/>
      <c r="Y11" s="2501"/>
      <c r="Z11" s="2501"/>
      <c r="AA11" s="2501"/>
      <c r="AB11" s="2501"/>
    </row>
    <row r="12" spans="1:48" ht="11.25" customHeight="1">
      <c r="A12" s="2480"/>
      <c r="B12" s="2483"/>
      <c r="C12" s="2486"/>
      <c r="D12" s="2469"/>
      <c r="E12" s="2469"/>
      <c r="F12" s="2469"/>
      <c r="G12" s="2469"/>
      <c r="H12" s="2471"/>
      <c r="I12" s="2471"/>
      <c r="J12" s="2465"/>
      <c r="K12" s="2465"/>
      <c r="L12" s="1337"/>
      <c r="M12" s="2468"/>
      <c r="N12" s="2494"/>
      <c r="O12" s="2494"/>
      <c r="P12" s="2494"/>
      <c r="Q12" s="2494"/>
      <c r="R12" s="2494"/>
      <c r="S12" s="2469"/>
      <c r="T12" s="2494"/>
      <c r="U12" s="2494"/>
      <c r="V12" s="2494"/>
      <c r="W12" s="2494"/>
      <c r="X12" s="2502"/>
      <c r="Y12" s="2502"/>
      <c r="Z12" s="2502"/>
      <c r="AA12" s="2502"/>
      <c r="AB12" s="2502"/>
    </row>
    <row r="13" spans="1:48" ht="11.25" customHeight="1">
      <c r="A13" s="1338"/>
      <c r="B13" s="1338" t="s">
        <v>35</v>
      </c>
      <c r="C13" s="1339" t="s">
        <v>36</v>
      </c>
      <c r="D13" s="1339"/>
      <c r="E13" s="1339"/>
      <c r="F13" s="1340" t="s">
        <v>37</v>
      </c>
      <c r="G13" s="1340" t="s">
        <v>38</v>
      </c>
      <c r="H13" s="1340" t="s">
        <v>39</v>
      </c>
      <c r="I13" s="1340" t="s">
        <v>40</v>
      </c>
      <c r="J13" s="1340" t="s">
        <v>41</v>
      </c>
      <c r="K13" s="1340" t="s">
        <v>42</v>
      </c>
      <c r="L13" s="1340" t="s">
        <v>43</v>
      </c>
      <c r="M13" s="1340" t="s">
        <v>44</v>
      </c>
      <c r="N13" s="1340" t="s">
        <v>45</v>
      </c>
      <c r="O13" s="1339"/>
      <c r="P13" s="1340" t="s">
        <v>37</v>
      </c>
      <c r="Q13" s="1339" t="s">
        <v>46</v>
      </c>
      <c r="R13" s="1339"/>
      <c r="S13" s="1341" t="s">
        <v>47</v>
      </c>
      <c r="T13" s="1342" t="s">
        <v>48</v>
      </c>
      <c r="U13" s="1339"/>
      <c r="V13" s="1339"/>
      <c r="W13" s="1340" t="s">
        <v>37</v>
      </c>
      <c r="X13" s="1343"/>
      <c r="Y13" s="1343"/>
      <c r="Z13" s="1966"/>
      <c r="AA13" s="1966"/>
      <c r="AB13" s="1343"/>
    </row>
    <row r="14" spans="1:48">
      <c r="A14" s="795"/>
      <c r="B14" s="795"/>
      <c r="C14" s="502"/>
      <c r="D14" s="502"/>
      <c r="E14" s="502"/>
      <c r="F14" s="500"/>
      <c r="G14" s="500"/>
      <c r="H14" s="500"/>
      <c r="I14" s="500"/>
      <c r="J14" s="500"/>
      <c r="K14" s="500"/>
      <c r="L14" s="500"/>
      <c r="M14" s="500"/>
      <c r="N14" s="500"/>
      <c r="O14" s="502"/>
      <c r="P14" s="500"/>
      <c r="Q14" s="502"/>
      <c r="R14" s="502"/>
      <c r="S14" s="503"/>
      <c r="T14" s="504"/>
      <c r="U14" s="502"/>
      <c r="V14" s="502"/>
      <c r="W14" s="500"/>
      <c r="X14" s="500"/>
      <c r="Y14" s="500"/>
      <c r="Z14" s="500"/>
      <c r="AA14" s="502"/>
      <c r="AB14" s="512"/>
    </row>
    <row r="15" spans="1:48">
      <c r="A15" s="505">
        <v>1</v>
      </c>
      <c r="B15" s="1344"/>
      <c r="C15" s="500"/>
      <c r="D15" s="500"/>
      <c r="E15" s="502"/>
      <c r="F15" s="500"/>
      <c r="G15" s="500"/>
      <c r="H15" s="500"/>
      <c r="I15" s="500"/>
      <c r="J15" s="500"/>
      <c r="K15" s="500"/>
      <c r="L15" s="500"/>
      <c r="M15" s="500"/>
      <c r="N15" s="500"/>
      <c r="O15" s="502"/>
      <c r="P15" s="500"/>
      <c r="Q15" s="502"/>
      <c r="R15" s="502"/>
      <c r="S15" s="503"/>
      <c r="T15" s="504"/>
      <c r="U15" s="500"/>
      <c r="V15" s="502"/>
      <c r="W15" s="500"/>
      <c r="X15" s="500"/>
      <c r="Y15" s="500"/>
      <c r="Z15" s="500"/>
      <c r="AA15" s="502"/>
      <c r="AB15" s="512"/>
    </row>
    <row r="16" spans="1:48">
      <c r="A16" s="505"/>
      <c r="B16" s="507"/>
      <c r="C16" s="500"/>
      <c r="D16" s="500"/>
      <c r="E16" s="502"/>
      <c r="F16" s="500"/>
      <c r="G16" s="500"/>
      <c r="H16" s="500"/>
      <c r="I16" s="500"/>
      <c r="J16" s="500"/>
      <c r="K16" s="500"/>
      <c r="L16" s="500">
        <f t="shared" ref="L16:L21" si="0">I16-J16+K16</f>
        <v>0</v>
      </c>
      <c r="M16" s="500"/>
      <c r="N16" s="500"/>
      <c r="O16" s="502"/>
      <c r="P16" s="500"/>
      <c r="Q16" s="502"/>
      <c r="R16" s="502"/>
      <c r="S16" s="503"/>
      <c r="T16" s="504"/>
      <c r="U16" s="500"/>
      <c r="V16" s="502"/>
      <c r="W16" s="500"/>
      <c r="X16" s="500"/>
      <c r="Y16" s="500"/>
      <c r="Z16" s="500"/>
      <c r="AA16" s="502"/>
      <c r="AB16" s="512"/>
    </row>
    <row r="17" spans="1:28">
      <c r="A17" s="505">
        <v>2</v>
      </c>
      <c r="B17" s="1344"/>
      <c r="C17" s="500"/>
      <c r="D17" s="500"/>
      <c r="E17" s="502"/>
      <c r="F17" s="500"/>
      <c r="G17" s="500"/>
      <c r="H17" s="500"/>
      <c r="I17" s="500"/>
      <c r="J17" s="500"/>
      <c r="K17" s="500"/>
      <c r="L17" s="500">
        <f t="shared" si="0"/>
        <v>0</v>
      </c>
      <c r="M17" s="500"/>
      <c r="N17" s="500"/>
      <c r="O17" s="502"/>
      <c r="P17" s="500"/>
      <c r="Q17" s="502"/>
      <c r="R17" s="502"/>
      <c r="S17" s="503"/>
      <c r="T17" s="504"/>
      <c r="U17" s="500"/>
      <c r="V17" s="502"/>
      <c r="W17" s="500"/>
      <c r="X17" s="500"/>
      <c r="Y17" s="500"/>
      <c r="Z17" s="500"/>
      <c r="AA17" s="502"/>
      <c r="AB17" s="512"/>
    </row>
    <row r="18" spans="1:28">
      <c r="A18" s="505"/>
      <c r="B18" s="507"/>
      <c r="C18" s="500"/>
      <c r="D18" s="500"/>
      <c r="E18" s="502"/>
      <c r="F18" s="500"/>
      <c r="G18" s="500"/>
      <c r="H18" s="500"/>
      <c r="I18" s="500"/>
      <c r="J18" s="500"/>
      <c r="K18" s="500"/>
      <c r="L18" s="500">
        <f t="shared" si="0"/>
        <v>0</v>
      </c>
      <c r="M18" s="500"/>
      <c r="N18" s="500"/>
      <c r="O18" s="502"/>
      <c r="P18" s="500"/>
      <c r="Q18" s="502"/>
      <c r="R18" s="502"/>
      <c r="S18" s="503"/>
      <c r="T18" s="504"/>
      <c r="U18" s="502"/>
      <c r="V18" s="502"/>
      <c r="W18" s="500">
        <f>V18*U18</f>
        <v>0</v>
      </c>
      <c r="X18" s="500"/>
      <c r="Y18" s="500"/>
      <c r="Z18" s="500"/>
      <c r="AA18" s="502"/>
      <c r="AB18" s="512"/>
    </row>
    <row r="19" spans="1:28">
      <c r="A19" s="505">
        <v>3</v>
      </c>
      <c r="B19" s="1344" t="s">
        <v>280</v>
      </c>
      <c r="C19" s="500">
        <f>390000*1.2</f>
        <v>468000</v>
      </c>
      <c r="D19" s="500">
        <f>390000*1.2</f>
        <v>468000</v>
      </c>
      <c r="E19" s="502">
        <v>1</v>
      </c>
      <c r="F19" s="500">
        <f>E19*D19</f>
        <v>468000</v>
      </c>
      <c r="G19" s="500">
        <f>(4550/0.7)+5676</f>
        <v>12176</v>
      </c>
      <c r="H19" s="500"/>
      <c r="I19" s="500">
        <f>U19</f>
        <v>468000</v>
      </c>
      <c r="J19" s="500"/>
      <c r="K19" s="500"/>
      <c r="L19" s="500">
        <f t="shared" si="0"/>
        <v>468000</v>
      </c>
      <c r="M19" s="500"/>
      <c r="N19" s="500">
        <f>G19</f>
        <v>12176</v>
      </c>
      <c r="O19" s="502">
        <v>1</v>
      </c>
      <c r="P19" s="500">
        <f>O19*W19</f>
        <v>468000</v>
      </c>
      <c r="Q19" s="502"/>
      <c r="R19" s="502"/>
      <c r="S19" s="503"/>
      <c r="T19" s="503">
        <f>W19-L19</f>
        <v>0</v>
      </c>
      <c r="U19" s="500">
        <v>468000</v>
      </c>
      <c r="V19" s="500">
        <v>1</v>
      </c>
      <c r="W19" s="502">
        <v>468000</v>
      </c>
      <c r="X19" s="500">
        <v>468000</v>
      </c>
      <c r="Y19" s="500">
        <v>12176</v>
      </c>
      <c r="Z19" s="500">
        <f>0.6*D19</f>
        <v>280800</v>
      </c>
      <c r="AA19" s="502"/>
      <c r="AB19" s="512"/>
    </row>
    <row r="20" spans="1:28">
      <c r="A20" s="505"/>
      <c r="B20" s="507"/>
      <c r="C20" s="500"/>
      <c r="D20" s="500"/>
      <c r="E20" s="502"/>
      <c r="F20" s="500"/>
      <c r="G20" s="500"/>
      <c r="H20" s="500"/>
      <c r="I20" s="500"/>
      <c r="J20" s="500"/>
      <c r="K20" s="500"/>
      <c r="L20" s="500">
        <f t="shared" si="0"/>
        <v>0</v>
      </c>
      <c r="M20" s="500"/>
      <c r="N20" s="500"/>
      <c r="O20" s="502"/>
      <c r="P20" s="500"/>
      <c r="Q20" s="502"/>
      <c r="R20" s="502"/>
      <c r="S20" s="503"/>
      <c r="T20" s="504"/>
      <c r="U20" s="500"/>
      <c r="V20" s="500"/>
      <c r="W20" s="502"/>
      <c r="X20" s="500">
        <v>0</v>
      </c>
      <c r="Y20" s="500"/>
      <c r="Z20" s="500"/>
      <c r="AA20" s="502"/>
      <c r="AB20" s="512"/>
    </row>
    <row r="21" spans="1:28" ht="22.5">
      <c r="A21" s="505">
        <v>4</v>
      </c>
      <c r="B21" s="507" t="s">
        <v>281</v>
      </c>
      <c r="C21" s="500">
        <f>120000*1.2</f>
        <v>144000</v>
      </c>
      <c r="D21" s="500">
        <f>120000*1.2</f>
        <v>144000</v>
      </c>
      <c r="E21" s="502">
        <v>1</v>
      </c>
      <c r="F21" s="500">
        <f>E21*D21</f>
        <v>144000</v>
      </c>
      <c r="G21" s="500"/>
      <c r="H21" s="500"/>
      <c r="I21" s="500">
        <f>U21</f>
        <v>144000</v>
      </c>
      <c r="J21" s="500"/>
      <c r="K21" s="500"/>
      <c r="L21" s="500">
        <f t="shared" si="0"/>
        <v>144000</v>
      </c>
      <c r="M21" s="500"/>
      <c r="N21" s="500"/>
      <c r="O21" s="502">
        <v>1</v>
      </c>
      <c r="P21" s="500">
        <f>O21*W21</f>
        <v>144000</v>
      </c>
      <c r="Q21" s="502"/>
      <c r="R21" s="502"/>
      <c r="S21" s="503"/>
      <c r="T21" s="503">
        <f>W21-L21</f>
        <v>0</v>
      </c>
      <c r="U21" s="500">
        <v>144000</v>
      </c>
      <c r="V21" s="500">
        <v>1</v>
      </c>
      <c r="W21" s="502">
        <v>144000</v>
      </c>
      <c r="X21" s="500">
        <v>144000</v>
      </c>
      <c r="Y21" s="500"/>
      <c r="Z21" s="500"/>
      <c r="AA21" s="502"/>
      <c r="AB21" s="512"/>
    </row>
    <row r="22" spans="1:28">
      <c r="A22" s="505"/>
      <c r="B22" s="507"/>
      <c r="C22" s="500"/>
      <c r="D22" s="500"/>
      <c r="E22" s="502"/>
      <c r="F22" s="500"/>
      <c r="G22" s="500"/>
      <c r="H22" s="500"/>
      <c r="I22" s="500"/>
      <c r="J22" s="500"/>
      <c r="K22" s="500"/>
      <c r="L22" s="500"/>
      <c r="M22" s="500"/>
      <c r="N22" s="500"/>
      <c r="O22" s="502"/>
      <c r="P22" s="500"/>
      <c r="Q22" s="502"/>
      <c r="R22" s="502"/>
      <c r="S22" s="503"/>
      <c r="T22" s="504"/>
      <c r="U22" s="502"/>
      <c r="V22" s="502"/>
      <c r="W22" s="500"/>
      <c r="X22" s="500"/>
      <c r="Y22" s="500"/>
      <c r="Z22" s="500"/>
      <c r="AA22" s="502"/>
      <c r="AB22" s="512"/>
    </row>
    <row r="23" spans="1:28">
      <c r="A23" s="505"/>
      <c r="B23" s="505"/>
      <c r="C23" s="500"/>
      <c r="D23" s="500"/>
      <c r="E23" s="502"/>
      <c r="F23" s="500"/>
      <c r="G23" s="500"/>
      <c r="H23" s="500"/>
      <c r="I23" s="500"/>
      <c r="J23" s="500"/>
      <c r="K23" s="500"/>
      <c r="L23" s="500"/>
      <c r="M23" s="500"/>
      <c r="N23" s="500"/>
      <c r="O23" s="502"/>
      <c r="P23" s="500"/>
      <c r="Q23" s="502"/>
      <c r="R23" s="502"/>
      <c r="S23" s="503"/>
      <c r="T23" s="504"/>
      <c r="U23" s="502"/>
      <c r="V23" s="502"/>
      <c r="W23" s="500"/>
      <c r="X23" s="500"/>
      <c r="Y23" s="500"/>
      <c r="Z23" s="500"/>
      <c r="AA23" s="502"/>
      <c r="AB23" s="512"/>
    </row>
    <row r="24" spans="1:28">
      <c r="A24" s="505"/>
      <c r="B24" s="505"/>
      <c r="C24" s="500"/>
      <c r="D24" s="500"/>
      <c r="E24" s="502"/>
      <c r="F24" s="500"/>
      <c r="G24" s="500"/>
      <c r="H24" s="500"/>
      <c r="I24" s="500"/>
      <c r="J24" s="500"/>
      <c r="K24" s="500"/>
      <c r="L24" s="500"/>
      <c r="M24" s="500"/>
      <c r="N24" s="500"/>
      <c r="O24" s="502"/>
      <c r="P24" s="500"/>
      <c r="Q24" s="502"/>
      <c r="R24" s="502"/>
      <c r="S24" s="503"/>
      <c r="T24" s="504"/>
      <c r="U24" s="502"/>
      <c r="V24" s="502"/>
      <c r="W24" s="500"/>
      <c r="X24" s="500"/>
      <c r="Y24" s="500"/>
      <c r="Z24" s="500"/>
      <c r="AA24" s="502"/>
      <c r="AB24" s="512"/>
    </row>
    <row r="25" spans="1:28">
      <c r="A25" s="505"/>
      <c r="B25" s="505"/>
      <c r="C25" s="500"/>
      <c r="D25" s="500"/>
      <c r="E25" s="502"/>
      <c r="F25" s="500"/>
      <c r="G25" s="500"/>
      <c r="H25" s="500"/>
      <c r="I25" s="500"/>
      <c r="J25" s="500"/>
      <c r="K25" s="500"/>
      <c r="L25" s="500"/>
      <c r="M25" s="500"/>
      <c r="N25" s="500"/>
      <c r="O25" s="502"/>
      <c r="P25" s="500"/>
      <c r="Q25" s="502"/>
      <c r="R25" s="502"/>
      <c r="S25" s="503"/>
      <c r="T25" s="504"/>
      <c r="U25" s="502"/>
      <c r="V25" s="502"/>
      <c r="W25" s="500"/>
      <c r="X25" s="500"/>
      <c r="Y25" s="500"/>
      <c r="Z25" s="500"/>
      <c r="AA25" s="502"/>
      <c r="AB25" s="512"/>
    </row>
    <row r="26" spans="1:28">
      <c r="A26" s="505"/>
      <c r="B26" s="505"/>
      <c r="C26" s="500"/>
      <c r="D26" s="500"/>
      <c r="E26" s="502"/>
      <c r="F26" s="500"/>
      <c r="G26" s="500"/>
      <c r="H26" s="500"/>
      <c r="I26" s="500"/>
      <c r="J26" s="500"/>
      <c r="K26" s="500"/>
      <c r="L26" s="500"/>
      <c r="M26" s="500"/>
      <c r="N26" s="500"/>
      <c r="O26" s="502"/>
      <c r="P26" s="500"/>
      <c r="Q26" s="502"/>
      <c r="R26" s="502"/>
      <c r="S26" s="503"/>
      <c r="T26" s="504"/>
      <c r="U26" s="502"/>
      <c r="V26" s="502"/>
      <c r="W26" s="500"/>
      <c r="X26" s="500"/>
      <c r="Y26" s="500"/>
      <c r="Z26" s="500"/>
      <c r="AA26" s="502"/>
      <c r="AB26" s="512"/>
    </row>
    <row r="27" spans="1:28">
      <c r="A27" s="505"/>
      <c r="B27" s="505"/>
      <c r="C27" s="500"/>
      <c r="D27" s="500"/>
      <c r="E27" s="502"/>
      <c r="F27" s="500"/>
      <c r="G27" s="500"/>
      <c r="H27" s="500"/>
      <c r="I27" s="500"/>
      <c r="J27" s="500"/>
      <c r="K27" s="500"/>
      <c r="L27" s="500"/>
      <c r="M27" s="500"/>
      <c r="N27" s="500"/>
      <c r="O27" s="502"/>
      <c r="P27" s="500"/>
      <c r="Q27" s="502"/>
      <c r="R27" s="502"/>
      <c r="S27" s="503"/>
      <c r="T27" s="504"/>
      <c r="U27" s="502"/>
      <c r="V27" s="502"/>
      <c r="W27" s="500"/>
      <c r="X27" s="500"/>
      <c r="Y27" s="500"/>
      <c r="Z27" s="500"/>
      <c r="AA27" s="502"/>
      <c r="AB27" s="512"/>
    </row>
    <row r="28" spans="1:28">
      <c r="A28" s="505"/>
      <c r="B28" s="505"/>
      <c r="C28" s="500"/>
      <c r="D28" s="500"/>
      <c r="E28" s="502"/>
      <c r="F28" s="500"/>
      <c r="G28" s="500"/>
      <c r="H28" s="500"/>
      <c r="I28" s="500"/>
      <c r="J28" s="500"/>
      <c r="K28" s="500"/>
      <c r="L28" s="500"/>
      <c r="M28" s="500"/>
      <c r="N28" s="500"/>
      <c r="O28" s="502"/>
      <c r="P28" s="500"/>
      <c r="Q28" s="502"/>
      <c r="R28" s="502"/>
      <c r="S28" s="503"/>
      <c r="T28" s="504"/>
      <c r="U28" s="502"/>
      <c r="V28" s="502"/>
      <c r="W28" s="500"/>
      <c r="X28" s="500"/>
      <c r="Y28" s="500"/>
      <c r="Z28" s="500"/>
      <c r="AA28" s="502"/>
      <c r="AB28" s="512"/>
    </row>
    <row r="29" spans="1:28">
      <c r="A29" s="505"/>
      <c r="B29" s="505"/>
      <c r="C29" s="500"/>
      <c r="D29" s="500"/>
      <c r="E29" s="502"/>
      <c r="F29" s="500"/>
      <c r="G29" s="500"/>
      <c r="H29" s="500"/>
      <c r="I29" s="500"/>
      <c r="J29" s="500"/>
      <c r="K29" s="500"/>
      <c r="L29" s="500"/>
      <c r="M29" s="500"/>
      <c r="N29" s="500"/>
      <c r="O29" s="502"/>
      <c r="P29" s="500"/>
      <c r="Q29" s="502"/>
      <c r="R29" s="502"/>
      <c r="S29" s="503"/>
      <c r="T29" s="504"/>
      <c r="U29" s="502"/>
      <c r="V29" s="502"/>
      <c r="W29" s="500"/>
      <c r="X29" s="500"/>
      <c r="Y29" s="500"/>
      <c r="Z29" s="500"/>
      <c r="AA29" s="502"/>
      <c r="AB29" s="512"/>
    </row>
    <row r="30" spans="1:28">
      <c r="A30" s="505"/>
      <c r="B30" s="505"/>
      <c r="C30" s="500"/>
      <c r="D30" s="500"/>
      <c r="E30" s="502"/>
      <c r="F30" s="500"/>
      <c r="G30" s="500"/>
      <c r="H30" s="500"/>
      <c r="I30" s="500"/>
      <c r="J30" s="500"/>
      <c r="K30" s="500"/>
      <c r="L30" s="500"/>
      <c r="M30" s="500"/>
      <c r="N30" s="500"/>
      <c r="O30" s="502"/>
      <c r="P30" s="500"/>
      <c r="Q30" s="502"/>
      <c r="R30" s="502"/>
      <c r="S30" s="503"/>
      <c r="T30" s="504"/>
      <c r="U30" s="502"/>
      <c r="V30" s="502"/>
      <c r="W30" s="500"/>
      <c r="X30" s="500"/>
      <c r="Y30" s="500"/>
      <c r="Z30" s="500"/>
      <c r="AA30" s="502"/>
      <c r="AB30" s="512"/>
    </row>
    <row r="31" spans="1:28">
      <c r="A31" s="505"/>
      <c r="B31" s="505"/>
      <c r="C31" s="500"/>
      <c r="D31" s="500"/>
      <c r="E31" s="502"/>
      <c r="F31" s="500"/>
      <c r="G31" s="500"/>
      <c r="H31" s="500"/>
      <c r="I31" s="500"/>
      <c r="J31" s="500"/>
      <c r="K31" s="500"/>
      <c r="L31" s="500"/>
      <c r="M31" s="500"/>
      <c r="N31" s="500"/>
      <c r="O31" s="502"/>
      <c r="P31" s="500"/>
      <c r="Q31" s="502"/>
      <c r="R31" s="502"/>
      <c r="S31" s="503"/>
      <c r="T31" s="504"/>
      <c r="U31" s="502"/>
      <c r="V31" s="502"/>
      <c r="W31" s="500"/>
      <c r="X31" s="500"/>
      <c r="Y31" s="500"/>
      <c r="Z31" s="500"/>
      <c r="AA31" s="502"/>
      <c r="AB31" s="512"/>
    </row>
    <row r="32" spans="1:28">
      <c r="A32" s="505"/>
      <c r="B32" s="505"/>
      <c r="C32" s="500"/>
      <c r="D32" s="500"/>
      <c r="E32" s="502"/>
      <c r="F32" s="500"/>
      <c r="G32" s="500"/>
      <c r="H32" s="500"/>
      <c r="I32" s="500"/>
      <c r="J32" s="500"/>
      <c r="K32" s="500"/>
      <c r="L32" s="500"/>
      <c r="M32" s="500"/>
      <c r="N32" s="500"/>
      <c r="O32" s="502"/>
      <c r="P32" s="500"/>
      <c r="Q32" s="502"/>
      <c r="R32" s="502"/>
      <c r="S32" s="503"/>
      <c r="T32" s="504"/>
      <c r="U32" s="502"/>
      <c r="V32" s="502"/>
      <c r="W32" s="500"/>
      <c r="X32" s="500"/>
      <c r="Y32" s="500"/>
      <c r="Z32" s="500"/>
      <c r="AA32" s="502"/>
      <c r="AB32" s="512"/>
    </row>
    <row r="33" spans="1:28">
      <c r="A33" s="505"/>
      <c r="B33" s="505"/>
      <c r="C33" s="500"/>
      <c r="D33" s="500"/>
      <c r="E33" s="502"/>
      <c r="F33" s="500"/>
      <c r="G33" s="500"/>
      <c r="H33" s="500"/>
      <c r="I33" s="500"/>
      <c r="J33" s="500"/>
      <c r="K33" s="500"/>
      <c r="L33" s="500"/>
      <c r="M33" s="500"/>
      <c r="N33" s="500"/>
      <c r="O33" s="502"/>
      <c r="P33" s="500"/>
      <c r="Q33" s="502"/>
      <c r="R33" s="502"/>
      <c r="S33" s="503"/>
      <c r="T33" s="504"/>
      <c r="U33" s="502"/>
      <c r="V33" s="502"/>
      <c r="W33" s="500"/>
      <c r="X33" s="500"/>
      <c r="Y33" s="500"/>
      <c r="Z33" s="500"/>
      <c r="AA33" s="502"/>
      <c r="AB33" s="512"/>
    </row>
    <row r="34" spans="1:28">
      <c r="A34" s="505"/>
      <c r="B34" s="505"/>
      <c r="C34" s="500"/>
      <c r="D34" s="500"/>
      <c r="E34" s="502"/>
      <c r="F34" s="500"/>
      <c r="G34" s="500"/>
      <c r="H34" s="500"/>
      <c r="I34" s="500"/>
      <c r="J34" s="500"/>
      <c r="K34" s="500"/>
      <c r="L34" s="500"/>
      <c r="M34" s="500"/>
      <c r="N34" s="500"/>
      <c r="O34" s="502"/>
      <c r="P34" s="500"/>
      <c r="Q34" s="502"/>
      <c r="R34" s="502"/>
      <c r="S34" s="503"/>
      <c r="T34" s="504"/>
      <c r="U34" s="502"/>
      <c r="V34" s="502"/>
      <c r="W34" s="500"/>
      <c r="X34" s="500"/>
      <c r="Y34" s="500"/>
      <c r="Z34" s="500"/>
      <c r="AA34" s="502"/>
      <c r="AB34" s="512"/>
    </row>
    <row r="35" spans="1:28">
      <c r="A35" s="505"/>
      <c r="B35" s="505"/>
      <c r="C35" s="500"/>
      <c r="D35" s="500"/>
      <c r="E35" s="502"/>
      <c r="F35" s="500"/>
      <c r="G35" s="500"/>
      <c r="H35" s="500"/>
      <c r="I35" s="500"/>
      <c r="J35" s="500"/>
      <c r="K35" s="500"/>
      <c r="L35" s="500"/>
      <c r="M35" s="500"/>
      <c r="N35" s="500"/>
      <c r="O35" s="502"/>
      <c r="P35" s="500"/>
      <c r="Q35" s="502"/>
      <c r="R35" s="502"/>
      <c r="S35" s="503"/>
      <c r="T35" s="504"/>
      <c r="U35" s="502"/>
      <c r="V35" s="502"/>
      <c r="W35" s="500"/>
      <c r="X35" s="500"/>
      <c r="Y35" s="500"/>
      <c r="Z35" s="500"/>
      <c r="AA35" s="502"/>
      <c r="AB35" s="512"/>
    </row>
    <row r="36" spans="1:28">
      <c r="A36" s="505"/>
      <c r="B36" s="505"/>
      <c r="C36" s="500"/>
      <c r="D36" s="500"/>
      <c r="E36" s="502"/>
      <c r="F36" s="500"/>
      <c r="G36" s="500"/>
      <c r="H36" s="500"/>
      <c r="I36" s="500"/>
      <c r="J36" s="500"/>
      <c r="K36" s="500"/>
      <c r="L36" s="500"/>
      <c r="M36" s="500"/>
      <c r="N36" s="500"/>
      <c r="O36" s="502"/>
      <c r="P36" s="500"/>
      <c r="Q36" s="502"/>
      <c r="R36" s="502"/>
      <c r="S36" s="503"/>
      <c r="T36" s="504"/>
      <c r="U36" s="502"/>
      <c r="V36" s="502"/>
      <c r="W36" s="500"/>
      <c r="X36" s="500"/>
      <c r="Y36" s="500"/>
      <c r="Z36" s="500"/>
      <c r="AA36" s="502"/>
      <c r="AB36" s="512"/>
    </row>
    <row r="37" spans="1:28">
      <c r="A37" s="505"/>
      <c r="B37" s="505"/>
      <c r="C37" s="500"/>
      <c r="D37" s="500"/>
      <c r="E37" s="502"/>
      <c r="F37" s="500"/>
      <c r="G37" s="500"/>
      <c r="H37" s="500"/>
      <c r="I37" s="500"/>
      <c r="J37" s="500"/>
      <c r="K37" s="500"/>
      <c r="L37" s="500"/>
      <c r="M37" s="500"/>
      <c r="N37" s="500"/>
      <c r="O37" s="502"/>
      <c r="P37" s="500"/>
      <c r="Q37" s="502"/>
      <c r="R37" s="502"/>
      <c r="S37" s="503"/>
      <c r="T37" s="504"/>
      <c r="U37" s="502"/>
      <c r="V37" s="502"/>
      <c r="W37" s="500"/>
      <c r="X37" s="500"/>
      <c r="Y37" s="500"/>
      <c r="Z37" s="500"/>
      <c r="AA37" s="502"/>
      <c r="AB37" s="512"/>
    </row>
    <row r="38" spans="1:28">
      <c r="A38" s="505"/>
      <c r="B38" s="505"/>
      <c r="C38" s="500"/>
      <c r="D38" s="500"/>
      <c r="E38" s="502"/>
      <c r="F38" s="500"/>
      <c r="G38" s="500"/>
      <c r="H38" s="500"/>
      <c r="I38" s="500"/>
      <c r="J38" s="500"/>
      <c r="K38" s="500"/>
      <c r="L38" s="500"/>
      <c r="M38" s="500"/>
      <c r="N38" s="500"/>
      <c r="O38" s="502"/>
      <c r="P38" s="500"/>
      <c r="Q38" s="502"/>
      <c r="R38" s="502"/>
      <c r="S38" s="503"/>
      <c r="T38" s="504"/>
      <c r="U38" s="502"/>
      <c r="V38" s="502"/>
      <c r="W38" s="500"/>
      <c r="X38" s="500"/>
      <c r="Y38" s="500"/>
      <c r="Z38" s="500"/>
      <c r="AA38" s="502"/>
      <c r="AB38" s="512"/>
    </row>
    <row r="39" spans="1:28">
      <c r="A39" s="505"/>
      <c r="B39" s="505"/>
      <c r="C39" s="500"/>
      <c r="D39" s="500"/>
      <c r="E39" s="502"/>
      <c r="F39" s="500"/>
      <c r="G39" s="500"/>
      <c r="H39" s="500"/>
      <c r="I39" s="500"/>
      <c r="J39" s="500"/>
      <c r="K39" s="500"/>
      <c r="L39" s="500"/>
      <c r="M39" s="500"/>
      <c r="N39" s="500"/>
      <c r="O39" s="502"/>
      <c r="P39" s="500"/>
      <c r="Q39" s="502"/>
      <c r="R39" s="502"/>
      <c r="S39" s="503"/>
      <c r="T39" s="504"/>
      <c r="U39" s="502"/>
      <c r="V39" s="502"/>
      <c r="W39" s="500"/>
      <c r="X39" s="500"/>
      <c r="Y39" s="500"/>
      <c r="Z39" s="500"/>
      <c r="AA39" s="502"/>
      <c r="AB39" s="512"/>
    </row>
    <row r="40" spans="1:28">
      <c r="A40" s="505"/>
      <c r="B40" s="505"/>
      <c r="C40" s="500"/>
      <c r="D40" s="500"/>
      <c r="E40" s="502"/>
      <c r="F40" s="500"/>
      <c r="G40" s="500"/>
      <c r="H40" s="500"/>
      <c r="I40" s="500"/>
      <c r="J40" s="500"/>
      <c r="K40" s="500"/>
      <c r="L40" s="500"/>
      <c r="M40" s="500"/>
      <c r="N40" s="500"/>
      <c r="O40" s="502"/>
      <c r="P40" s="500"/>
      <c r="Q40" s="502"/>
      <c r="R40" s="502"/>
      <c r="S40" s="503"/>
      <c r="T40" s="504"/>
      <c r="U40" s="502"/>
      <c r="V40" s="502"/>
      <c r="W40" s="500"/>
      <c r="X40" s="500"/>
      <c r="Y40" s="500"/>
      <c r="Z40" s="500"/>
      <c r="AA40" s="502"/>
      <c r="AB40" s="512"/>
    </row>
    <row r="41" spans="1:28">
      <c r="A41" s="505"/>
      <c r="B41" s="505"/>
      <c r="C41" s="500"/>
      <c r="D41" s="500"/>
      <c r="E41" s="502"/>
      <c r="F41" s="500"/>
      <c r="G41" s="500"/>
      <c r="H41" s="500"/>
      <c r="I41" s="500"/>
      <c r="J41" s="500"/>
      <c r="K41" s="500"/>
      <c r="L41" s="500"/>
      <c r="M41" s="500"/>
      <c r="N41" s="500"/>
      <c r="O41" s="502"/>
      <c r="P41" s="500"/>
      <c r="Q41" s="502"/>
      <c r="R41" s="502"/>
      <c r="S41" s="503"/>
      <c r="T41" s="504"/>
      <c r="U41" s="502"/>
      <c r="V41" s="502"/>
      <c r="W41" s="500"/>
      <c r="X41" s="500"/>
      <c r="Y41" s="500"/>
      <c r="Z41" s="500"/>
      <c r="AA41" s="502"/>
      <c r="AB41" s="512"/>
    </row>
    <row r="42" spans="1:28">
      <c r="A42" s="505"/>
      <c r="B42" s="505"/>
      <c r="C42" s="500"/>
      <c r="D42" s="500"/>
      <c r="E42" s="502"/>
      <c r="F42" s="500"/>
      <c r="G42" s="500"/>
      <c r="H42" s="500"/>
      <c r="I42" s="500"/>
      <c r="J42" s="500"/>
      <c r="K42" s="500"/>
      <c r="L42" s="500"/>
      <c r="M42" s="500"/>
      <c r="N42" s="500"/>
      <c r="O42" s="502"/>
      <c r="P42" s="500"/>
      <c r="Q42" s="502"/>
      <c r="R42" s="502"/>
      <c r="S42" s="503"/>
      <c r="T42" s="504"/>
      <c r="U42" s="502"/>
      <c r="V42" s="502"/>
      <c r="W42" s="500"/>
      <c r="X42" s="500"/>
      <c r="Y42" s="500"/>
      <c r="Z42" s="500"/>
      <c r="AA42" s="502"/>
      <c r="AB42" s="512"/>
    </row>
    <row r="43" spans="1:28">
      <c r="A43" s="505"/>
      <c r="B43" s="505"/>
      <c r="C43" s="500"/>
      <c r="D43" s="500"/>
      <c r="E43" s="502"/>
      <c r="F43" s="500"/>
      <c r="G43" s="500"/>
      <c r="H43" s="500"/>
      <c r="I43" s="500"/>
      <c r="J43" s="500"/>
      <c r="K43" s="500"/>
      <c r="L43" s="500"/>
      <c r="M43" s="500"/>
      <c r="N43" s="500"/>
      <c r="O43" s="502"/>
      <c r="P43" s="500"/>
      <c r="Q43" s="502"/>
      <c r="R43" s="502"/>
      <c r="S43" s="503"/>
      <c r="T43" s="504"/>
      <c r="U43" s="502"/>
      <c r="V43" s="502"/>
      <c r="W43" s="500"/>
      <c r="X43" s="500"/>
      <c r="Y43" s="500"/>
      <c r="Z43" s="500"/>
      <c r="AA43" s="502"/>
      <c r="AB43" s="512"/>
    </row>
    <row r="44" spans="1:28">
      <c r="A44" s="505"/>
      <c r="B44" s="505"/>
      <c r="C44" s="500"/>
      <c r="D44" s="500"/>
      <c r="E44" s="502"/>
      <c r="F44" s="500"/>
      <c r="G44" s="500"/>
      <c r="H44" s="500"/>
      <c r="I44" s="500"/>
      <c r="J44" s="500"/>
      <c r="K44" s="500"/>
      <c r="L44" s="500"/>
      <c r="M44" s="500"/>
      <c r="N44" s="500"/>
      <c r="O44" s="502"/>
      <c r="P44" s="500"/>
      <c r="Q44" s="502"/>
      <c r="R44" s="502"/>
      <c r="S44" s="503"/>
      <c r="T44" s="504"/>
      <c r="U44" s="502"/>
      <c r="V44" s="502"/>
      <c r="W44" s="500"/>
      <c r="X44" s="500"/>
      <c r="Y44" s="500"/>
      <c r="Z44" s="500"/>
      <c r="AA44" s="502"/>
      <c r="AB44" s="512"/>
    </row>
    <row r="45" spans="1:28">
      <c r="A45" s="505"/>
      <c r="B45" s="505"/>
      <c r="C45" s="500"/>
      <c r="D45" s="500"/>
      <c r="E45" s="502"/>
      <c r="F45" s="500"/>
      <c r="G45" s="500"/>
      <c r="H45" s="500"/>
      <c r="I45" s="500"/>
      <c r="J45" s="500"/>
      <c r="K45" s="500"/>
      <c r="L45" s="500"/>
      <c r="M45" s="500"/>
      <c r="N45" s="500"/>
      <c r="O45" s="502"/>
      <c r="P45" s="500"/>
      <c r="Q45" s="502"/>
      <c r="R45" s="502"/>
      <c r="S45" s="503"/>
      <c r="T45" s="504"/>
      <c r="U45" s="502"/>
      <c r="V45" s="502"/>
      <c r="W45" s="500"/>
      <c r="X45" s="500"/>
      <c r="Y45" s="500"/>
      <c r="Z45" s="500"/>
      <c r="AA45" s="502"/>
      <c r="AB45" s="512"/>
    </row>
    <row r="46" spans="1:28">
      <c r="A46" s="505"/>
      <c r="B46" s="505"/>
      <c r="C46" s="500"/>
      <c r="D46" s="500"/>
      <c r="E46" s="502"/>
      <c r="F46" s="500"/>
      <c r="G46" s="500"/>
      <c r="H46" s="500"/>
      <c r="I46" s="500"/>
      <c r="J46" s="500"/>
      <c r="K46" s="500"/>
      <c r="L46" s="500"/>
      <c r="M46" s="500"/>
      <c r="N46" s="500"/>
      <c r="O46" s="502"/>
      <c r="P46" s="500"/>
      <c r="Q46" s="502"/>
      <c r="R46" s="502"/>
      <c r="S46" s="503"/>
      <c r="T46" s="504"/>
      <c r="U46" s="502"/>
      <c r="V46" s="502"/>
      <c r="W46" s="500"/>
      <c r="X46" s="500"/>
      <c r="Y46" s="500"/>
      <c r="Z46" s="500"/>
      <c r="AA46" s="502"/>
      <c r="AB46" s="512"/>
    </row>
    <row r="47" spans="1:28">
      <c r="A47" s="505"/>
      <c r="B47" s="505"/>
      <c r="C47" s="500"/>
      <c r="D47" s="500"/>
      <c r="E47" s="502"/>
      <c r="F47" s="500"/>
      <c r="G47" s="500"/>
      <c r="H47" s="500"/>
      <c r="I47" s="500"/>
      <c r="J47" s="500"/>
      <c r="K47" s="500"/>
      <c r="L47" s="500"/>
      <c r="M47" s="500"/>
      <c r="N47" s="500"/>
      <c r="O47" s="502"/>
      <c r="P47" s="500"/>
      <c r="Q47" s="502"/>
      <c r="R47" s="502"/>
      <c r="S47" s="503"/>
      <c r="T47" s="504"/>
      <c r="U47" s="502"/>
      <c r="V47" s="502"/>
      <c r="W47" s="500"/>
      <c r="X47" s="500"/>
      <c r="Y47" s="500"/>
      <c r="Z47" s="500"/>
      <c r="AA47" s="502"/>
      <c r="AB47" s="512"/>
    </row>
    <row r="48" spans="1:28">
      <c r="A48" s="505"/>
      <c r="B48" s="505"/>
      <c r="C48" s="500"/>
      <c r="D48" s="500"/>
      <c r="E48" s="502"/>
      <c r="F48" s="500"/>
      <c r="G48" s="500"/>
      <c r="H48" s="500"/>
      <c r="I48" s="500"/>
      <c r="J48" s="500"/>
      <c r="K48" s="500"/>
      <c r="L48" s="500"/>
      <c r="M48" s="500"/>
      <c r="N48" s="500"/>
      <c r="O48" s="502"/>
      <c r="P48" s="500"/>
      <c r="Q48" s="502"/>
      <c r="R48" s="502"/>
      <c r="S48" s="503"/>
      <c r="T48" s="504"/>
      <c r="U48" s="502"/>
      <c r="V48" s="502"/>
      <c r="W48" s="500"/>
      <c r="X48" s="500"/>
      <c r="Y48" s="500"/>
      <c r="Z48" s="500"/>
      <c r="AA48" s="502"/>
      <c r="AB48" s="512"/>
    </row>
    <row r="49" spans="1:28">
      <c r="A49" s="505"/>
      <c r="B49" s="505"/>
      <c r="C49" s="500"/>
      <c r="D49" s="500"/>
      <c r="E49" s="502"/>
      <c r="F49" s="500"/>
      <c r="G49" s="500"/>
      <c r="H49" s="500"/>
      <c r="I49" s="500"/>
      <c r="J49" s="500"/>
      <c r="K49" s="500"/>
      <c r="L49" s="500"/>
      <c r="M49" s="500"/>
      <c r="N49" s="500"/>
      <c r="O49" s="502"/>
      <c r="P49" s="500"/>
      <c r="Q49" s="502"/>
      <c r="R49" s="502"/>
      <c r="S49" s="503"/>
      <c r="T49" s="504"/>
      <c r="U49" s="502"/>
      <c r="V49" s="502"/>
      <c r="W49" s="500"/>
      <c r="X49" s="500"/>
      <c r="Y49" s="500"/>
      <c r="Z49" s="500"/>
      <c r="AA49" s="502"/>
      <c r="AB49" s="512"/>
    </row>
    <row r="50" spans="1:28">
      <c r="A50" s="505"/>
      <c r="B50" s="505"/>
      <c r="C50" s="500"/>
      <c r="D50" s="500"/>
      <c r="E50" s="502"/>
      <c r="F50" s="500"/>
      <c r="G50" s="500"/>
      <c r="H50" s="500"/>
      <c r="I50" s="500"/>
      <c r="J50" s="500"/>
      <c r="K50" s="500"/>
      <c r="L50" s="500"/>
      <c r="M50" s="500"/>
      <c r="N50" s="500"/>
      <c r="O50" s="502"/>
      <c r="P50" s="500"/>
      <c r="Q50" s="502"/>
      <c r="R50" s="502"/>
      <c r="S50" s="503"/>
      <c r="T50" s="504"/>
      <c r="U50" s="502"/>
      <c r="V50" s="502"/>
      <c r="W50" s="500"/>
      <c r="X50" s="500"/>
      <c r="Y50" s="500"/>
      <c r="Z50" s="500"/>
      <c r="AA50" s="502"/>
      <c r="AB50" s="512"/>
    </row>
    <row r="51" spans="1:28">
      <c r="A51" s="505"/>
      <c r="B51" s="505"/>
      <c r="C51" s="500"/>
      <c r="D51" s="500"/>
      <c r="E51" s="502"/>
      <c r="F51" s="500"/>
      <c r="G51" s="500"/>
      <c r="H51" s="500"/>
      <c r="I51" s="500"/>
      <c r="J51" s="500"/>
      <c r="K51" s="500"/>
      <c r="L51" s="500"/>
      <c r="M51" s="500"/>
      <c r="N51" s="500"/>
      <c r="O51" s="502"/>
      <c r="P51" s="500"/>
      <c r="Q51" s="502"/>
      <c r="R51" s="502"/>
      <c r="S51" s="503"/>
      <c r="T51" s="504"/>
      <c r="U51" s="502"/>
      <c r="V51" s="502"/>
      <c r="W51" s="500"/>
      <c r="X51" s="500"/>
      <c r="Y51" s="500"/>
      <c r="Z51" s="500"/>
      <c r="AA51" s="502"/>
      <c r="AB51" s="512"/>
    </row>
    <row r="52" spans="1:28">
      <c r="A52" s="505"/>
      <c r="B52" s="505"/>
      <c r="C52" s="500"/>
      <c r="D52" s="500"/>
      <c r="E52" s="502"/>
      <c r="F52" s="500"/>
      <c r="G52" s="500"/>
      <c r="H52" s="500"/>
      <c r="I52" s="500"/>
      <c r="J52" s="500"/>
      <c r="K52" s="500"/>
      <c r="L52" s="500"/>
      <c r="M52" s="500"/>
      <c r="N52" s="500"/>
      <c r="O52" s="502"/>
      <c r="P52" s="500"/>
      <c r="Q52" s="502"/>
      <c r="R52" s="502"/>
      <c r="S52" s="503"/>
      <c r="T52" s="504"/>
      <c r="U52" s="502"/>
      <c r="V52" s="502"/>
      <c r="W52" s="500"/>
      <c r="X52" s="500"/>
      <c r="Y52" s="500"/>
      <c r="Z52" s="500"/>
      <c r="AA52" s="502"/>
      <c r="AB52" s="512"/>
    </row>
    <row r="53" spans="1:28">
      <c r="A53" s="505"/>
      <c r="B53" s="505"/>
      <c r="C53" s="500"/>
      <c r="D53" s="500"/>
      <c r="E53" s="502"/>
      <c r="F53" s="500"/>
      <c r="G53" s="500"/>
      <c r="H53" s="500"/>
      <c r="I53" s="500"/>
      <c r="J53" s="500"/>
      <c r="K53" s="500"/>
      <c r="L53" s="500"/>
      <c r="M53" s="500"/>
      <c r="N53" s="500"/>
      <c r="O53" s="502"/>
      <c r="P53" s="500"/>
      <c r="Q53" s="502"/>
      <c r="R53" s="502"/>
      <c r="S53" s="503"/>
      <c r="T53" s="504"/>
      <c r="U53" s="502"/>
      <c r="V53" s="502"/>
      <c r="W53" s="500"/>
      <c r="X53" s="500"/>
      <c r="Y53" s="500"/>
      <c r="Z53" s="500"/>
      <c r="AA53" s="502"/>
      <c r="AB53" s="512"/>
    </row>
    <row r="54" spans="1:28">
      <c r="A54" s="505"/>
      <c r="B54" s="505"/>
      <c r="C54" s="500"/>
      <c r="D54" s="500"/>
      <c r="E54" s="502"/>
      <c r="F54" s="500"/>
      <c r="G54" s="500"/>
      <c r="H54" s="500"/>
      <c r="I54" s="500"/>
      <c r="J54" s="500"/>
      <c r="K54" s="500"/>
      <c r="L54" s="500"/>
      <c r="M54" s="500"/>
      <c r="N54" s="500"/>
      <c r="O54" s="502"/>
      <c r="P54" s="500"/>
      <c r="Q54" s="502"/>
      <c r="R54" s="502"/>
      <c r="S54" s="503"/>
      <c r="T54" s="504"/>
      <c r="U54" s="502"/>
      <c r="V54" s="502"/>
      <c r="W54" s="500"/>
      <c r="X54" s="500"/>
      <c r="Y54" s="500"/>
      <c r="Z54" s="500"/>
      <c r="AA54" s="502"/>
      <c r="AB54" s="512"/>
    </row>
    <row r="55" spans="1:28">
      <c r="A55" s="508"/>
      <c r="B55" s="508"/>
      <c r="C55" s="500"/>
      <c r="D55" s="502"/>
      <c r="E55" s="502"/>
      <c r="F55" s="500"/>
      <c r="G55" s="500"/>
      <c r="H55" s="500"/>
      <c r="I55" s="500"/>
      <c r="J55" s="500"/>
      <c r="K55" s="500"/>
      <c r="L55" s="500">
        <f>I55-J55+K55</f>
        <v>0</v>
      </c>
      <c r="M55" s="500"/>
      <c r="N55" s="500"/>
      <c r="O55" s="502"/>
      <c r="P55" s="500"/>
      <c r="Q55" s="502"/>
      <c r="R55" s="502"/>
      <c r="S55" s="503"/>
      <c r="T55" s="504"/>
      <c r="U55" s="502"/>
      <c r="V55" s="502"/>
      <c r="W55" s="500">
        <f>V55*U55</f>
        <v>0</v>
      </c>
      <c r="X55" s="500"/>
      <c r="Y55" s="500"/>
      <c r="Z55" s="500"/>
      <c r="AA55" s="502"/>
      <c r="AB55" s="512"/>
    </row>
    <row r="56" spans="1:28" ht="12" customHeight="1">
      <c r="A56" s="510"/>
      <c r="B56" s="1345"/>
      <c r="C56" s="796"/>
      <c r="D56" s="797"/>
      <c r="E56" s="511"/>
      <c r="F56" s="500"/>
      <c r="G56" s="797"/>
      <c r="H56" s="797"/>
      <c r="I56" s="500"/>
      <c r="J56" s="797"/>
      <c r="K56" s="797"/>
      <c r="L56" s="500">
        <f>I56-J56+K56</f>
        <v>0</v>
      </c>
      <c r="M56" s="797"/>
      <c r="N56" s="797"/>
      <c r="O56" s="797"/>
      <c r="P56" s="797"/>
      <c r="Q56" s="797"/>
      <c r="R56" s="797"/>
      <c r="S56" s="797"/>
      <c r="T56" s="797"/>
      <c r="U56" s="797"/>
      <c r="V56" s="511"/>
      <c r="W56" s="500"/>
      <c r="X56" s="500"/>
      <c r="Y56" s="797"/>
      <c r="Z56" s="797"/>
      <c r="AA56" s="797"/>
      <c r="AB56" s="512"/>
    </row>
    <row r="57" spans="1:28">
      <c r="A57" s="513"/>
      <c r="B57" s="513" t="s">
        <v>17</v>
      </c>
      <c r="C57" s="501">
        <f>SUM(C14:C56)</f>
        <v>612000</v>
      </c>
      <c r="D57" s="501">
        <f>SUM(D56:D56)</f>
        <v>0</v>
      </c>
      <c r="E57" s="501"/>
      <c r="F57" s="501">
        <f>SUM(F14:F56)</f>
        <v>612000</v>
      </c>
      <c r="G57" s="501">
        <f>SUM(G14:G56)</f>
        <v>12176</v>
      </c>
      <c r="H57" s="501"/>
      <c r="I57" s="501">
        <f t="shared" ref="I57:N57" si="1">SUM(I14:I56)</f>
        <v>612000</v>
      </c>
      <c r="J57" s="501">
        <f t="shared" si="1"/>
        <v>0</v>
      </c>
      <c r="K57" s="501">
        <f t="shared" si="1"/>
        <v>0</v>
      </c>
      <c r="L57" s="501">
        <f t="shared" si="1"/>
        <v>612000</v>
      </c>
      <c r="M57" s="501">
        <f t="shared" si="1"/>
        <v>0</v>
      </c>
      <c r="N57" s="501">
        <f t="shared" si="1"/>
        <v>12176</v>
      </c>
      <c r="O57" s="501">
        <f>SUM(O56:O56)</f>
        <v>0</v>
      </c>
      <c r="P57" s="501">
        <f>SUM(P14:P56)</f>
        <v>612000</v>
      </c>
      <c r="Q57" s="501"/>
      <c r="R57" s="501">
        <f>SUM(R14:R56)</f>
        <v>0</v>
      </c>
      <c r="S57" s="501">
        <f>SUM(S14:S56)</f>
        <v>0</v>
      </c>
      <c r="T57" s="893">
        <f>W57-L57</f>
        <v>0</v>
      </c>
      <c r="U57" s="501"/>
      <c r="V57" s="501"/>
      <c r="W57" s="501">
        <f t="shared" ref="W57:AB57" si="2">SUM(W14:W56)</f>
        <v>612000</v>
      </c>
      <c r="X57" s="501">
        <f t="shared" si="2"/>
        <v>612000</v>
      </c>
      <c r="Y57" s="501">
        <f t="shared" si="2"/>
        <v>12176</v>
      </c>
      <c r="Z57" s="501">
        <f t="shared" si="2"/>
        <v>280800</v>
      </c>
      <c r="AA57" s="501">
        <f t="shared" si="2"/>
        <v>0</v>
      </c>
      <c r="AB57" s="501">
        <f t="shared" si="2"/>
        <v>0</v>
      </c>
    </row>
    <row r="58" spans="1:28">
      <c r="A58" s="492"/>
      <c r="B58" s="514"/>
      <c r="F58" s="488"/>
      <c r="G58" s="488"/>
      <c r="H58" s="488"/>
      <c r="I58" s="488"/>
      <c r="J58" s="488"/>
      <c r="K58" s="488"/>
      <c r="L58" s="488"/>
      <c r="M58" s="488"/>
      <c r="N58" s="488"/>
      <c r="P58" s="488"/>
      <c r="Q58" s="489"/>
      <c r="R58" s="489"/>
      <c r="W58" s="488"/>
      <c r="X58" s="488"/>
      <c r="Y58" s="488"/>
      <c r="Z58" s="488"/>
      <c r="AA58" s="489"/>
    </row>
    <row r="59" spans="1:28">
      <c r="A59" s="492"/>
      <c r="B59" s="514"/>
      <c r="F59" s="488"/>
      <c r="G59" s="488"/>
      <c r="H59" s="488"/>
      <c r="I59" s="488"/>
      <c r="J59" s="488"/>
      <c r="K59" s="488"/>
      <c r="L59" s="488"/>
      <c r="M59" s="488"/>
      <c r="N59" s="488"/>
      <c r="P59" s="488"/>
      <c r="Q59" s="489"/>
      <c r="R59" s="489"/>
      <c r="W59" s="488"/>
      <c r="X59" s="488"/>
      <c r="Y59" s="488"/>
      <c r="Z59" s="488"/>
      <c r="AA59" s="489"/>
    </row>
    <row r="60" spans="1:28">
      <c r="F60" s="488"/>
      <c r="R60" s="489"/>
      <c r="W60" s="488"/>
      <c r="X60" s="489"/>
      <c r="Y60" s="489"/>
      <c r="Z60" s="489"/>
      <c r="AA60" s="489"/>
    </row>
    <row r="61" spans="1:28">
      <c r="R61" s="489"/>
      <c r="X61" s="489"/>
      <c r="Y61" s="489"/>
      <c r="Z61" s="489"/>
      <c r="AA61" s="489"/>
    </row>
    <row r="62" spans="1:28">
      <c r="F62" s="488"/>
      <c r="W62" s="488"/>
      <c r="X62" s="489"/>
      <c r="Y62" s="489"/>
      <c r="Z62" s="489"/>
      <c r="AA62" s="487"/>
    </row>
    <row r="63" spans="1:28">
      <c r="X63" s="489"/>
      <c r="Y63" s="489"/>
      <c r="Z63" s="489"/>
      <c r="AA63" s="487"/>
    </row>
    <row r="64" spans="1:28">
      <c r="X64" s="489"/>
      <c r="Y64" s="489"/>
      <c r="Z64" s="489"/>
      <c r="AA64" s="487"/>
    </row>
    <row r="65" spans="24:27">
      <c r="X65" s="489"/>
      <c r="Y65" s="489"/>
      <c r="Z65" s="489"/>
      <c r="AA65" s="487"/>
    </row>
    <row r="66" spans="24:27">
      <c r="X66" s="489"/>
      <c r="Y66" s="489"/>
      <c r="Z66" s="489"/>
      <c r="AA66" s="487"/>
    </row>
    <row r="67" spans="24:27">
      <c r="X67" s="489"/>
      <c r="Y67" s="489"/>
      <c r="Z67" s="489"/>
      <c r="AA67" s="487"/>
    </row>
    <row r="68" spans="24:27">
      <c r="X68" s="489"/>
      <c r="Y68" s="489"/>
      <c r="Z68" s="489"/>
      <c r="AA68" s="487"/>
    </row>
    <row r="69" spans="24:27">
      <c r="X69" s="489"/>
      <c r="Y69" s="489"/>
      <c r="Z69" s="489"/>
      <c r="AA69" s="487"/>
    </row>
    <row r="70" spans="24:27">
      <c r="X70" s="489"/>
      <c r="Y70" s="489"/>
      <c r="Z70" s="489"/>
      <c r="AA70" s="487"/>
    </row>
    <row r="71" spans="24:27">
      <c r="X71" s="489"/>
      <c r="Y71" s="489"/>
      <c r="Z71" s="489"/>
      <c r="AA71" s="487"/>
    </row>
  </sheetData>
  <mergeCells count="34">
    <mergeCell ref="Z8:Z12"/>
    <mergeCell ref="AA8:AA12"/>
    <mergeCell ref="AB8:AB12"/>
    <mergeCell ref="D10:D12"/>
    <mergeCell ref="E10:E12"/>
    <mergeCell ref="F10:F12"/>
    <mergeCell ref="O10:O12"/>
    <mergeCell ref="P10:P12"/>
    <mergeCell ref="Q10:Q12"/>
    <mergeCell ref="R10:R12"/>
    <mergeCell ref="T8:T12"/>
    <mergeCell ref="U8:W9"/>
    <mergeCell ref="X8:X12"/>
    <mergeCell ref="Y8:Y12"/>
    <mergeCell ref="U10:U12"/>
    <mergeCell ref="V10:V12"/>
    <mergeCell ref="W10:W12"/>
    <mergeCell ref="N8:N12"/>
    <mergeCell ref="O8:P9"/>
    <mergeCell ref="Q8:R9"/>
    <mergeCell ref="S8:S12"/>
    <mergeCell ref="E1:F1"/>
    <mergeCell ref="A8:A12"/>
    <mergeCell ref="B8:B12"/>
    <mergeCell ref="C8:C12"/>
    <mergeCell ref="D8:F9"/>
    <mergeCell ref="I8:J10"/>
    <mergeCell ref="K8:K12"/>
    <mergeCell ref="M8:M12"/>
    <mergeCell ref="G11:G12"/>
    <mergeCell ref="H11:H12"/>
    <mergeCell ref="I11:I12"/>
    <mergeCell ref="J11:J12"/>
    <mergeCell ref="G8:H10"/>
  </mergeCells>
  <phoneticPr fontId="0" type="noConversion"/>
  <conditionalFormatting sqref="U19:X65536 A14:F65536 G2:G8 D6:D8 H2:AB7 I8 K8 G11:J11 M8:O8 Q8 O10:R10 A13:K13 U10:W10 D10:F10 S8:U8 G14:I55 L8:L56 E2:F7 G57:L65536 A2:C8 D2:D4 T58:T65536 Y8:AB65536 X8:X18 J14:K56 U13:W18 M13:S65536 T13:T56 AC2:IV65536">
    <cfRule type="cellIs" dxfId="9" priority="1" stopIfTrue="1" operator="equal">
      <formula>0</formula>
    </cfRule>
  </conditionalFormatting>
  <pageMargins left="0.78740157499999996" right="0.78740157499999996" top="0.984251969" bottom="0.984251969" header="0.4921259845" footer="0.4921259845"/>
  <headerFooter alignWithMargins="0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AH77"/>
  <sheetViews>
    <sheetView showGridLines="0" showZeros="0" topLeftCell="M1" zoomScaleNormal="100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s="12" customFormat="1" ht="12.75">
      <c r="A2" s="13" t="s">
        <v>65</v>
      </c>
      <c r="B2" s="2456" t="s">
        <v>290</v>
      </c>
      <c r="C2" s="2456"/>
      <c r="D2" s="2456"/>
      <c r="E2" s="2456"/>
      <c r="F2" s="2456"/>
      <c r="G2" s="2456"/>
      <c r="H2" s="2456"/>
      <c r="I2" s="2456"/>
      <c r="J2" s="216"/>
      <c r="K2" s="216"/>
      <c r="L2" s="216"/>
      <c r="M2" s="216"/>
      <c r="N2" s="216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8"/>
      <c r="AF2" s="788"/>
      <c r="AG2" s="788"/>
      <c r="AH2" s="787"/>
    </row>
    <row r="3" spans="1:34" ht="12.75">
      <c r="A3" s="6" t="s">
        <v>70</v>
      </c>
      <c r="B3" s="7" t="s">
        <v>71</v>
      </c>
      <c r="C3" s="65" t="s">
        <v>66</v>
      </c>
      <c r="D3" s="65" t="s">
        <v>72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</row>
    <row r="4" spans="1:34" s="12" customFormat="1" ht="12.75">
      <c r="A4" s="13" t="s">
        <v>73</v>
      </c>
      <c r="B4" s="14" t="s">
        <v>291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8"/>
      <c r="AF4" s="788"/>
      <c r="AG4" s="788"/>
      <c r="AH4" s="787"/>
    </row>
    <row r="5" spans="1:34" s="12" customFormat="1" ht="12" customHeight="1">
      <c r="A5" s="13" t="s">
        <v>74</v>
      </c>
      <c r="B5" s="14">
        <v>201000055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8"/>
      <c r="AF5" s="788"/>
      <c r="AG5" s="788"/>
      <c r="AH5" s="787"/>
    </row>
    <row r="6" spans="1:34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790"/>
      <c r="J6" s="1427"/>
      <c r="K6" s="789"/>
      <c r="L6" s="789"/>
      <c r="M6" s="789"/>
      <c r="N6" s="789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8"/>
      <c r="AF6" s="788"/>
      <c r="AG6" s="788"/>
      <c r="AH6" s="787"/>
    </row>
    <row r="7" spans="1:34" s="12" customFormat="1" ht="12.75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  <c r="X7" s="212"/>
      <c r="Y7" s="212"/>
      <c r="Z7" s="212"/>
      <c r="AA7" s="212"/>
      <c r="AB7" s="212"/>
      <c r="AC7" s="788"/>
      <c r="AD7" s="788"/>
      <c r="AE7" s="788"/>
      <c r="AF7" s="788"/>
      <c r="AG7" s="788"/>
      <c r="AH7" s="787"/>
    </row>
    <row r="8" spans="1:34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8"/>
      <c r="AF8" s="788"/>
      <c r="AG8" s="788"/>
      <c r="AH8" s="787"/>
    </row>
    <row r="9" spans="1:34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8"/>
      <c r="AF9" s="788"/>
      <c r="AG9" s="788"/>
      <c r="AH9" s="787"/>
    </row>
    <row r="10" spans="1:34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8"/>
      <c r="AF10" s="788"/>
      <c r="AG10" s="788"/>
      <c r="AH10" s="787"/>
    </row>
    <row r="11" spans="1:34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8"/>
      <c r="AF11" s="788"/>
      <c r="AG11" s="788"/>
      <c r="AH11" s="787"/>
    </row>
    <row r="12" spans="1:34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8"/>
      <c r="AF12" s="788"/>
      <c r="AG12" s="788"/>
      <c r="AH12" s="787"/>
    </row>
    <row r="13" spans="1:34" s="12" customFormat="1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1354"/>
      <c r="Y13" s="1354"/>
      <c r="Z13" s="1354"/>
      <c r="AA13" s="1354"/>
      <c r="AB13" s="1354"/>
      <c r="AC13" s="788"/>
      <c r="AD13" s="788"/>
      <c r="AE13" s="788"/>
      <c r="AF13" s="788"/>
      <c r="AG13" s="788"/>
      <c r="AH13" s="787"/>
    </row>
    <row r="14" spans="1:34" s="12" customFormat="1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/>
      <c r="U14" s="1739"/>
      <c r="V14" s="1739"/>
      <c r="W14" s="1739"/>
      <c r="X14" s="1739"/>
      <c r="Y14" s="1739"/>
      <c r="Z14" s="1739"/>
      <c r="AA14" s="1739"/>
      <c r="AB14" s="464"/>
      <c r="AC14" s="788"/>
      <c r="AD14" s="788"/>
      <c r="AE14" s="788"/>
      <c r="AF14" s="788"/>
      <c r="AG14" s="788"/>
      <c r="AH14" s="787"/>
    </row>
    <row r="15" spans="1:34" s="12" customFormat="1" ht="12.75">
      <c r="A15" s="22"/>
      <c r="B15" s="23"/>
      <c r="C15" s="1739"/>
      <c r="D15" s="1739"/>
      <c r="E15" s="1739"/>
      <c r="F15" s="1739"/>
      <c r="G15" s="1737"/>
      <c r="H15" s="1737"/>
      <c r="I15" s="1739"/>
      <c r="J15" s="1739"/>
      <c r="K15" s="1739"/>
      <c r="L15" s="1739"/>
      <c r="M15" s="1739"/>
      <c r="N15" s="1739"/>
      <c r="O15" s="1739"/>
      <c r="P15" s="1739"/>
      <c r="Q15" s="1739"/>
      <c r="R15" s="1739"/>
      <c r="S15" s="1739"/>
      <c r="T15" s="1739"/>
      <c r="U15" s="1739"/>
      <c r="V15" s="1739"/>
      <c r="W15" s="1739"/>
      <c r="X15" s="1739"/>
      <c r="Y15" s="1739"/>
      <c r="Z15" s="1739"/>
      <c r="AA15" s="1739"/>
      <c r="AB15" s="464"/>
      <c r="AC15" s="788"/>
      <c r="AD15" s="788"/>
      <c r="AE15" s="788"/>
      <c r="AF15" s="788"/>
      <c r="AG15" s="788"/>
      <c r="AH15" s="787"/>
    </row>
    <row r="16" spans="1:34" s="12" customFormat="1" ht="12.75">
      <c r="A16" s="1363"/>
      <c r="B16" s="1364"/>
      <c r="C16" s="1951"/>
      <c r="D16" s="1951"/>
      <c r="E16" s="1952"/>
      <c r="F16" s="1365"/>
      <c r="G16" s="1365"/>
      <c r="H16" s="1365"/>
      <c r="I16" s="1365"/>
      <c r="J16" s="1365"/>
      <c r="K16" s="1365"/>
      <c r="L16" s="1365"/>
      <c r="M16" s="1365"/>
      <c r="N16" s="1365"/>
      <c r="O16" s="1952"/>
      <c r="P16" s="1365"/>
      <c r="Q16" s="1951"/>
      <c r="R16" s="1951"/>
      <c r="S16" s="1951"/>
      <c r="T16" s="1951"/>
      <c r="U16" s="1951"/>
      <c r="V16" s="1952"/>
      <c r="W16" s="1365"/>
      <c r="X16" s="1365"/>
      <c r="Y16" s="1365"/>
      <c r="Z16" s="1365"/>
      <c r="AA16" s="1951"/>
      <c r="AB16" s="1366"/>
      <c r="AC16" s="788"/>
      <c r="AD16" s="788"/>
      <c r="AE16" s="788"/>
      <c r="AF16" s="788"/>
      <c r="AG16" s="788"/>
      <c r="AH16" s="787"/>
    </row>
    <row r="17" spans="1:34" s="12" customFormat="1" ht="22.5">
      <c r="A17" s="1380">
        <v>1</v>
      </c>
      <c r="B17" s="1364" t="s">
        <v>292</v>
      </c>
      <c r="C17" s="1953">
        <f>178500*1.2</f>
        <v>214200</v>
      </c>
      <c r="D17" s="1953">
        <f>C17</f>
        <v>214200</v>
      </c>
      <c r="E17" s="1954">
        <v>1</v>
      </c>
      <c r="F17" s="1371">
        <f>D17*E17</f>
        <v>214200</v>
      </c>
      <c r="G17" s="1371">
        <v>8714.2900000000009</v>
      </c>
      <c r="H17" s="1371" t="s">
        <v>293</v>
      </c>
      <c r="I17" s="1371">
        <f>+W17</f>
        <v>214200</v>
      </c>
      <c r="J17" s="1371">
        <v>0</v>
      </c>
      <c r="K17" s="1371"/>
      <c r="L17" s="1371">
        <f>I17-J17+K17</f>
        <v>214200</v>
      </c>
      <c r="M17" s="1371"/>
      <c r="N17" s="1371">
        <v>8714.2900000000009</v>
      </c>
      <c r="O17" s="1954">
        <v>1</v>
      </c>
      <c r="P17" s="1371">
        <f>+O17*W17</f>
        <v>214200</v>
      </c>
      <c r="Q17" s="1371">
        <v>1</v>
      </c>
      <c r="R17" s="1953">
        <f>+Q17*W17</f>
        <v>214200</v>
      </c>
      <c r="S17" s="1953">
        <f>+P17-R17</f>
        <v>0</v>
      </c>
      <c r="T17" s="1953">
        <f>W17-L17</f>
        <v>0</v>
      </c>
      <c r="U17" s="1953">
        <f>D17</f>
        <v>214200</v>
      </c>
      <c r="V17" s="1954">
        <v>1</v>
      </c>
      <c r="W17" s="1371">
        <f>U17*V17</f>
        <v>214200</v>
      </c>
      <c r="X17" s="1371">
        <v>214200</v>
      </c>
      <c r="Y17" s="1371">
        <v>8714.2900000000009</v>
      </c>
      <c r="Z17" s="1371">
        <v>214200</v>
      </c>
      <c r="AA17" s="1953">
        <v>214200</v>
      </c>
      <c r="AB17" s="1373">
        <f>F17</f>
        <v>214200</v>
      </c>
      <c r="AC17" s="788"/>
      <c r="AD17" s="788"/>
      <c r="AE17" s="788"/>
      <c r="AF17" s="788"/>
      <c r="AG17" s="788"/>
      <c r="AH17" s="787"/>
    </row>
    <row r="18" spans="1:34" s="12" customFormat="1" ht="22.5">
      <c r="A18" s="1381">
        <v>2</v>
      </c>
      <c r="B18" s="1364" t="s">
        <v>294</v>
      </c>
      <c r="C18" s="1371">
        <f>204000*1.2</f>
        <v>244800</v>
      </c>
      <c r="D18" s="1371">
        <f>C18</f>
        <v>244800</v>
      </c>
      <c r="E18" s="1954">
        <v>1</v>
      </c>
      <c r="F18" s="1371">
        <f>D18*E18</f>
        <v>244800</v>
      </c>
      <c r="G18" s="1371"/>
      <c r="H18" s="1371"/>
      <c r="I18" s="1371">
        <f>+W18</f>
        <v>244800</v>
      </c>
      <c r="J18" s="1371">
        <v>0</v>
      </c>
      <c r="K18" s="1371"/>
      <c r="L18" s="1371">
        <f>I18-J18+K18</f>
        <v>244800</v>
      </c>
      <c r="M18" s="1371"/>
      <c r="N18" s="1371"/>
      <c r="O18" s="1954">
        <v>1</v>
      </c>
      <c r="P18" s="1371">
        <f>+O18*W18</f>
        <v>244800</v>
      </c>
      <c r="Q18" s="1371">
        <v>1</v>
      </c>
      <c r="R18" s="1953">
        <f>+Q18*W18</f>
        <v>244800</v>
      </c>
      <c r="S18" s="1953">
        <f>+P18-R18</f>
        <v>0</v>
      </c>
      <c r="T18" s="1953">
        <f>W18-L18</f>
        <v>0</v>
      </c>
      <c r="U18" s="1371">
        <f>D18</f>
        <v>244800</v>
      </c>
      <c r="V18" s="1954">
        <v>1</v>
      </c>
      <c r="W18" s="1371">
        <f>U18*V18</f>
        <v>244800</v>
      </c>
      <c r="X18" s="1371">
        <v>244800</v>
      </c>
      <c r="Y18" s="1371"/>
      <c r="Z18" s="1371">
        <v>244800</v>
      </c>
      <c r="AA18" s="1953">
        <v>244800</v>
      </c>
      <c r="AB18" s="1373">
        <f>F18</f>
        <v>244800</v>
      </c>
      <c r="AC18" s="788"/>
      <c r="AD18" s="788"/>
      <c r="AE18" s="788"/>
      <c r="AF18" s="788"/>
      <c r="AG18" s="788"/>
      <c r="AH18" s="787"/>
    </row>
    <row r="19" spans="1:34" s="12" customFormat="1" ht="45">
      <c r="A19" s="1381">
        <v>3</v>
      </c>
      <c r="B19" s="1364" t="s">
        <v>295</v>
      </c>
      <c r="C19" s="1371">
        <f>127500*1.2</f>
        <v>153000</v>
      </c>
      <c r="D19" s="1371">
        <f>C19</f>
        <v>153000</v>
      </c>
      <c r="E19" s="1954">
        <v>1</v>
      </c>
      <c r="F19" s="1371">
        <f>D19*E19</f>
        <v>153000</v>
      </c>
      <c r="G19" s="1371"/>
      <c r="H19" s="1371"/>
      <c r="I19" s="1371">
        <f>+W19</f>
        <v>153000</v>
      </c>
      <c r="J19" s="1371">
        <v>0</v>
      </c>
      <c r="K19" s="1371"/>
      <c r="L19" s="1371">
        <f>I19-J19+K19</f>
        <v>153000</v>
      </c>
      <c r="M19" s="1371"/>
      <c r="N19" s="1371"/>
      <c r="O19" s="1954">
        <v>1</v>
      </c>
      <c r="P19" s="1371">
        <f>+O19*W19</f>
        <v>153000</v>
      </c>
      <c r="Q19" s="1371">
        <v>1</v>
      </c>
      <c r="R19" s="1953">
        <f>+Q19*W19</f>
        <v>153000</v>
      </c>
      <c r="S19" s="1953">
        <f>+P19-R19</f>
        <v>0</v>
      </c>
      <c r="T19" s="1953">
        <f>W19-L19</f>
        <v>0</v>
      </c>
      <c r="U19" s="1371">
        <f>D19</f>
        <v>153000</v>
      </c>
      <c r="V19" s="1954">
        <v>1</v>
      </c>
      <c r="W19" s="1371">
        <f>U19*V19</f>
        <v>153000</v>
      </c>
      <c r="X19" s="1371">
        <v>153000</v>
      </c>
      <c r="Y19" s="1371"/>
      <c r="Z19" s="1371">
        <v>153000</v>
      </c>
      <c r="AA19" s="1953"/>
      <c r="AB19" s="1373">
        <f>F19</f>
        <v>153000</v>
      </c>
      <c r="AC19" s="788"/>
      <c r="AD19" s="788"/>
      <c r="AE19" s="788"/>
      <c r="AF19" s="788"/>
      <c r="AG19" s="788"/>
      <c r="AH19" s="787"/>
    </row>
    <row r="20" spans="1:34" s="12" customFormat="1" ht="12.75">
      <c r="A20" s="1355"/>
      <c r="B20" s="1367"/>
      <c r="C20" s="1953"/>
      <c r="D20" s="1955"/>
      <c r="E20" s="1954"/>
      <c r="F20" s="1371"/>
      <c r="G20" s="1955"/>
      <c r="H20" s="1955"/>
      <c r="I20" s="1955"/>
      <c r="J20" s="1955"/>
      <c r="K20" s="1955"/>
      <c r="L20" s="1371"/>
      <c r="M20" s="1955"/>
      <c r="N20" s="1955"/>
      <c r="O20" s="1954"/>
      <c r="P20" s="1371"/>
      <c r="Q20" s="1955"/>
      <c r="R20" s="1955"/>
      <c r="S20" s="1953"/>
      <c r="T20" s="1953"/>
      <c r="U20" s="1955"/>
      <c r="V20" s="1954"/>
      <c r="W20" s="1371"/>
      <c r="X20" s="1371"/>
      <c r="Y20" s="1955"/>
      <c r="Z20" s="1371"/>
      <c r="AA20" s="1955"/>
      <c r="AB20" s="1373"/>
      <c r="AC20" s="788"/>
      <c r="AD20" s="788"/>
      <c r="AE20" s="788"/>
      <c r="AF20" s="788"/>
      <c r="AG20" s="788"/>
      <c r="AH20" s="787"/>
    </row>
    <row r="21" spans="1:34" s="12" customFormat="1" ht="12.75">
      <c r="A21" s="1355"/>
      <c r="B21" s="1364"/>
      <c r="C21" s="1953"/>
      <c r="D21" s="1955"/>
      <c r="E21" s="1954"/>
      <c r="F21" s="1371"/>
      <c r="G21" s="1955"/>
      <c r="H21" s="1955"/>
      <c r="I21" s="1955"/>
      <c r="J21" s="1955"/>
      <c r="K21" s="1955"/>
      <c r="L21" s="1371"/>
      <c r="M21" s="1955"/>
      <c r="N21" s="1955"/>
      <c r="O21" s="1955"/>
      <c r="P21" s="1955"/>
      <c r="Q21" s="1955"/>
      <c r="R21" s="1955"/>
      <c r="S21" s="1953"/>
      <c r="T21" s="1953"/>
      <c r="U21" s="1955"/>
      <c r="V21" s="1954"/>
      <c r="W21" s="1371"/>
      <c r="X21" s="1371"/>
      <c r="Y21" s="1955"/>
      <c r="Z21" s="1955"/>
      <c r="AA21" s="1955"/>
      <c r="AB21" s="1373"/>
      <c r="AC21" s="788"/>
      <c r="AD21" s="788"/>
      <c r="AE21" s="788"/>
      <c r="AF21" s="788"/>
      <c r="AG21" s="788"/>
      <c r="AH21" s="787"/>
    </row>
    <row r="22" spans="1:34" s="12" customFormat="1" ht="12.75">
      <c r="A22" s="1355"/>
      <c r="B22" s="1368"/>
      <c r="C22" s="1953"/>
      <c r="D22" s="1955"/>
      <c r="E22" s="1954"/>
      <c r="F22" s="1371"/>
      <c r="G22" s="1955"/>
      <c r="H22" s="1955"/>
      <c r="I22" s="1955"/>
      <c r="J22" s="1955"/>
      <c r="K22" s="1955"/>
      <c r="L22" s="1371"/>
      <c r="M22" s="1955"/>
      <c r="N22" s="1955"/>
      <c r="O22" s="1955"/>
      <c r="P22" s="1955"/>
      <c r="Q22" s="1955"/>
      <c r="R22" s="1955"/>
      <c r="S22" s="1955"/>
      <c r="T22" s="1953"/>
      <c r="U22" s="1955"/>
      <c r="V22" s="1954"/>
      <c r="W22" s="1371"/>
      <c r="X22" s="1371"/>
      <c r="Y22" s="1955"/>
      <c r="Z22" s="1955"/>
      <c r="AA22" s="1955"/>
      <c r="AB22" s="1373"/>
      <c r="AC22" s="788"/>
      <c r="AD22" s="788"/>
      <c r="AE22" s="788"/>
      <c r="AF22" s="788"/>
      <c r="AG22" s="788"/>
      <c r="AH22" s="787"/>
    </row>
    <row r="23" spans="1:34" s="12" customFormat="1" ht="12.75">
      <c r="A23" s="1355"/>
      <c r="B23" s="1368"/>
      <c r="C23" s="1953"/>
      <c r="D23" s="1955"/>
      <c r="E23" s="1954"/>
      <c r="F23" s="1371"/>
      <c r="G23" s="1955"/>
      <c r="H23" s="1955"/>
      <c r="I23" s="1955"/>
      <c r="J23" s="1955"/>
      <c r="K23" s="1955"/>
      <c r="L23" s="1371"/>
      <c r="M23" s="1955"/>
      <c r="N23" s="1955"/>
      <c r="O23" s="1955"/>
      <c r="P23" s="1955"/>
      <c r="Q23" s="1955"/>
      <c r="R23" s="1955"/>
      <c r="S23" s="1955"/>
      <c r="T23" s="1953"/>
      <c r="U23" s="1955"/>
      <c r="V23" s="1954"/>
      <c r="W23" s="1371"/>
      <c r="X23" s="1371"/>
      <c r="Y23" s="1955"/>
      <c r="Z23" s="1955"/>
      <c r="AA23" s="1955"/>
      <c r="AB23" s="1373"/>
      <c r="AC23" s="788"/>
      <c r="AD23" s="788"/>
      <c r="AE23" s="788"/>
      <c r="AF23" s="788"/>
      <c r="AG23" s="788"/>
      <c r="AH23" s="787"/>
    </row>
    <row r="24" spans="1:34" s="12" customFormat="1" ht="12.75">
      <c r="A24" s="1355"/>
      <c r="B24" s="1368"/>
      <c r="C24" s="1953"/>
      <c r="D24" s="1955"/>
      <c r="E24" s="1954"/>
      <c r="F24" s="1371"/>
      <c r="G24" s="1955"/>
      <c r="H24" s="1955"/>
      <c r="I24" s="1955"/>
      <c r="J24" s="1955"/>
      <c r="K24" s="1955"/>
      <c r="L24" s="1371"/>
      <c r="M24" s="1955"/>
      <c r="N24" s="1955"/>
      <c r="O24" s="1955"/>
      <c r="P24" s="1955"/>
      <c r="Q24" s="1955"/>
      <c r="R24" s="1955"/>
      <c r="S24" s="1955"/>
      <c r="T24" s="1953"/>
      <c r="U24" s="1955"/>
      <c r="V24" s="1954"/>
      <c r="W24" s="1371"/>
      <c r="X24" s="1371"/>
      <c r="Y24" s="1955"/>
      <c r="Z24" s="1955"/>
      <c r="AA24" s="1955"/>
      <c r="AB24" s="1373"/>
      <c r="AC24" s="788"/>
      <c r="AD24" s="788"/>
      <c r="AE24" s="788"/>
      <c r="AF24" s="788"/>
      <c r="AG24" s="788"/>
      <c r="AH24" s="787"/>
    </row>
    <row r="25" spans="1:34" s="12" customFormat="1" ht="12.75">
      <c r="A25" s="1355"/>
      <c r="B25" s="1368"/>
      <c r="C25" s="1953"/>
      <c r="D25" s="1955"/>
      <c r="E25" s="1954"/>
      <c r="F25" s="1371"/>
      <c r="G25" s="1955"/>
      <c r="H25" s="1955"/>
      <c r="I25" s="1955"/>
      <c r="J25" s="1955"/>
      <c r="K25" s="1955"/>
      <c r="L25" s="1371"/>
      <c r="M25" s="1955"/>
      <c r="N25" s="1955"/>
      <c r="O25" s="1955"/>
      <c r="P25" s="1955"/>
      <c r="Q25" s="1955"/>
      <c r="R25" s="1955"/>
      <c r="S25" s="1955"/>
      <c r="T25" s="1953"/>
      <c r="U25" s="1955"/>
      <c r="V25" s="1954"/>
      <c r="W25" s="1371"/>
      <c r="X25" s="1371"/>
      <c r="Y25" s="1955"/>
      <c r="Z25" s="1955"/>
      <c r="AA25" s="1955"/>
      <c r="AB25" s="1373"/>
      <c r="AC25" s="788"/>
      <c r="AD25" s="788"/>
      <c r="AE25" s="788"/>
      <c r="AF25" s="788"/>
      <c r="AG25" s="788"/>
      <c r="AH25" s="787"/>
    </row>
    <row r="26" spans="1:34" s="12" customFormat="1" ht="12.75">
      <c r="A26" s="1355"/>
      <c r="B26" s="1368"/>
      <c r="C26" s="1953"/>
      <c r="D26" s="1953"/>
      <c r="E26" s="1954"/>
      <c r="F26" s="1371"/>
      <c r="G26" s="1371"/>
      <c r="H26" s="1371"/>
      <c r="I26" s="1371"/>
      <c r="J26" s="1371"/>
      <c r="K26" s="1371"/>
      <c r="L26" s="1371"/>
      <c r="M26" s="1955"/>
      <c r="N26" s="1955"/>
      <c r="O26" s="1955"/>
      <c r="P26" s="1955"/>
      <c r="Q26" s="1955"/>
      <c r="R26" s="1955"/>
      <c r="S26" s="1955"/>
      <c r="T26" s="1953"/>
      <c r="U26" s="1955"/>
      <c r="V26" s="1954"/>
      <c r="W26" s="1371"/>
      <c r="X26" s="1371"/>
      <c r="Y26" s="1955"/>
      <c r="Z26" s="1955"/>
      <c r="AA26" s="1955"/>
      <c r="AB26" s="1373"/>
      <c r="AC26" s="788"/>
      <c r="AD26" s="788"/>
      <c r="AE26" s="788"/>
      <c r="AF26" s="788"/>
      <c r="AG26" s="788"/>
      <c r="AH26" s="787"/>
    </row>
    <row r="27" spans="1:34" s="12" customFormat="1" ht="12.75">
      <c r="A27" s="1355"/>
      <c r="B27" s="1368"/>
      <c r="C27" s="1953"/>
      <c r="D27" s="1371"/>
      <c r="E27" s="1954"/>
      <c r="F27" s="1371"/>
      <c r="G27" s="1371"/>
      <c r="H27" s="1371"/>
      <c r="I27" s="1371"/>
      <c r="J27" s="1371"/>
      <c r="K27" s="1371"/>
      <c r="L27" s="1371"/>
      <c r="M27" s="1955"/>
      <c r="N27" s="1955"/>
      <c r="O27" s="1955"/>
      <c r="P27" s="1955"/>
      <c r="Q27" s="1955"/>
      <c r="R27" s="1955"/>
      <c r="S27" s="1955"/>
      <c r="T27" s="1953"/>
      <c r="U27" s="1955"/>
      <c r="V27" s="1954"/>
      <c r="W27" s="1371"/>
      <c r="X27" s="1371"/>
      <c r="Y27" s="1955"/>
      <c r="Z27" s="1955"/>
      <c r="AA27" s="1955"/>
      <c r="AB27" s="1373"/>
      <c r="AC27" s="788"/>
      <c r="AD27" s="788"/>
      <c r="AE27" s="788"/>
      <c r="AF27" s="788"/>
      <c r="AG27" s="788"/>
      <c r="AH27" s="787"/>
    </row>
    <row r="28" spans="1:34" s="12" customFormat="1" ht="12.75">
      <c r="A28" s="1355"/>
      <c r="B28" s="1368"/>
      <c r="C28" s="1956"/>
      <c r="D28" s="1371"/>
      <c r="E28" s="1954"/>
      <c r="F28" s="1371"/>
      <c r="G28" s="1371"/>
      <c r="H28" s="1371"/>
      <c r="I28" s="1371"/>
      <c r="J28" s="1371"/>
      <c r="K28" s="1371"/>
      <c r="L28" s="1371"/>
      <c r="M28" s="1955"/>
      <c r="N28" s="1955"/>
      <c r="O28" s="1955"/>
      <c r="P28" s="1955"/>
      <c r="Q28" s="1955"/>
      <c r="R28" s="1955"/>
      <c r="S28" s="1955"/>
      <c r="T28" s="1953"/>
      <c r="U28" s="1955"/>
      <c r="V28" s="1954"/>
      <c r="W28" s="1371"/>
      <c r="X28" s="1371"/>
      <c r="Y28" s="1955"/>
      <c r="Z28" s="1955"/>
      <c r="AA28" s="1955"/>
      <c r="AB28" s="1374"/>
      <c r="AC28" s="788"/>
      <c r="AD28" s="788"/>
      <c r="AE28" s="788"/>
      <c r="AF28" s="788"/>
      <c r="AG28" s="788"/>
      <c r="AH28" s="787"/>
    </row>
    <row r="29" spans="1:34" s="12" customFormat="1" ht="12.75">
      <c r="A29" s="1355"/>
      <c r="B29" s="1368"/>
      <c r="C29" s="1371"/>
      <c r="D29" s="1371"/>
      <c r="E29" s="1954"/>
      <c r="F29" s="1371"/>
      <c r="G29" s="1371"/>
      <c r="H29" s="1371"/>
      <c r="I29" s="1371"/>
      <c r="J29" s="1371"/>
      <c r="K29" s="1371"/>
      <c r="L29" s="1371"/>
      <c r="M29" s="1955"/>
      <c r="N29" s="1955"/>
      <c r="O29" s="1955"/>
      <c r="P29" s="1955"/>
      <c r="Q29" s="1955"/>
      <c r="R29" s="1955"/>
      <c r="S29" s="1955"/>
      <c r="T29" s="1953"/>
      <c r="U29" s="1955"/>
      <c r="V29" s="1954"/>
      <c r="W29" s="1371"/>
      <c r="X29" s="1371"/>
      <c r="Y29" s="1955"/>
      <c r="Z29" s="1955"/>
      <c r="AA29" s="1955"/>
      <c r="AB29" s="1374"/>
      <c r="AC29" s="788"/>
      <c r="AD29" s="788"/>
      <c r="AE29" s="788"/>
      <c r="AF29" s="788"/>
      <c r="AG29" s="788"/>
      <c r="AH29" s="787"/>
    </row>
    <row r="30" spans="1:34" s="12" customFormat="1" ht="12.75">
      <c r="A30" s="1355"/>
      <c r="B30" s="1368"/>
      <c r="C30" s="1953"/>
      <c r="D30" s="1955"/>
      <c r="E30" s="1954"/>
      <c r="F30" s="1371"/>
      <c r="G30" s="1371"/>
      <c r="H30" s="1371"/>
      <c r="I30" s="1371"/>
      <c r="J30" s="1371"/>
      <c r="K30" s="1371"/>
      <c r="L30" s="1371"/>
      <c r="M30" s="1955"/>
      <c r="N30" s="1955"/>
      <c r="O30" s="1955"/>
      <c r="P30" s="1955"/>
      <c r="Q30" s="1955"/>
      <c r="R30" s="1955"/>
      <c r="S30" s="1955"/>
      <c r="T30" s="1953"/>
      <c r="U30" s="1955"/>
      <c r="V30" s="1954"/>
      <c r="W30" s="1371"/>
      <c r="X30" s="1371"/>
      <c r="Y30" s="1955"/>
      <c r="Z30" s="1955"/>
      <c r="AA30" s="1955"/>
      <c r="AB30" s="1373"/>
      <c r="AC30" s="788"/>
      <c r="AD30" s="788"/>
      <c r="AE30" s="788"/>
      <c r="AF30" s="788"/>
      <c r="AG30" s="788"/>
      <c r="AH30" s="787"/>
    </row>
    <row r="31" spans="1:34" s="12" customFormat="1" ht="12.75">
      <c r="A31" s="1355"/>
      <c r="B31" s="1368"/>
      <c r="C31" s="1953"/>
      <c r="D31" s="1955"/>
      <c r="E31" s="1954"/>
      <c r="F31" s="1371"/>
      <c r="G31" s="1955"/>
      <c r="H31" s="1955"/>
      <c r="I31" s="1955"/>
      <c r="J31" s="1955"/>
      <c r="K31" s="1955"/>
      <c r="L31" s="1371"/>
      <c r="M31" s="1955"/>
      <c r="N31" s="1955"/>
      <c r="O31" s="1955"/>
      <c r="P31" s="1955"/>
      <c r="Q31" s="1955"/>
      <c r="R31" s="1955"/>
      <c r="S31" s="1955"/>
      <c r="T31" s="1953"/>
      <c r="U31" s="1955"/>
      <c r="V31" s="1954"/>
      <c r="W31" s="1371"/>
      <c r="X31" s="1371"/>
      <c r="Y31" s="1955"/>
      <c r="Z31" s="1955"/>
      <c r="AA31" s="1955"/>
      <c r="AB31" s="1373"/>
      <c r="AC31" s="788"/>
      <c r="AD31" s="788"/>
      <c r="AE31" s="788"/>
      <c r="AF31" s="788"/>
      <c r="AG31" s="788"/>
      <c r="AH31" s="787"/>
    </row>
    <row r="32" spans="1:34" s="12" customFormat="1" ht="12.75">
      <c r="A32" s="1355"/>
      <c r="B32" s="1368"/>
      <c r="C32" s="1371"/>
      <c r="D32" s="1371"/>
      <c r="E32" s="1954"/>
      <c r="F32" s="1371"/>
      <c r="G32" s="1371"/>
      <c r="H32" s="1371"/>
      <c r="I32" s="1371"/>
      <c r="J32" s="1371"/>
      <c r="K32" s="1371"/>
      <c r="L32" s="1371"/>
      <c r="M32" s="1955"/>
      <c r="N32" s="1955"/>
      <c r="O32" s="1955"/>
      <c r="P32" s="1955"/>
      <c r="Q32" s="1955"/>
      <c r="R32" s="1955"/>
      <c r="S32" s="1955"/>
      <c r="T32" s="1953"/>
      <c r="U32" s="1955"/>
      <c r="V32" s="1954"/>
      <c r="W32" s="1371"/>
      <c r="X32" s="1371"/>
      <c r="Y32" s="1955"/>
      <c r="Z32" s="1955"/>
      <c r="AA32" s="1955"/>
      <c r="AB32" s="1373"/>
      <c r="AC32" s="788"/>
      <c r="AD32" s="788"/>
      <c r="AE32" s="788"/>
      <c r="AF32" s="788"/>
      <c r="AG32" s="788"/>
      <c r="AH32" s="787"/>
    </row>
    <row r="33" spans="1:34" s="12" customFormat="1" ht="12.75">
      <c r="A33" s="1355"/>
      <c r="B33" s="1368"/>
      <c r="C33" s="1955"/>
      <c r="D33" s="1955"/>
      <c r="E33" s="1954"/>
      <c r="F33" s="1371"/>
      <c r="G33" s="1955"/>
      <c r="H33" s="1955"/>
      <c r="I33" s="1955"/>
      <c r="J33" s="1955"/>
      <c r="K33" s="1955"/>
      <c r="L33" s="1371"/>
      <c r="M33" s="1955"/>
      <c r="N33" s="1955"/>
      <c r="O33" s="1955"/>
      <c r="P33" s="1955"/>
      <c r="Q33" s="1955"/>
      <c r="R33" s="1955"/>
      <c r="S33" s="1955"/>
      <c r="T33" s="1953"/>
      <c r="U33" s="1955"/>
      <c r="V33" s="1954"/>
      <c r="W33" s="1371"/>
      <c r="X33" s="1371"/>
      <c r="Y33" s="1955"/>
      <c r="Z33" s="1955"/>
      <c r="AA33" s="1955"/>
      <c r="AB33" s="1373"/>
      <c r="AC33" s="788"/>
      <c r="AD33" s="788"/>
      <c r="AE33" s="788"/>
      <c r="AF33" s="788"/>
      <c r="AG33" s="788"/>
      <c r="AH33" s="787"/>
    </row>
    <row r="34" spans="1:34" s="12" customFormat="1" ht="12.75">
      <c r="A34" s="1355"/>
      <c r="B34" s="1368"/>
      <c r="C34" s="1955"/>
      <c r="D34" s="1955"/>
      <c r="E34" s="1954"/>
      <c r="F34" s="1371"/>
      <c r="G34" s="1955"/>
      <c r="H34" s="1955"/>
      <c r="I34" s="1955"/>
      <c r="J34" s="1955"/>
      <c r="K34" s="1955"/>
      <c r="L34" s="1371"/>
      <c r="M34" s="1955"/>
      <c r="N34" s="1955"/>
      <c r="O34" s="1955"/>
      <c r="P34" s="1955"/>
      <c r="Q34" s="1955"/>
      <c r="R34" s="1955"/>
      <c r="S34" s="1955"/>
      <c r="T34" s="1953"/>
      <c r="U34" s="1955"/>
      <c r="V34" s="1954"/>
      <c r="W34" s="1371"/>
      <c r="X34" s="1371"/>
      <c r="Y34" s="1955"/>
      <c r="Z34" s="1955"/>
      <c r="AA34" s="1955"/>
      <c r="AB34" s="1373"/>
      <c r="AC34" s="788"/>
      <c r="AD34" s="788"/>
      <c r="AE34" s="788"/>
      <c r="AF34" s="788"/>
      <c r="AG34" s="788"/>
      <c r="AH34" s="787"/>
    </row>
    <row r="35" spans="1:34" s="12" customFormat="1" ht="12.75">
      <c r="A35" s="1355"/>
      <c r="B35" s="1368"/>
      <c r="C35" s="1955"/>
      <c r="D35" s="1955"/>
      <c r="E35" s="1954"/>
      <c r="F35" s="1371"/>
      <c r="G35" s="1955"/>
      <c r="H35" s="1955"/>
      <c r="I35" s="1955"/>
      <c r="J35" s="1955"/>
      <c r="K35" s="1955"/>
      <c r="L35" s="1371"/>
      <c r="M35" s="1955"/>
      <c r="N35" s="1955"/>
      <c r="O35" s="1955"/>
      <c r="P35" s="1955"/>
      <c r="Q35" s="1955"/>
      <c r="R35" s="1955"/>
      <c r="S35" s="1955"/>
      <c r="T35" s="1953"/>
      <c r="U35" s="1955"/>
      <c r="V35" s="1954"/>
      <c r="W35" s="1371"/>
      <c r="X35" s="1371"/>
      <c r="Y35" s="1955"/>
      <c r="Z35" s="1955"/>
      <c r="AA35" s="1955"/>
      <c r="AB35" s="1373"/>
      <c r="AC35" s="788"/>
      <c r="AD35" s="788"/>
      <c r="AE35" s="788"/>
      <c r="AF35" s="788"/>
      <c r="AG35" s="788"/>
      <c r="AH35" s="787"/>
    </row>
    <row r="36" spans="1:34" s="12" customFormat="1" ht="12.75">
      <c r="A36" s="1355"/>
      <c r="B36" s="1368"/>
      <c r="C36" s="1955"/>
      <c r="D36" s="1955"/>
      <c r="E36" s="1954"/>
      <c r="F36" s="1371"/>
      <c r="G36" s="1955"/>
      <c r="H36" s="1955"/>
      <c r="I36" s="1955"/>
      <c r="J36" s="1955"/>
      <c r="K36" s="1955"/>
      <c r="L36" s="1371"/>
      <c r="M36" s="1955"/>
      <c r="N36" s="1955"/>
      <c r="O36" s="1955"/>
      <c r="P36" s="1955"/>
      <c r="Q36" s="1955"/>
      <c r="R36" s="1955"/>
      <c r="S36" s="1955"/>
      <c r="T36" s="1953"/>
      <c r="U36" s="1955"/>
      <c r="V36" s="1954"/>
      <c r="W36" s="1371"/>
      <c r="X36" s="1371"/>
      <c r="Y36" s="1955"/>
      <c r="Z36" s="1955"/>
      <c r="AA36" s="1955"/>
      <c r="AB36" s="1373"/>
      <c r="AC36" s="788"/>
      <c r="AD36" s="788"/>
      <c r="AE36" s="788"/>
      <c r="AF36" s="788"/>
      <c r="AG36" s="788"/>
      <c r="AH36" s="787"/>
    </row>
    <row r="37" spans="1:34" s="12" customFormat="1" ht="12.75">
      <c r="A37" s="1355"/>
      <c r="B37" s="1368"/>
      <c r="C37" s="1955"/>
      <c r="D37" s="1955"/>
      <c r="E37" s="1954"/>
      <c r="F37" s="1371"/>
      <c r="G37" s="1955"/>
      <c r="H37" s="1955"/>
      <c r="I37" s="1955"/>
      <c r="J37" s="1955"/>
      <c r="K37" s="1955"/>
      <c r="L37" s="1371"/>
      <c r="M37" s="1955"/>
      <c r="N37" s="1955"/>
      <c r="O37" s="1955"/>
      <c r="P37" s="1955"/>
      <c r="Q37" s="1955"/>
      <c r="R37" s="1955"/>
      <c r="S37" s="1955"/>
      <c r="T37" s="1953"/>
      <c r="U37" s="1955"/>
      <c r="V37" s="1954"/>
      <c r="W37" s="1371"/>
      <c r="X37" s="1371"/>
      <c r="Y37" s="1955"/>
      <c r="Z37" s="1955"/>
      <c r="AA37" s="1955"/>
      <c r="AB37" s="1373"/>
      <c r="AC37" s="788"/>
      <c r="AD37" s="788"/>
      <c r="AE37" s="788"/>
      <c r="AF37" s="788"/>
      <c r="AG37" s="788"/>
      <c r="AH37" s="787"/>
    </row>
    <row r="38" spans="1:34" s="12" customFormat="1" ht="12.75">
      <c r="A38" s="1355"/>
      <c r="B38" s="1368"/>
      <c r="C38" s="1955"/>
      <c r="D38" s="1955"/>
      <c r="E38" s="1954"/>
      <c r="F38" s="1371"/>
      <c r="G38" s="1955"/>
      <c r="H38" s="1955"/>
      <c r="I38" s="1955"/>
      <c r="J38" s="1955"/>
      <c r="K38" s="1955"/>
      <c r="L38" s="1371"/>
      <c r="M38" s="1955"/>
      <c r="N38" s="1955"/>
      <c r="O38" s="1955"/>
      <c r="P38" s="1955"/>
      <c r="Q38" s="1955"/>
      <c r="R38" s="1955"/>
      <c r="S38" s="1955"/>
      <c r="T38" s="1953"/>
      <c r="U38" s="1955"/>
      <c r="V38" s="1954"/>
      <c r="W38" s="1371"/>
      <c r="X38" s="1371"/>
      <c r="Y38" s="1955"/>
      <c r="Z38" s="1955"/>
      <c r="AA38" s="1955"/>
      <c r="AB38" s="1373"/>
      <c r="AC38" s="788"/>
      <c r="AD38" s="788"/>
      <c r="AE38" s="788"/>
      <c r="AF38" s="788"/>
      <c r="AG38" s="788"/>
      <c r="AH38" s="787"/>
    </row>
    <row r="39" spans="1:34" s="12" customFormat="1" ht="12.75">
      <c r="A39" s="1355"/>
      <c r="B39" s="1368"/>
      <c r="C39" s="1955"/>
      <c r="D39" s="1955"/>
      <c r="E39" s="1954"/>
      <c r="F39" s="1371"/>
      <c r="G39" s="1955"/>
      <c r="H39" s="1955"/>
      <c r="I39" s="1955"/>
      <c r="J39" s="1955"/>
      <c r="K39" s="1955"/>
      <c r="L39" s="1371"/>
      <c r="M39" s="1955"/>
      <c r="N39" s="1955"/>
      <c r="O39" s="1955"/>
      <c r="P39" s="1955"/>
      <c r="Q39" s="1955"/>
      <c r="R39" s="1955"/>
      <c r="S39" s="1955"/>
      <c r="T39" s="1953"/>
      <c r="U39" s="1955"/>
      <c r="V39" s="1954"/>
      <c r="W39" s="1371"/>
      <c r="X39" s="1371"/>
      <c r="Y39" s="1955"/>
      <c r="Z39" s="1955"/>
      <c r="AA39" s="1955"/>
      <c r="AB39" s="1373"/>
      <c r="AC39" s="788"/>
      <c r="AD39" s="788"/>
      <c r="AE39" s="788"/>
      <c r="AF39" s="788"/>
      <c r="AG39" s="788"/>
      <c r="AH39" s="787"/>
    </row>
    <row r="40" spans="1:34" s="12" customFormat="1" ht="12.75">
      <c r="A40" s="1355"/>
      <c r="B40" s="1368"/>
      <c r="C40" s="1955"/>
      <c r="D40" s="1955"/>
      <c r="E40" s="1954"/>
      <c r="F40" s="1371"/>
      <c r="G40" s="1955"/>
      <c r="H40" s="1955"/>
      <c r="I40" s="1955"/>
      <c r="J40" s="1955"/>
      <c r="K40" s="1955"/>
      <c r="L40" s="1371"/>
      <c r="M40" s="1955"/>
      <c r="N40" s="1955"/>
      <c r="O40" s="1955"/>
      <c r="P40" s="1955"/>
      <c r="Q40" s="1955"/>
      <c r="R40" s="1955"/>
      <c r="S40" s="1955"/>
      <c r="T40" s="1953"/>
      <c r="U40" s="1955"/>
      <c r="V40" s="1954"/>
      <c r="W40" s="1371"/>
      <c r="X40" s="1371"/>
      <c r="Y40" s="1955"/>
      <c r="Z40" s="1955"/>
      <c r="AA40" s="1955"/>
      <c r="AB40" s="1373"/>
      <c r="AC40" s="788"/>
      <c r="AD40" s="788"/>
      <c r="AE40" s="788"/>
      <c r="AF40" s="788"/>
      <c r="AG40" s="788"/>
      <c r="AH40" s="787"/>
    </row>
    <row r="41" spans="1:34" s="12" customFormat="1">
      <c r="A41" s="1355"/>
      <c r="B41" s="1369"/>
      <c r="C41" s="1955"/>
      <c r="D41" s="1955"/>
      <c r="E41" s="1954"/>
      <c r="F41" s="1955"/>
      <c r="G41" s="1955"/>
      <c r="H41" s="1955"/>
      <c r="I41" s="1955"/>
      <c r="J41" s="1955"/>
      <c r="K41" s="1955"/>
      <c r="L41" s="1955"/>
      <c r="M41" s="1955"/>
      <c r="N41" s="1955"/>
      <c r="O41" s="1955"/>
      <c r="P41" s="1955">
        <v>0</v>
      </c>
      <c r="Q41" s="1955"/>
      <c r="R41" s="1955">
        <v>0</v>
      </c>
      <c r="S41" s="1955"/>
      <c r="T41" s="1953"/>
      <c r="U41" s="1955"/>
      <c r="V41" s="1954"/>
      <c r="W41" s="1955"/>
      <c r="X41" s="1955"/>
      <c r="Y41" s="1955"/>
      <c r="Z41" s="1955">
        <v>0</v>
      </c>
      <c r="AA41" s="1955">
        <v>0</v>
      </c>
      <c r="AB41" s="1373"/>
      <c r="AC41" s="788"/>
      <c r="AD41" s="788"/>
      <c r="AE41" s="788"/>
      <c r="AF41" s="788"/>
      <c r="AG41" s="788"/>
      <c r="AH41" s="787"/>
    </row>
    <row r="42" spans="1:34" s="12" customFormat="1">
      <c r="A42" s="1355"/>
      <c r="B42" s="1369"/>
      <c r="C42" s="1955"/>
      <c r="D42" s="1955"/>
      <c r="E42" s="1954"/>
      <c r="F42" s="1955"/>
      <c r="G42" s="1955"/>
      <c r="H42" s="1955"/>
      <c r="I42" s="1955"/>
      <c r="J42" s="1955"/>
      <c r="K42" s="1955"/>
      <c r="L42" s="1955"/>
      <c r="M42" s="1955"/>
      <c r="N42" s="1955"/>
      <c r="O42" s="1955"/>
      <c r="P42" s="1955">
        <v>0</v>
      </c>
      <c r="Q42" s="1955"/>
      <c r="R42" s="1955">
        <v>0</v>
      </c>
      <c r="S42" s="1955"/>
      <c r="T42" s="1953"/>
      <c r="U42" s="1955"/>
      <c r="V42" s="1954"/>
      <c r="W42" s="1955"/>
      <c r="X42" s="1955"/>
      <c r="Y42" s="1955"/>
      <c r="Z42" s="1955">
        <v>0</v>
      </c>
      <c r="AA42" s="1955">
        <v>0</v>
      </c>
      <c r="AB42" s="1373"/>
      <c r="AC42" s="788"/>
      <c r="AD42" s="788"/>
      <c r="AE42" s="788"/>
      <c r="AF42" s="788"/>
      <c r="AG42" s="788"/>
      <c r="AH42" s="787"/>
    </row>
    <row r="43" spans="1:34" s="12" customFormat="1">
      <c r="A43" s="1357"/>
      <c r="B43" s="1356"/>
      <c r="C43" s="1955"/>
      <c r="D43" s="1955"/>
      <c r="E43" s="1954"/>
      <c r="F43" s="1955"/>
      <c r="G43" s="1955"/>
      <c r="H43" s="1955"/>
      <c r="I43" s="1955"/>
      <c r="J43" s="1955"/>
      <c r="K43" s="1955"/>
      <c r="L43" s="1955"/>
      <c r="M43" s="1955"/>
      <c r="N43" s="1955"/>
      <c r="O43" s="1955"/>
      <c r="P43" s="1955"/>
      <c r="Q43" s="1955"/>
      <c r="R43" s="1955"/>
      <c r="S43" s="1955"/>
      <c r="T43" s="1953"/>
      <c r="U43" s="1955"/>
      <c r="V43" s="1954"/>
      <c r="W43" s="1955"/>
      <c r="X43" s="1955"/>
      <c r="Y43" s="1955"/>
      <c r="Z43" s="1955"/>
      <c r="AA43" s="1955"/>
      <c r="AB43" s="1373"/>
      <c r="AC43" s="788"/>
      <c r="AD43" s="788"/>
      <c r="AE43" s="788"/>
      <c r="AF43" s="788"/>
      <c r="AG43" s="788"/>
      <c r="AH43" s="787"/>
    </row>
    <row r="44" spans="1:34" s="12" customFormat="1">
      <c r="A44" s="1357"/>
      <c r="B44" s="1356"/>
      <c r="C44" s="1955"/>
      <c r="D44" s="1955"/>
      <c r="E44" s="1954"/>
      <c r="F44" s="1955"/>
      <c r="G44" s="1955"/>
      <c r="H44" s="1955"/>
      <c r="I44" s="1955"/>
      <c r="J44" s="1955"/>
      <c r="K44" s="1955"/>
      <c r="L44" s="1955"/>
      <c r="M44" s="1955"/>
      <c r="N44" s="1955"/>
      <c r="O44" s="1955"/>
      <c r="P44" s="1955"/>
      <c r="Q44" s="1955"/>
      <c r="R44" s="1955"/>
      <c r="S44" s="1955"/>
      <c r="T44" s="1953"/>
      <c r="U44" s="1955"/>
      <c r="V44" s="1954"/>
      <c r="W44" s="1955"/>
      <c r="X44" s="1955"/>
      <c r="Y44" s="1955"/>
      <c r="Z44" s="1955"/>
      <c r="AA44" s="1955"/>
      <c r="AB44" s="1373"/>
      <c r="AC44" s="788"/>
      <c r="AD44" s="788"/>
      <c r="AE44" s="788"/>
      <c r="AF44" s="788"/>
      <c r="AG44" s="788"/>
      <c r="AH44" s="787"/>
    </row>
    <row r="45" spans="1:34" s="12" customFormat="1">
      <c r="A45" s="1357"/>
      <c r="B45" s="1356"/>
      <c r="C45" s="1955"/>
      <c r="D45" s="1955"/>
      <c r="E45" s="1954"/>
      <c r="F45" s="1955"/>
      <c r="G45" s="1955"/>
      <c r="H45" s="1955"/>
      <c r="I45" s="1955"/>
      <c r="J45" s="1955"/>
      <c r="K45" s="1955"/>
      <c r="L45" s="1955"/>
      <c r="M45" s="1955"/>
      <c r="N45" s="1955"/>
      <c r="O45" s="1955"/>
      <c r="P45" s="1955"/>
      <c r="Q45" s="1955"/>
      <c r="R45" s="1955"/>
      <c r="S45" s="1955"/>
      <c r="T45" s="1953"/>
      <c r="U45" s="1955"/>
      <c r="V45" s="1954"/>
      <c r="W45" s="1955"/>
      <c r="X45" s="1955"/>
      <c r="Y45" s="1955"/>
      <c r="Z45" s="1955"/>
      <c r="AA45" s="1955"/>
      <c r="AB45" s="1373"/>
      <c r="AC45" s="788"/>
      <c r="AD45" s="788"/>
      <c r="AE45" s="788"/>
      <c r="AF45" s="788"/>
      <c r="AG45" s="788"/>
      <c r="AH45" s="787"/>
    </row>
    <row r="46" spans="1:34" s="12" customFormat="1">
      <c r="A46" s="1357"/>
      <c r="B46" s="1356"/>
      <c r="C46" s="1955"/>
      <c r="D46" s="1955"/>
      <c r="E46" s="1954"/>
      <c r="F46" s="1955"/>
      <c r="G46" s="1955"/>
      <c r="H46" s="1955"/>
      <c r="I46" s="1955"/>
      <c r="J46" s="1955"/>
      <c r="K46" s="1955"/>
      <c r="L46" s="1955"/>
      <c r="M46" s="1955"/>
      <c r="N46" s="1955"/>
      <c r="O46" s="1955"/>
      <c r="P46" s="1955"/>
      <c r="Q46" s="1955"/>
      <c r="R46" s="1955"/>
      <c r="S46" s="1955"/>
      <c r="T46" s="1953"/>
      <c r="U46" s="1955"/>
      <c r="V46" s="1954"/>
      <c r="W46" s="1955"/>
      <c r="X46" s="1955"/>
      <c r="Y46" s="1955"/>
      <c r="Z46" s="1955"/>
      <c r="AA46" s="1955"/>
      <c r="AB46" s="1373"/>
      <c r="AC46" s="788"/>
      <c r="AD46" s="788"/>
      <c r="AE46" s="788"/>
      <c r="AF46" s="788"/>
      <c r="AG46" s="788"/>
      <c r="AH46" s="787"/>
    </row>
    <row r="47" spans="1:34" s="12" customFormat="1">
      <c r="A47" s="1357"/>
      <c r="B47" s="1356"/>
      <c r="C47" s="1955"/>
      <c r="D47" s="1955"/>
      <c r="E47" s="1954"/>
      <c r="F47" s="1955"/>
      <c r="G47" s="1955"/>
      <c r="H47" s="1955"/>
      <c r="I47" s="1955"/>
      <c r="J47" s="1955"/>
      <c r="K47" s="1955"/>
      <c r="L47" s="1955"/>
      <c r="M47" s="1955"/>
      <c r="N47" s="1955"/>
      <c r="O47" s="1955"/>
      <c r="P47" s="1955"/>
      <c r="Q47" s="1955"/>
      <c r="R47" s="1955"/>
      <c r="S47" s="1955"/>
      <c r="T47" s="1953"/>
      <c r="U47" s="1955"/>
      <c r="V47" s="1954"/>
      <c r="W47" s="1955"/>
      <c r="X47" s="1955"/>
      <c r="Y47" s="1955"/>
      <c r="Z47" s="1955"/>
      <c r="AA47" s="1955"/>
      <c r="AB47" s="1373"/>
      <c r="AC47" s="788"/>
      <c r="AD47" s="788"/>
      <c r="AE47" s="788"/>
      <c r="AF47" s="788"/>
      <c r="AG47" s="788"/>
      <c r="AH47" s="787"/>
    </row>
    <row r="48" spans="1:34" s="12" customFormat="1">
      <c r="A48" s="1357"/>
      <c r="B48" s="1356"/>
      <c r="C48" s="1955"/>
      <c r="D48" s="1955"/>
      <c r="E48" s="1954"/>
      <c r="F48" s="1955"/>
      <c r="G48" s="1955"/>
      <c r="H48" s="1955"/>
      <c r="I48" s="1955"/>
      <c r="J48" s="1955"/>
      <c r="K48" s="1955"/>
      <c r="L48" s="1955"/>
      <c r="M48" s="1955"/>
      <c r="N48" s="1955"/>
      <c r="O48" s="1955"/>
      <c r="P48" s="1955"/>
      <c r="Q48" s="1955"/>
      <c r="R48" s="1955"/>
      <c r="S48" s="1955"/>
      <c r="T48" s="1953"/>
      <c r="U48" s="1955"/>
      <c r="V48" s="1954"/>
      <c r="W48" s="1955"/>
      <c r="X48" s="1955"/>
      <c r="Y48" s="1955"/>
      <c r="Z48" s="1955"/>
      <c r="AA48" s="1955"/>
      <c r="AB48" s="1373"/>
      <c r="AC48" s="788"/>
      <c r="AD48" s="788"/>
      <c r="AE48" s="788"/>
      <c r="AF48" s="788"/>
      <c r="AG48" s="788"/>
      <c r="AH48" s="787"/>
    </row>
    <row r="49" spans="1:34" s="12" customFormat="1">
      <c r="A49" s="1357"/>
      <c r="B49" s="1356"/>
      <c r="C49" s="1955"/>
      <c r="D49" s="1955"/>
      <c r="E49" s="1954"/>
      <c r="F49" s="1955"/>
      <c r="G49" s="1955"/>
      <c r="H49" s="1955"/>
      <c r="I49" s="1955"/>
      <c r="J49" s="1955"/>
      <c r="K49" s="1955"/>
      <c r="L49" s="1955"/>
      <c r="M49" s="1955"/>
      <c r="N49" s="1955"/>
      <c r="O49" s="1955"/>
      <c r="P49" s="1955"/>
      <c r="Q49" s="1955"/>
      <c r="R49" s="1955"/>
      <c r="S49" s="1955"/>
      <c r="T49" s="1953"/>
      <c r="U49" s="1955"/>
      <c r="V49" s="1954"/>
      <c r="W49" s="1955"/>
      <c r="X49" s="1955"/>
      <c r="Y49" s="1955"/>
      <c r="Z49" s="1955"/>
      <c r="AA49" s="1955"/>
      <c r="AB49" s="1373"/>
      <c r="AC49" s="788"/>
      <c r="AD49" s="788"/>
      <c r="AE49" s="788"/>
      <c r="AF49" s="788"/>
      <c r="AG49" s="788"/>
      <c r="AH49" s="787"/>
    </row>
    <row r="50" spans="1:34" s="12" customFormat="1">
      <c r="A50" s="1355"/>
      <c r="B50" s="1369"/>
      <c r="C50" s="1955"/>
      <c r="D50" s="1955"/>
      <c r="E50" s="1954"/>
      <c r="F50" s="1955"/>
      <c r="G50" s="1955"/>
      <c r="H50" s="1955"/>
      <c r="I50" s="1955"/>
      <c r="J50" s="1955"/>
      <c r="K50" s="1955"/>
      <c r="L50" s="1955"/>
      <c r="M50" s="1955"/>
      <c r="N50" s="1955"/>
      <c r="O50" s="1955"/>
      <c r="P50" s="1955"/>
      <c r="Q50" s="1955"/>
      <c r="R50" s="1955"/>
      <c r="S50" s="1955"/>
      <c r="T50" s="1953"/>
      <c r="U50" s="1955"/>
      <c r="V50" s="1954"/>
      <c r="W50" s="1955"/>
      <c r="X50" s="1955"/>
      <c r="Y50" s="1955"/>
      <c r="Z50" s="1955"/>
      <c r="AA50" s="1955"/>
      <c r="AB50" s="1373"/>
      <c r="AC50" s="788"/>
      <c r="AD50" s="788"/>
      <c r="AE50" s="788"/>
      <c r="AF50" s="788"/>
      <c r="AG50" s="788"/>
      <c r="AH50" s="787"/>
    </row>
    <row r="51" spans="1:34" s="12" customFormat="1">
      <c r="A51" s="1357"/>
      <c r="B51" s="1369"/>
      <c r="C51" s="1955"/>
      <c r="D51" s="1955"/>
      <c r="E51" s="1954"/>
      <c r="F51" s="1955"/>
      <c r="G51" s="1955"/>
      <c r="H51" s="1955"/>
      <c r="I51" s="1955"/>
      <c r="J51" s="1955"/>
      <c r="K51" s="1955"/>
      <c r="L51" s="1955"/>
      <c r="M51" s="1955"/>
      <c r="N51" s="1955"/>
      <c r="O51" s="1955"/>
      <c r="P51" s="1955"/>
      <c r="Q51" s="1955"/>
      <c r="R51" s="1955"/>
      <c r="S51" s="1955"/>
      <c r="T51" s="1953"/>
      <c r="U51" s="1955"/>
      <c r="V51" s="1954"/>
      <c r="W51" s="1955"/>
      <c r="X51" s="1955"/>
      <c r="Y51" s="1955"/>
      <c r="Z51" s="1955"/>
      <c r="AA51" s="1955"/>
      <c r="AB51" s="1373"/>
      <c r="AC51" s="788"/>
      <c r="AD51" s="788"/>
      <c r="AE51" s="788"/>
      <c r="AF51" s="788"/>
      <c r="AG51" s="788"/>
      <c r="AH51" s="787"/>
    </row>
    <row r="52" spans="1:34" s="12" customFormat="1">
      <c r="A52" s="1355"/>
      <c r="B52" s="1356"/>
      <c r="C52" s="1955"/>
      <c r="D52" s="1955"/>
      <c r="E52" s="1955"/>
      <c r="F52" s="1955"/>
      <c r="G52" s="1955"/>
      <c r="H52" s="1955"/>
      <c r="I52" s="1955"/>
      <c r="J52" s="1955"/>
      <c r="K52" s="1955"/>
      <c r="L52" s="1955"/>
      <c r="M52" s="1955"/>
      <c r="N52" s="1955"/>
      <c r="O52" s="1955"/>
      <c r="P52" s="1955"/>
      <c r="Q52" s="1955"/>
      <c r="R52" s="1955"/>
      <c r="S52" s="1955"/>
      <c r="T52" s="1953"/>
      <c r="U52" s="1955"/>
      <c r="V52" s="1955"/>
      <c r="W52" s="1955"/>
      <c r="X52" s="1955"/>
      <c r="Y52" s="1955"/>
      <c r="Z52" s="1955"/>
      <c r="AA52" s="1955"/>
      <c r="AB52" s="1373"/>
      <c r="AC52" s="788"/>
      <c r="AD52" s="788"/>
      <c r="AE52" s="788"/>
      <c r="AF52" s="788"/>
      <c r="AG52" s="788"/>
      <c r="AH52" s="787"/>
    </row>
    <row r="53" spans="1:34" s="12" customFormat="1">
      <c r="A53" s="1355"/>
      <c r="B53" s="1356"/>
      <c r="C53" s="1955"/>
      <c r="D53" s="1955"/>
      <c r="E53" s="1954"/>
      <c r="F53" s="1955"/>
      <c r="G53" s="1955"/>
      <c r="H53" s="1955"/>
      <c r="I53" s="1955"/>
      <c r="J53" s="1955"/>
      <c r="K53" s="1955"/>
      <c r="L53" s="1955"/>
      <c r="M53" s="1955"/>
      <c r="N53" s="1955"/>
      <c r="O53" s="1955"/>
      <c r="P53" s="1955"/>
      <c r="Q53" s="1955"/>
      <c r="R53" s="1955"/>
      <c r="S53" s="1955"/>
      <c r="T53" s="1953"/>
      <c r="U53" s="1955"/>
      <c r="V53" s="1954"/>
      <c r="W53" s="1955"/>
      <c r="X53" s="1955"/>
      <c r="Y53" s="1955"/>
      <c r="Z53" s="1955"/>
      <c r="AA53" s="1955"/>
      <c r="AB53" s="1373"/>
      <c r="AC53" s="788"/>
      <c r="AD53" s="788"/>
      <c r="AE53" s="788"/>
      <c r="AF53" s="788"/>
      <c r="AG53" s="788"/>
      <c r="AH53" s="787"/>
    </row>
    <row r="54" spans="1:34" s="12" customFormat="1">
      <c r="A54" s="1355"/>
      <c r="B54" s="1369"/>
      <c r="C54" s="1955"/>
      <c r="D54" s="1371"/>
      <c r="E54" s="1954"/>
      <c r="F54" s="1955"/>
      <c r="G54" s="1371"/>
      <c r="H54" s="1371"/>
      <c r="I54" s="1371"/>
      <c r="J54" s="1371"/>
      <c r="K54" s="1371"/>
      <c r="L54" s="1371"/>
      <c r="M54" s="1371"/>
      <c r="N54" s="1371"/>
      <c r="O54" s="1955"/>
      <c r="P54" s="1955"/>
      <c r="Q54" s="1955"/>
      <c r="R54" s="1955"/>
      <c r="S54" s="1955"/>
      <c r="T54" s="1953"/>
      <c r="U54" s="1371"/>
      <c r="V54" s="1954"/>
      <c r="W54" s="1955"/>
      <c r="X54" s="1371"/>
      <c r="Y54" s="1371"/>
      <c r="Z54" s="1955"/>
      <c r="AA54" s="1955"/>
      <c r="AB54" s="1373"/>
      <c r="AC54" s="788"/>
      <c r="AD54" s="788"/>
      <c r="AE54" s="788"/>
      <c r="AF54" s="788"/>
      <c r="AG54" s="788"/>
      <c r="AH54" s="787"/>
    </row>
    <row r="55" spans="1:34" s="12" customFormat="1">
      <c r="A55" s="1357"/>
      <c r="B55" s="1358"/>
      <c r="C55" s="1955"/>
      <c r="D55" s="1371"/>
      <c r="E55" s="1371"/>
      <c r="F55" s="1955"/>
      <c r="G55" s="1371"/>
      <c r="H55" s="1371"/>
      <c r="I55" s="1371"/>
      <c r="J55" s="1371"/>
      <c r="K55" s="1371"/>
      <c r="L55" s="1371"/>
      <c r="M55" s="1371"/>
      <c r="N55" s="1371"/>
      <c r="O55" s="1955"/>
      <c r="P55" s="1955"/>
      <c r="Q55" s="1955"/>
      <c r="R55" s="1955"/>
      <c r="S55" s="1955"/>
      <c r="T55" s="1953"/>
      <c r="U55" s="1371"/>
      <c r="V55" s="1371"/>
      <c r="W55" s="1955"/>
      <c r="X55" s="1371"/>
      <c r="Y55" s="1371"/>
      <c r="Z55" s="1955"/>
      <c r="AA55" s="1955"/>
      <c r="AB55" s="1373"/>
      <c r="AC55" s="788"/>
      <c r="AD55" s="788"/>
      <c r="AE55" s="788"/>
      <c r="AF55" s="788"/>
      <c r="AG55" s="788"/>
      <c r="AH55" s="787"/>
    </row>
    <row r="56" spans="1:34" s="12" customFormat="1" ht="12.75">
      <c r="A56" s="1359"/>
      <c r="B56" s="1360"/>
      <c r="C56" s="1955"/>
      <c r="D56" s="1371"/>
      <c r="E56" s="1371"/>
      <c r="F56" s="1955"/>
      <c r="G56" s="1371"/>
      <c r="H56" s="1371"/>
      <c r="I56" s="1371"/>
      <c r="J56" s="1371"/>
      <c r="K56" s="1371"/>
      <c r="L56" s="1371">
        <f>I56-J56+K56</f>
        <v>0</v>
      </c>
      <c r="M56" s="1371"/>
      <c r="N56" s="1371"/>
      <c r="O56" s="1955"/>
      <c r="P56" s="1955"/>
      <c r="Q56" s="1955"/>
      <c r="R56" s="1955"/>
      <c r="S56" s="1953"/>
      <c r="T56" s="1953"/>
      <c r="U56" s="1371"/>
      <c r="V56" s="1371"/>
      <c r="W56" s="1955"/>
      <c r="X56" s="1371">
        <v>0</v>
      </c>
      <c r="Y56" s="1371"/>
      <c r="Z56" s="1955"/>
      <c r="AA56" s="1955"/>
      <c r="AB56" s="1373"/>
      <c r="AC56" s="788"/>
      <c r="AD56" s="788"/>
      <c r="AE56" s="788"/>
      <c r="AF56" s="788"/>
      <c r="AG56" s="788"/>
      <c r="AH56" s="787"/>
    </row>
    <row r="57" spans="1:34" s="12" customFormat="1" ht="12.75">
      <c r="A57" s="1361"/>
      <c r="B57" s="1362" t="s">
        <v>17</v>
      </c>
      <c r="C57" s="1370">
        <f t="shared" ref="C57:Y57" si="0">SUM(C15:C56)</f>
        <v>612000</v>
      </c>
      <c r="D57" s="1370">
        <f t="shared" si="0"/>
        <v>612000</v>
      </c>
      <c r="E57" s="1370">
        <f t="shared" si="0"/>
        <v>3</v>
      </c>
      <c r="F57" s="1370">
        <f t="shared" si="0"/>
        <v>612000</v>
      </c>
      <c r="G57" s="1370">
        <f t="shared" si="0"/>
        <v>8714.2900000000009</v>
      </c>
      <c r="H57" s="1370">
        <f t="shared" si="0"/>
        <v>0</v>
      </c>
      <c r="I57" s="1370">
        <f t="shared" si="0"/>
        <v>612000</v>
      </c>
      <c r="J57" s="1370">
        <f t="shared" si="0"/>
        <v>0</v>
      </c>
      <c r="K57" s="1370">
        <f t="shared" si="0"/>
        <v>0</v>
      </c>
      <c r="L57" s="1370">
        <f t="shared" si="0"/>
        <v>612000</v>
      </c>
      <c r="M57" s="1370">
        <f t="shared" si="0"/>
        <v>0</v>
      </c>
      <c r="N57" s="1370">
        <f t="shared" si="0"/>
        <v>8714.2900000000009</v>
      </c>
      <c r="O57" s="1370">
        <f t="shared" si="0"/>
        <v>3</v>
      </c>
      <c r="P57" s="1370">
        <f t="shared" si="0"/>
        <v>612000</v>
      </c>
      <c r="Q57" s="1370">
        <f t="shared" si="0"/>
        <v>3</v>
      </c>
      <c r="R57" s="1370">
        <f t="shared" si="0"/>
        <v>612000</v>
      </c>
      <c r="S57" s="1370">
        <f t="shared" si="0"/>
        <v>0</v>
      </c>
      <c r="T57" s="1274">
        <f>W57-L57</f>
        <v>0</v>
      </c>
      <c r="U57" s="1370">
        <f t="shared" si="0"/>
        <v>612000</v>
      </c>
      <c r="V57" s="1370">
        <f t="shared" si="0"/>
        <v>3</v>
      </c>
      <c r="W57" s="1370">
        <f t="shared" si="0"/>
        <v>612000</v>
      </c>
      <c r="X57" s="1370">
        <f t="shared" si="0"/>
        <v>612000</v>
      </c>
      <c r="Y57" s="1370">
        <f t="shared" si="0"/>
        <v>8714.2900000000009</v>
      </c>
      <c r="Z57" s="1370">
        <v>612000</v>
      </c>
      <c r="AA57" s="1370">
        <f>SUM(AA15:AA56)</f>
        <v>459000</v>
      </c>
      <c r="AB57" s="1370">
        <f>SUM(AB15:AB56)</f>
        <v>612000</v>
      </c>
      <c r="AC57" s="788"/>
      <c r="AD57" s="788"/>
      <c r="AE57" s="788"/>
      <c r="AF57" s="788"/>
      <c r="AG57" s="788"/>
      <c r="AH57" s="787"/>
    </row>
    <row r="58" spans="1:34" s="12" customFormat="1" ht="12.75">
      <c r="A58" s="1375"/>
      <c r="B58" s="1376"/>
      <c r="C58" s="1957"/>
      <c r="D58" s="1957"/>
      <c r="E58" s="1957"/>
      <c r="F58" s="1958"/>
      <c r="G58" s="1958"/>
      <c r="H58" s="1958"/>
      <c r="I58" s="1958"/>
      <c r="J58" s="1958"/>
      <c r="K58" s="1958"/>
      <c r="L58" s="1958"/>
      <c r="M58" s="1958"/>
      <c r="N58" s="1959"/>
      <c r="O58" s="1959"/>
      <c r="P58" s="1960"/>
      <c r="Q58" s="1959"/>
      <c r="R58" s="1960"/>
      <c r="S58" s="1961"/>
      <c r="T58" s="1961"/>
      <c r="U58" s="1957"/>
      <c r="V58" s="1957"/>
      <c r="W58" s="1958"/>
      <c r="X58" s="1379"/>
      <c r="Y58" s="1379"/>
      <c r="Z58" s="1379"/>
      <c r="AA58" s="1379"/>
      <c r="AB58" s="1379"/>
      <c r="AC58" s="788"/>
      <c r="AD58" s="788"/>
      <c r="AE58" s="788"/>
      <c r="AF58" s="788"/>
      <c r="AG58" s="788"/>
      <c r="AH58" s="787"/>
    </row>
    <row r="59" spans="1:34" s="12" customFormat="1" ht="12.75">
      <c r="A59" s="1375"/>
      <c r="B59" s="1376"/>
      <c r="C59" s="1957"/>
      <c r="D59" s="1957"/>
      <c r="E59" s="1957"/>
      <c r="F59" s="1958"/>
      <c r="G59" s="1958"/>
      <c r="H59" s="1958"/>
      <c r="I59" s="1958"/>
      <c r="J59" s="1958"/>
      <c r="K59" s="1958"/>
      <c r="L59" s="1958"/>
      <c r="M59" s="1958"/>
      <c r="N59" s="1962"/>
      <c r="O59" s="1962"/>
      <c r="P59" s="1963"/>
      <c r="Q59" s="1962"/>
      <c r="R59" s="1963"/>
      <c r="S59" s="1964"/>
      <c r="T59" s="1964"/>
      <c r="U59" s="1957"/>
      <c r="V59" s="1957"/>
      <c r="W59" s="1958"/>
      <c r="X59" s="1379"/>
      <c r="Y59" s="1379"/>
      <c r="Z59" s="1379"/>
      <c r="AA59" s="1379"/>
      <c r="AB59" s="1379"/>
      <c r="AC59" s="788"/>
      <c r="AD59" s="788"/>
      <c r="AE59" s="788"/>
      <c r="AF59" s="788"/>
      <c r="AG59" s="788"/>
      <c r="AH59" s="787"/>
    </row>
    <row r="60" spans="1:34" s="12" customFormat="1" ht="12.75">
      <c r="A60" s="1377"/>
      <c r="B60" s="1378"/>
      <c r="C60" s="1957"/>
      <c r="D60" s="1957"/>
      <c r="E60" s="1957"/>
      <c r="F60" s="1958"/>
      <c r="G60" s="1957"/>
      <c r="H60" s="1957"/>
      <c r="I60" s="1957"/>
      <c r="J60" s="1957"/>
      <c r="K60" s="1957"/>
      <c r="L60" s="1957"/>
      <c r="M60" s="1957"/>
      <c r="N60" s="1956"/>
      <c r="O60" s="1962"/>
      <c r="P60" s="1962">
        <v>612000</v>
      </c>
      <c r="Q60" s="1962">
        <v>535500</v>
      </c>
      <c r="R60" s="1956">
        <v>0</v>
      </c>
      <c r="S60" s="1964"/>
      <c r="T60" s="1964"/>
      <c r="U60" s="1957"/>
      <c r="V60" s="1957"/>
      <c r="W60" s="1958"/>
      <c r="X60" s="1379"/>
      <c r="Y60" s="1379"/>
      <c r="Z60" s="1379"/>
      <c r="AA60" s="1379"/>
      <c r="AB60" s="1379"/>
      <c r="AC60" s="788"/>
      <c r="AD60" s="788"/>
      <c r="AE60" s="788"/>
      <c r="AF60" s="788"/>
      <c r="AG60" s="788"/>
      <c r="AH60" s="787"/>
    </row>
    <row r="61" spans="1:34" s="12" customFormat="1" ht="12.75">
      <c r="A61" s="1377"/>
      <c r="B61" s="1378"/>
      <c r="C61" s="1957"/>
      <c r="D61" s="1957"/>
      <c r="E61" s="1957"/>
      <c r="F61" s="1958"/>
      <c r="G61" s="1957"/>
      <c r="H61" s="1957"/>
      <c r="I61" s="1957"/>
      <c r="J61" s="1957"/>
      <c r="K61" s="1957"/>
      <c r="L61" s="1957"/>
      <c r="M61" s="1957"/>
      <c r="N61" s="1956"/>
      <c r="O61" s="1956"/>
      <c r="P61" s="1956"/>
      <c r="Q61" s="1964"/>
      <c r="R61" s="1956"/>
      <c r="S61" s="1964"/>
      <c r="T61" s="1964"/>
      <c r="U61" s="1957"/>
      <c r="V61" s="1957"/>
      <c r="W61" s="1958"/>
      <c r="X61" s="1379"/>
      <c r="Y61" s="1379"/>
      <c r="Z61" s="1379"/>
      <c r="AA61" s="1379"/>
      <c r="AB61" s="1379"/>
      <c r="AC61" s="788"/>
      <c r="AD61" s="788"/>
      <c r="AE61" s="788"/>
      <c r="AF61" s="788"/>
      <c r="AG61" s="788"/>
      <c r="AH61" s="787"/>
    </row>
    <row r="62" spans="1:34" s="12" customFormat="1" ht="12.75">
      <c r="A62" s="1377"/>
      <c r="B62" s="1378"/>
      <c r="C62" s="1957"/>
      <c r="D62" s="1957"/>
      <c r="E62" s="1957"/>
      <c r="F62" s="1957"/>
      <c r="G62" s="1957"/>
      <c r="H62" s="1957"/>
      <c r="I62" s="1957"/>
      <c r="J62" s="1957"/>
      <c r="K62" s="1957"/>
      <c r="L62" s="1957"/>
      <c r="M62" s="1957"/>
      <c r="N62" s="1956"/>
      <c r="O62" s="1956"/>
      <c r="P62" s="1956"/>
      <c r="Q62" s="1964"/>
      <c r="R62" s="1956">
        <f>Q60/P60</f>
        <v>0.875</v>
      </c>
      <c r="S62" s="1964"/>
      <c r="T62" s="1964"/>
      <c r="U62" s="1957"/>
      <c r="V62" s="1957"/>
      <c r="W62" s="1957"/>
      <c r="X62" s="1379"/>
      <c r="Y62" s="1379"/>
      <c r="Z62" s="1379"/>
      <c r="AA62" s="1379"/>
      <c r="AB62" s="1379"/>
      <c r="AC62" s="788"/>
      <c r="AD62" s="788"/>
      <c r="AE62" s="788"/>
      <c r="AF62" s="788"/>
      <c r="AG62" s="788"/>
      <c r="AH62" s="787"/>
    </row>
    <row r="63" spans="1:34" s="12" customFormat="1" ht="12.75">
      <c r="A63" s="1377" t="s">
        <v>59</v>
      </c>
      <c r="B63" s="1378"/>
      <c r="C63" s="1957"/>
      <c r="D63" s="1957"/>
      <c r="E63" s="1957"/>
      <c r="F63" s="1958"/>
      <c r="G63" s="1957"/>
      <c r="H63" s="1957"/>
      <c r="I63" s="1957"/>
      <c r="J63" s="1957"/>
      <c r="K63" s="1957"/>
      <c r="L63" s="1957"/>
      <c r="M63" s="1957"/>
      <c r="N63" s="1956"/>
      <c r="O63" s="1956"/>
      <c r="P63" s="1956"/>
      <c r="Q63" s="1964"/>
      <c r="R63" s="1964"/>
      <c r="S63" s="1964">
        <f>S57/I57</f>
        <v>0</v>
      </c>
      <c r="T63" s="1965"/>
      <c r="U63" s="1957">
        <f>1-S63</f>
        <v>1</v>
      </c>
      <c r="V63" s="1957"/>
      <c r="W63" s="1958"/>
      <c r="X63" s="1379"/>
      <c r="Y63" s="1379"/>
      <c r="Z63" s="1379"/>
      <c r="AA63" s="1379"/>
      <c r="AB63" s="1379"/>
      <c r="AC63" s="788"/>
      <c r="AD63" s="788"/>
      <c r="AE63" s="788"/>
      <c r="AF63" s="788"/>
      <c r="AG63" s="788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8"/>
      <c r="AF64" s="788"/>
      <c r="AG64" s="788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8"/>
      <c r="AF65" s="788"/>
      <c r="AG65" s="788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8"/>
      <c r="AF66" s="788"/>
      <c r="AG66" s="788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8"/>
      <c r="AF67" s="788"/>
      <c r="AG67" s="788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8"/>
      <c r="AF68" s="788"/>
      <c r="AG68" s="788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8"/>
      <c r="AF69" s="788"/>
      <c r="AG69" s="788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8"/>
      <c r="AF70" s="788"/>
      <c r="AG70" s="788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8"/>
      <c r="AF71" s="788"/>
      <c r="AG71" s="788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8"/>
      <c r="AF72" s="788"/>
      <c r="AG72" s="788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8"/>
      <c r="AF73" s="788"/>
      <c r="AG73" s="788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8"/>
      <c r="AF74" s="788"/>
      <c r="AG74" s="788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8"/>
      <c r="AF75" s="788"/>
      <c r="AG75" s="788"/>
      <c r="AH75" s="787"/>
    </row>
    <row r="76" spans="1:34" s="12" customFormat="1">
      <c r="A76" s="10"/>
      <c r="B76" s="454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788"/>
      <c r="R76" s="788"/>
      <c r="S76" s="788"/>
      <c r="T76" s="788"/>
      <c r="U76" s="213"/>
      <c r="V76" s="213"/>
      <c r="W76" s="213"/>
      <c r="X76" s="212"/>
      <c r="Y76" s="212"/>
      <c r="Z76" s="212"/>
      <c r="AA76" s="212"/>
      <c r="AB76" s="212"/>
      <c r="AC76" s="788"/>
      <c r="AD76" s="788"/>
      <c r="AE76" s="788"/>
      <c r="AF76" s="788"/>
      <c r="AG76" s="788"/>
      <c r="AH76" s="787"/>
    </row>
    <row r="77" spans="1:34" s="12" customFormat="1">
      <c r="A77" s="10"/>
      <c r="B77" s="454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788"/>
      <c r="R77" s="788"/>
      <c r="S77" s="788"/>
      <c r="T77" s="788"/>
      <c r="U77" s="213"/>
      <c r="V77" s="213"/>
      <c r="W77" s="213"/>
      <c r="X77" s="212"/>
      <c r="Y77" s="212"/>
      <c r="Z77" s="212"/>
      <c r="AA77" s="212"/>
      <c r="AB77" s="212"/>
      <c r="AC77" s="788"/>
      <c r="AD77" s="788"/>
      <c r="AE77" s="788"/>
      <c r="AF77" s="788"/>
      <c r="AG77" s="788"/>
      <c r="AH77" s="787"/>
    </row>
  </sheetData>
  <mergeCells count="10">
    <mergeCell ref="Y8:Y12"/>
    <mergeCell ref="AB8:AB12"/>
    <mergeCell ref="AA8:AA12"/>
    <mergeCell ref="Z8:Z12"/>
    <mergeCell ref="E1:F1"/>
    <mergeCell ref="B2:I2"/>
    <mergeCell ref="I5:N5"/>
    <mergeCell ref="O5:T5"/>
    <mergeCell ref="U8:W9"/>
    <mergeCell ref="X8:X12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/>
  <dimension ref="A1:AH63"/>
  <sheetViews>
    <sheetView showGridLines="0" showZeros="0" topLeftCell="C1" workbookViewId="0">
      <selection activeCell="E81" sqref="E81:P81"/>
    </sheetView>
  </sheetViews>
  <sheetFormatPr baseColWidth="10" defaultColWidth="14.25" defaultRowHeight="12"/>
  <cols>
    <col min="1" max="1" width="10.25" style="10" customWidth="1"/>
    <col min="2" max="2" width="35.375" style="454" customWidth="1"/>
    <col min="3" max="3" width="11.875" style="213" customWidth="1"/>
    <col min="4" max="4" width="9" style="213" customWidth="1"/>
    <col min="5" max="5" width="7.625" style="213" customWidth="1"/>
    <col min="6" max="9" width="10.25" style="213" customWidth="1"/>
    <col min="10" max="10" width="12" style="213" customWidth="1"/>
    <col min="11" max="11" width="10.25" style="213" customWidth="1"/>
    <col min="12" max="12" width="9" style="213" customWidth="1"/>
    <col min="13" max="13" width="9.75" style="213" customWidth="1"/>
    <col min="14" max="14" width="8.75" style="213" customWidth="1"/>
    <col min="15" max="15" width="6.375" style="213" customWidth="1"/>
    <col min="16" max="16" width="14.25" style="213"/>
    <col min="17" max="17" width="5.875" style="788" customWidth="1"/>
    <col min="18" max="19" width="14.25" style="788"/>
    <col min="20" max="20" width="10.875" style="788" customWidth="1"/>
    <col min="21" max="21" width="9" style="213" customWidth="1"/>
    <col min="22" max="22" width="4.875" style="213" customWidth="1"/>
    <col min="23" max="23" width="10.25" style="213" customWidth="1"/>
    <col min="24" max="28" width="11.75" style="212" customWidth="1"/>
    <col min="29" max="32" width="14.25" style="788"/>
    <col min="33" max="34" width="14.25" style="787"/>
    <col min="35" max="16384" width="14.25" style="1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ht="12.75">
      <c r="A2" s="13" t="s">
        <v>65</v>
      </c>
      <c r="B2" s="1489" t="s">
        <v>296</v>
      </c>
      <c r="C2" s="1946"/>
      <c r="D2" s="1946"/>
      <c r="E2" s="1946"/>
      <c r="F2" s="1946"/>
      <c r="G2" s="1946"/>
      <c r="H2" s="216"/>
      <c r="Q2" s="213"/>
      <c r="R2" s="213"/>
    </row>
    <row r="3" spans="1:34" customFormat="1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792"/>
      <c r="AH3" s="792"/>
    </row>
    <row r="4" spans="1:34" ht="12.75">
      <c r="A4" s="13" t="s">
        <v>73</v>
      </c>
      <c r="B4" s="14" t="s">
        <v>297</v>
      </c>
      <c r="C4" s="1947" t="s">
        <v>81</v>
      </c>
      <c r="D4" s="216" t="s">
        <v>263</v>
      </c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</row>
    <row r="5" spans="1:34" ht="12" customHeight="1">
      <c r="A5" s="13" t="s">
        <v>74</v>
      </c>
      <c r="B5" s="526">
        <v>200900570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</row>
    <row r="6" spans="1:34" ht="12.75">
      <c r="A6" s="13" t="s">
        <v>75</v>
      </c>
      <c r="B6" s="14"/>
      <c r="C6" s="216"/>
      <c r="D6" s="216"/>
      <c r="E6" s="216"/>
      <c r="F6" s="217"/>
      <c r="G6" s="217"/>
      <c r="H6" s="790"/>
      <c r="I6" s="1723"/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</row>
    <row r="7" spans="1:34" ht="12.75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</row>
    <row r="8" spans="1:34" ht="12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1934"/>
      <c r="V8" s="1934" t="s">
        <v>82</v>
      </c>
      <c r="W8" s="1935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</row>
    <row r="9" spans="1:34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1936"/>
      <c r="V9" s="1937"/>
      <c r="W9" s="1938"/>
      <c r="X9" s="2397"/>
      <c r="Y9" s="2397"/>
      <c r="Z9" s="2397"/>
      <c r="AA9" s="2397"/>
      <c r="AB9" s="2397"/>
    </row>
    <row r="10" spans="1:34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</row>
    <row r="11" spans="1:34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</row>
    <row r="12" spans="1:34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</row>
    <row r="13" spans="1:34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1354"/>
      <c r="Y13" s="1354"/>
      <c r="Z13" s="1354"/>
      <c r="AA13" s="1354"/>
      <c r="AB13" s="1354"/>
    </row>
    <row r="14" spans="1:34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>
        <f t="shared" ref="T14:T26" si="0">W14-L14</f>
        <v>0</v>
      </c>
      <c r="U14" s="1739"/>
      <c r="V14" s="1739"/>
      <c r="W14" s="1739"/>
      <c r="X14" s="1739"/>
      <c r="Y14" s="1739"/>
      <c r="Z14" s="1739"/>
      <c r="AA14" s="1739"/>
      <c r="AB14" s="464"/>
    </row>
    <row r="15" spans="1:34" ht="12.75">
      <c r="A15" s="22"/>
      <c r="B15" s="23"/>
      <c r="C15" s="1739"/>
      <c r="D15" s="1739"/>
      <c r="E15" s="1739"/>
      <c r="F15" s="1739"/>
      <c r="G15" s="1737"/>
      <c r="H15" s="1737"/>
      <c r="I15" s="1739"/>
      <c r="J15" s="1739"/>
      <c r="K15" s="1739"/>
      <c r="L15" s="1739"/>
      <c r="M15" s="1739"/>
      <c r="N15" s="1739"/>
      <c r="O15" s="1739"/>
      <c r="P15" s="1739"/>
      <c r="Q15" s="1739"/>
      <c r="R15" s="1739"/>
      <c r="S15" s="1739"/>
      <c r="T15" s="1739">
        <f t="shared" si="0"/>
        <v>0</v>
      </c>
      <c r="U15" s="1739"/>
      <c r="V15" s="1739"/>
      <c r="W15" s="1739"/>
      <c r="X15" s="1739"/>
      <c r="Y15" s="1739"/>
      <c r="Z15" s="1739"/>
      <c r="AA15" s="1739"/>
      <c r="AB15" s="464"/>
    </row>
    <row r="16" spans="1:34" ht="12.75">
      <c r="A16" s="24"/>
      <c r="B16" s="25"/>
      <c r="C16" s="1948"/>
      <c r="D16" s="1948"/>
      <c r="E16" s="1949"/>
      <c r="F16" s="1950">
        <f>D16*E16</f>
        <v>0</v>
      </c>
      <c r="G16" s="1950"/>
      <c r="H16" s="1950"/>
      <c r="I16" s="1950"/>
      <c r="J16" s="1950"/>
      <c r="K16" s="1950"/>
      <c r="L16" s="1950">
        <f>I16-J16+K16</f>
        <v>0</v>
      </c>
      <c r="M16" s="1950"/>
      <c r="N16" s="1950"/>
      <c r="O16" s="1949"/>
      <c r="P16" s="1950">
        <v>0</v>
      </c>
      <c r="Q16" s="1948"/>
      <c r="R16" s="1948">
        <v>0</v>
      </c>
      <c r="S16" s="1751">
        <f>P16-R16</f>
        <v>0</v>
      </c>
      <c r="T16" s="1739">
        <f t="shared" si="0"/>
        <v>0</v>
      </c>
      <c r="U16" s="1948"/>
      <c r="V16" s="1949"/>
      <c r="W16" s="1950">
        <f>U16*V16</f>
        <v>0</v>
      </c>
      <c r="X16" s="1950">
        <v>0</v>
      </c>
      <c r="Y16" s="1950"/>
      <c r="Z16" s="1950">
        <v>0</v>
      </c>
      <c r="AA16" s="1948">
        <v>0</v>
      </c>
      <c r="AB16" s="464"/>
    </row>
    <row r="17" spans="1:34" s="528" customFormat="1">
      <c r="A17" s="1382">
        <v>1</v>
      </c>
      <c r="B17" s="527" t="s">
        <v>298</v>
      </c>
      <c r="C17" s="502"/>
      <c r="D17" s="502">
        <f>+C17</f>
        <v>0</v>
      </c>
      <c r="E17" s="511">
        <v>1</v>
      </c>
      <c r="F17" s="500">
        <f>D17*E17</f>
        <v>0</v>
      </c>
      <c r="G17" s="500"/>
      <c r="H17" s="500"/>
      <c r="I17" s="500"/>
      <c r="J17" s="500"/>
      <c r="K17" s="500"/>
      <c r="L17" s="500">
        <f>I17-J17+K17</f>
        <v>0</v>
      </c>
      <c r="M17" s="500"/>
      <c r="N17" s="500"/>
      <c r="O17" s="511"/>
      <c r="P17" s="500">
        <v>0</v>
      </c>
      <c r="Q17" s="500"/>
      <c r="R17" s="502">
        <v>0</v>
      </c>
      <c r="S17" s="502">
        <f>P17-R17</f>
        <v>0</v>
      </c>
      <c r="T17" s="502">
        <f t="shared" si="0"/>
        <v>0</v>
      </c>
      <c r="U17" s="502">
        <f>D17</f>
        <v>0</v>
      </c>
      <c r="V17" s="511">
        <v>1</v>
      </c>
      <c r="W17" s="500">
        <f>U17*V17</f>
        <v>0</v>
      </c>
      <c r="X17" s="500">
        <v>0</v>
      </c>
      <c r="Y17" s="500"/>
      <c r="Z17" s="500">
        <v>0</v>
      </c>
      <c r="AA17" s="502">
        <v>0</v>
      </c>
      <c r="AB17" s="891">
        <f>F17</f>
        <v>0</v>
      </c>
      <c r="AC17" s="788"/>
      <c r="AD17" s="788"/>
      <c r="AE17" s="788"/>
      <c r="AF17" s="788"/>
      <c r="AG17" s="787"/>
      <c r="AH17" s="787"/>
    </row>
    <row r="18" spans="1:34" ht="12.75">
      <c r="A18" s="815"/>
      <c r="B18" s="529"/>
      <c r="C18" s="502"/>
      <c r="D18" s="500"/>
      <c r="E18" s="511"/>
      <c r="F18" s="500">
        <f>D18*E18</f>
        <v>0</v>
      </c>
      <c r="G18" s="500"/>
      <c r="H18" s="500"/>
      <c r="I18" s="500"/>
      <c r="J18" s="500"/>
      <c r="K18" s="500"/>
      <c r="L18" s="500">
        <f>I18-J18+K18</f>
        <v>0</v>
      </c>
      <c r="M18" s="500"/>
      <c r="N18" s="500"/>
      <c r="O18" s="511"/>
      <c r="P18" s="500">
        <v>0</v>
      </c>
      <c r="Q18" s="500">
        <v>0</v>
      </c>
      <c r="R18" s="502">
        <v>0</v>
      </c>
      <c r="S18" s="502">
        <f>P18-R18</f>
        <v>0</v>
      </c>
      <c r="T18" s="502">
        <f t="shared" si="0"/>
        <v>0</v>
      </c>
      <c r="U18" s="500"/>
      <c r="V18" s="511"/>
      <c r="W18" s="500">
        <f>U18*V18</f>
        <v>0</v>
      </c>
      <c r="X18" s="500">
        <v>0</v>
      </c>
      <c r="Y18" s="500"/>
      <c r="Z18" s="500">
        <v>0</v>
      </c>
      <c r="AA18" s="502">
        <v>0</v>
      </c>
      <c r="AB18" s="891">
        <f>F18</f>
        <v>0</v>
      </c>
    </row>
    <row r="19" spans="1:34" ht="12.75">
      <c r="A19" s="815"/>
      <c r="B19" s="529"/>
      <c r="C19" s="1429"/>
      <c r="D19" s="500"/>
      <c r="E19" s="511"/>
      <c r="F19" s="500"/>
      <c r="G19" s="500"/>
      <c r="H19" s="500"/>
      <c r="I19" s="500"/>
      <c r="J19" s="500"/>
      <c r="K19" s="500"/>
      <c r="L19" s="500"/>
      <c r="M19" s="500"/>
      <c r="N19" s="500"/>
      <c r="O19" s="511"/>
      <c r="P19" s="500"/>
      <c r="Q19" s="500"/>
      <c r="R19" s="502"/>
      <c r="S19" s="502"/>
      <c r="T19" s="502">
        <f t="shared" si="0"/>
        <v>0</v>
      </c>
      <c r="U19" s="500"/>
      <c r="V19" s="511"/>
      <c r="W19" s="500"/>
      <c r="X19" s="500"/>
      <c r="Y19" s="500"/>
      <c r="Z19" s="500"/>
      <c r="AA19" s="502"/>
      <c r="AB19" s="891">
        <f>F19</f>
        <v>0</v>
      </c>
    </row>
    <row r="20" spans="1:34" s="528" customFormat="1">
      <c r="A20" s="1383"/>
      <c r="B20" s="527" t="s">
        <v>299</v>
      </c>
      <c r="C20" s="500"/>
      <c r="D20" s="500"/>
      <c r="E20" s="511"/>
      <c r="F20" s="500"/>
      <c r="G20" s="500"/>
      <c r="H20" s="500"/>
      <c r="I20" s="500"/>
      <c r="J20" s="500"/>
      <c r="K20" s="500"/>
      <c r="L20" s="500"/>
      <c r="M20" s="500"/>
      <c r="N20" s="500"/>
      <c r="O20" s="511"/>
      <c r="P20" s="500">
        <v>0</v>
      </c>
      <c r="Q20" s="500"/>
      <c r="R20" s="502"/>
      <c r="S20" s="502">
        <f>P20-R20</f>
        <v>0</v>
      </c>
      <c r="T20" s="502">
        <f t="shared" si="0"/>
        <v>0</v>
      </c>
      <c r="U20" s="500">
        <f>D20</f>
        <v>0</v>
      </c>
      <c r="V20" s="511">
        <v>1</v>
      </c>
      <c r="W20" s="500">
        <f>U20*V20</f>
        <v>0</v>
      </c>
      <c r="X20" s="500"/>
      <c r="Y20" s="500"/>
      <c r="Z20" s="500">
        <v>0</v>
      </c>
      <c r="AA20" s="502"/>
      <c r="AB20" s="891"/>
      <c r="AC20" s="788"/>
      <c r="AD20" s="788"/>
      <c r="AE20" s="788"/>
      <c r="AF20" s="788"/>
      <c r="AG20" s="787"/>
      <c r="AH20" s="787"/>
    </row>
    <row r="21" spans="1:34" ht="12.75">
      <c r="A21" s="815"/>
      <c r="B21" s="451"/>
      <c r="C21" s="502"/>
      <c r="D21" s="797"/>
      <c r="E21" s="511"/>
      <c r="F21" s="500">
        <f>D21*E21</f>
        <v>0</v>
      </c>
      <c r="G21" s="500"/>
      <c r="H21" s="500"/>
      <c r="I21" s="500"/>
      <c r="J21" s="500"/>
      <c r="K21" s="500"/>
      <c r="L21" s="500">
        <f>I21-J21+K21</f>
        <v>0</v>
      </c>
      <c r="M21" s="500"/>
      <c r="N21" s="500"/>
      <c r="O21" s="511"/>
      <c r="P21" s="500">
        <v>0</v>
      </c>
      <c r="Q21" s="500"/>
      <c r="R21" s="502"/>
      <c r="S21" s="502">
        <f>P21-R21</f>
        <v>0</v>
      </c>
      <c r="T21" s="502">
        <f t="shared" si="0"/>
        <v>0</v>
      </c>
      <c r="U21" s="797"/>
      <c r="V21" s="511"/>
      <c r="W21" s="500">
        <f>U21*V21</f>
        <v>0</v>
      </c>
      <c r="X21" s="500">
        <v>0</v>
      </c>
      <c r="Y21" s="500"/>
      <c r="Z21" s="500">
        <v>0</v>
      </c>
      <c r="AA21" s="502"/>
      <c r="AB21" s="891"/>
    </row>
    <row r="22" spans="1:34" ht="12.75">
      <c r="A22" s="815"/>
      <c r="B22" s="451"/>
      <c r="C22" s="502"/>
      <c r="D22" s="797"/>
      <c r="E22" s="511"/>
      <c r="F22" s="500">
        <f>D22*E22</f>
        <v>0</v>
      </c>
      <c r="G22" s="797"/>
      <c r="H22" s="797"/>
      <c r="I22" s="797"/>
      <c r="J22" s="797"/>
      <c r="K22" s="797"/>
      <c r="L22" s="500">
        <f>I22-J22+K22</f>
        <v>0</v>
      </c>
      <c r="M22" s="797"/>
      <c r="N22" s="797"/>
      <c r="O22" s="511"/>
      <c r="P22" s="500">
        <v>0</v>
      </c>
      <c r="Q22" s="797"/>
      <c r="R22" s="797">
        <v>0</v>
      </c>
      <c r="S22" s="502">
        <f>P22-R22</f>
        <v>0</v>
      </c>
      <c r="T22" s="502">
        <f t="shared" si="0"/>
        <v>0</v>
      </c>
      <c r="U22" s="797"/>
      <c r="V22" s="511"/>
      <c r="W22" s="500">
        <f>U22*V22</f>
        <v>0</v>
      </c>
      <c r="X22" s="500">
        <v>0</v>
      </c>
      <c r="Y22" s="797"/>
      <c r="Z22" s="500">
        <v>0</v>
      </c>
      <c r="AA22" s="797">
        <v>0</v>
      </c>
      <c r="AB22" s="891"/>
    </row>
    <row r="23" spans="1:34" ht="12.75" customHeight="1">
      <c r="A23" s="815"/>
      <c r="B23" s="452" t="s">
        <v>300</v>
      </c>
      <c r="C23" s="502">
        <f>270000*1.2</f>
        <v>324000</v>
      </c>
      <c r="D23" s="1385">
        <f>C23</f>
        <v>324000</v>
      </c>
      <c r="E23" s="1385">
        <v>1</v>
      </c>
      <c r="F23" s="1385">
        <f>E23*D23</f>
        <v>324000</v>
      </c>
      <c r="G23" s="797"/>
      <c r="H23" s="797"/>
      <c r="I23" s="797"/>
      <c r="J23" s="797"/>
      <c r="K23" s="797"/>
      <c r="L23" s="500"/>
      <c r="M23" s="797"/>
      <c r="N23" s="797"/>
      <c r="O23" s="511"/>
      <c r="P23" s="500"/>
      <c r="Q23" s="797"/>
      <c r="R23" s="797"/>
      <c r="S23" s="502"/>
      <c r="T23" s="502">
        <f t="shared" si="0"/>
        <v>0</v>
      </c>
      <c r="U23" s="502"/>
      <c r="V23" s="511"/>
      <c r="W23" s="500"/>
      <c r="X23" s="500"/>
      <c r="Y23" s="797"/>
      <c r="Z23" s="500"/>
      <c r="AA23" s="797"/>
      <c r="AB23" s="891"/>
    </row>
    <row r="24" spans="1:34">
      <c r="A24" s="815"/>
      <c r="B24" s="452"/>
      <c r="C24" s="502"/>
      <c r="D24" s="797"/>
      <c r="E24" s="511"/>
      <c r="F24" s="500">
        <f>D24*E24</f>
        <v>0</v>
      </c>
      <c r="G24" s="797"/>
      <c r="H24" s="797"/>
      <c r="I24" s="797"/>
      <c r="J24" s="797"/>
      <c r="K24" s="797"/>
      <c r="L24" s="500"/>
      <c r="M24" s="797"/>
      <c r="N24" s="797"/>
      <c r="O24" s="797"/>
      <c r="P24" s="797"/>
      <c r="Q24" s="797"/>
      <c r="R24" s="797"/>
      <c r="S24" s="797"/>
      <c r="T24" s="502">
        <f t="shared" si="0"/>
        <v>0</v>
      </c>
      <c r="U24" s="797"/>
      <c r="V24" s="511"/>
      <c r="W24" s="500">
        <f>U24*V24</f>
        <v>0</v>
      </c>
      <c r="X24" s="500"/>
      <c r="Y24" s="797"/>
      <c r="Z24" s="797"/>
      <c r="AA24" s="797"/>
      <c r="AB24" s="891"/>
    </row>
    <row r="25" spans="1:34">
      <c r="A25" s="815"/>
      <c r="B25" s="1224" t="s">
        <v>301</v>
      </c>
      <c r="C25" s="502"/>
      <c r="D25" s="1385">
        <f>+D23*0.6</f>
        <v>194400</v>
      </c>
      <c r="E25" s="1385">
        <v>1</v>
      </c>
      <c r="F25" s="1385">
        <f>E25*D25</f>
        <v>194400</v>
      </c>
      <c r="G25" s="500">
        <v>36206.43</v>
      </c>
      <c r="H25" s="500" t="s">
        <v>94</v>
      </c>
      <c r="I25" s="1385">
        <f>D25</f>
        <v>194400</v>
      </c>
      <c r="J25" s="1385"/>
      <c r="K25" s="1385"/>
      <c r="L25" s="500">
        <f>I25-J25+K25</f>
        <v>194400</v>
      </c>
      <c r="M25" s="500"/>
      <c r="N25" s="500">
        <v>36206.43</v>
      </c>
      <c r="O25" s="511"/>
      <c r="P25" s="500">
        <f>194400+129600</f>
        <v>324000</v>
      </c>
      <c r="Q25" s="500"/>
      <c r="R25" s="502"/>
      <c r="S25" s="502"/>
      <c r="T25" s="502">
        <f t="shared" si="0"/>
        <v>0</v>
      </c>
      <c r="U25" s="500">
        <f>D25</f>
        <v>194400</v>
      </c>
      <c r="V25" s="511">
        <v>1</v>
      </c>
      <c r="W25" s="500">
        <f>U25*V25</f>
        <v>194400</v>
      </c>
      <c r="X25" s="1385">
        <v>194400</v>
      </c>
      <c r="Y25" s="500">
        <v>36206.43</v>
      </c>
      <c r="Z25" s="500">
        <v>324000</v>
      </c>
      <c r="AA25" s="502"/>
      <c r="AB25" s="891">
        <f>F25</f>
        <v>194400</v>
      </c>
    </row>
    <row r="26" spans="1:34">
      <c r="A26" s="815"/>
      <c r="B26" s="1224" t="s">
        <v>302</v>
      </c>
      <c r="C26" s="502"/>
      <c r="D26" s="797">
        <f>D23*0.4</f>
        <v>129600</v>
      </c>
      <c r="E26" s="1385">
        <v>1</v>
      </c>
      <c r="F26" s="500">
        <f>D26*E26</f>
        <v>129600</v>
      </c>
      <c r="G26" s="797"/>
      <c r="H26" s="1318"/>
      <c r="I26" s="1385">
        <f>D26</f>
        <v>129600</v>
      </c>
      <c r="J26" s="1385"/>
      <c r="K26" s="1385"/>
      <c r="L26" s="500">
        <f>I26-J26+K26</f>
        <v>129600</v>
      </c>
      <c r="M26" s="500"/>
      <c r="N26" s="500"/>
      <c r="O26" s="511"/>
      <c r="P26" s="500">
        <v>0</v>
      </c>
      <c r="Q26" s="500"/>
      <c r="R26" s="502"/>
      <c r="S26" s="502"/>
      <c r="T26" s="502">
        <f t="shared" si="0"/>
        <v>0</v>
      </c>
      <c r="U26" s="500">
        <f>D26</f>
        <v>129600</v>
      </c>
      <c r="V26" s="511">
        <v>1</v>
      </c>
      <c r="W26" s="500">
        <f>U26*V26</f>
        <v>129600</v>
      </c>
      <c r="X26" s="1385">
        <v>129600</v>
      </c>
      <c r="Y26" s="1297"/>
      <c r="Z26" s="500">
        <v>0</v>
      </c>
      <c r="AA26" s="502"/>
      <c r="AB26" s="891">
        <f>F26</f>
        <v>129600</v>
      </c>
    </row>
    <row r="27" spans="1:34">
      <c r="A27" s="815"/>
      <c r="B27" s="1224"/>
      <c r="C27" s="502"/>
      <c r="D27" s="797"/>
      <c r="E27" s="511"/>
      <c r="F27" s="500"/>
      <c r="G27" s="797"/>
      <c r="H27" s="1787"/>
      <c r="I27" s="797"/>
      <c r="J27" s="797"/>
      <c r="K27" s="797"/>
      <c r="L27" s="500"/>
      <c r="M27" s="797"/>
      <c r="N27" s="500"/>
      <c r="O27" s="797"/>
      <c r="P27" s="797"/>
      <c r="Q27" s="797"/>
      <c r="R27" s="797"/>
      <c r="S27" s="797"/>
      <c r="T27" s="502"/>
      <c r="U27" s="797"/>
      <c r="V27" s="511"/>
      <c r="W27" s="500"/>
      <c r="X27" s="500"/>
      <c r="Y27" s="797"/>
      <c r="Z27" s="797"/>
      <c r="AA27" s="797"/>
      <c r="AB27" s="891"/>
    </row>
    <row r="28" spans="1:34">
      <c r="A28" s="815"/>
      <c r="B28" s="1224"/>
      <c r="C28" s="502"/>
      <c r="D28" s="797"/>
      <c r="E28" s="511"/>
      <c r="F28" s="500"/>
      <c r="G28" s="797"/>
      <c r="H28" s="797"/>
      <c r="I28" s="797"/>
      <c r="J28" s="797"/>
      <c r="K28" s="797"/>
      <c r="L28" s="500"/>
      <c r="M28" s="797"/>
      <c r="N28" s="500"/>
      <c r="O28" s="797"/>
      <c r="P28" s="1787"/>
      <c r="Q28" s="797"/>
      <c r="R28" s="797"/>
      <c r="S28" s="797"/>
      <c r="T28" s="502"/>
      <c r="U28" s="797"/>
      <c r="V28" s="511"/>
      <c r="W28" s="500"/>
      <c r="X28" s="500"/>
      <c r="Y28" s="797"/>
      <c r="Z28" s="797"/>
      <c r="AA28" s="797"/>
      <c r="AB28" s="891"/>
    </row>
    <row r="29" spans="1:34">
      <c r="A29" s="815"/>
      <c r="B29" s="1224" t="s">
        <v>303</v>
      </c>
      <c r="C29" s="502">
        <v>156000</v>
      </c>
      <c r="D29" s="1385">
        <v>156000</v>
      </c>
      <c r="E29" s="1385">
        <v>1</v>
      </c>
      <c r="F29" s="1385">
        <f>E29*D29</f>
        <v>156000</v>
      </c>
      <c r="G29" s="797"/>
      <c r="H29" s="797"/>
      <c r="I29" s="1385">
        <f>D29</f>
        <v>156000</v>
      </c>
      <c r="J29" s="1385"/>
      <c r="K29" s="1385"/>
      <c r="L29" s="500">
        <f>I29-J29+K29</f>
        <v>156000</v>
      </c>
      <c r="M29" s="500"/>
      <c r="N29" s="500"/>
      <c r="O29" s="511"/>
      <c r="P29" s="797">
        <v>156000</v>
      </c>
      <c r="Q29" s="500"/>
      <c r="R29" s="502"/>
      <c r="S29" s="502"/>
      <c r="T29" s="502">
        <f t="shared" ref="T29:T56" si="1">W29-L29</f>
        <v>0</v>
      </c>
      <c r="U29" s="500">
        <f>D29</f>
        <v>156000</v>
      </c>
      <c r="V29" s="511">
        <v>1</v>
      </c>
      <c r="W29" s="500">
        <f>U29*V29</f>
        <v>156000</v>
      </c>
      <c r="X29" s="1385">
        <v>156000</v>
      </c>
      <c r="Y29" s="500"/>
      <c r="Z29" s="500">
        <v>156000</v>
      </c>
      <c r="AA29" s="502"/>
      <c r="AB29" s="891">
        <f>F29</f>
        <v>156000</v>
      </c>
    </row>
    <row r="30" spans="1:34" ht="12.75">
      <c r="A30" s="815"/>
      <c r="B30" s="811"/>
      <c r="C30" s="797"/>
      <c r="D30" s="797"/>
      <c r="E30" s="511"/>
      <c r="F30" s="500"/>
      <c r="G30" s="797"/>
      <c r="H30" s="797"/>
      <c r="I30" s="797"/>
      <c r="J30" s="797"/>
      <c r="K30" s="797"/>
      <c r="L30" s="500"/>
      <c r="M30" s="797"/>
      <c r="N30" s="797"/>
      <c r="O30" s="797"/>
      <c r="P30" s="797"/>
      <c r="Q30" s="797"/>
      <c r="R30" s="797"/>
      <c r="S30" s="797"/>
      <c r="T30" s="502">
        <f t="shared" si="1"/>
        <v>0</v>
      </c>
      <c r="U30" s="797"/>
      <c r="V30" s="511"/>
      <c r="W30" s="500"/>
      <c r="X30" s="500"/>
      <c r="Y30" s="797"/>
      <c r="Z30" s="797"/>
      <c r="AA30" s="797"/>
      <c r="AB30" s="891"/>
    </row>
    <row r="31" spans="1:34" ht="12.75">
      <c r="A31" s="815"/>
      <c r="B31" s="811"/>
      <c r="C31" s="797"/>
      <c r="D31" s="797"/>
      <c r="E31" s="511"/>
      <c r="F31" s="500"/>
      <c r="G31" s="797"/>
      <c r="H31" s="797"/>
      <c r="I31" s="797"/>
      <c r="J31" s="797"/>
      <c r="K31" s="797"/>
      <c r="L31" s="500"/>
      <c r="M31" s="797"/>
      <c r="N31" s="797"/>
      <c r="O31" s="797"/>
      <c r="P31" s="797"/>
      <c r="Q31" s="797"/>
      <c r="R31" s="797"/>
      <c r="S31" s="797"/>
      <c r="T31" s="502">
        <f t="shared" si="1"/>
        <v>0</v>
      </c>
      <c r="U31" s="797"/>
      <c r="V31" s="511"/>
      <c r="W31" s="500"/>
      <c r="X31" s="500"/>
      <c r="Y31" s="797"/>
      <c r="Z31" s="797"/>
      <c r="AA31" s="797"/>
      <c r="AB31" s="891"/>
    </row>
    <row r="32" spans="1:34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502">
        <f t="shared" si="1"/>
        <v>0</v>
      </c>
      <c r="U32" s="797"/>
      <c r="V32" s="511"/>
      <c r="W32" s="500"/>
      <c r="X32" s="500"/>
      <c r="Y32" s="797"/>
      <c r="Z32" s="797"/>
      <c r="AA32" s="797"/>
      <c r="AB32" s="889"/>
    </row>
    <row r="33" spans="1:28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502">
        <f t="shared" si="1"/>
        <v>0</v>
      </c>
      <c r="U33" s="797"/>
      <c r="V33" s="511"/>
      <c r="W33" s="500"/>
      <c r="X33" s="500"/>
      <c r="Y33" s="797"/>
      <c r="Z33" s="797"/>
      <c r="AA33" s="797"/>
      <c r="AB33" s="889"/>
    </row>
    <row r="34" spans="1:28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502">
        <f t="shared" si="1"/>
        <v>0</v>
      </c>
      <c r="U34" s="797"/>
      <c r="V34" s="511"/>
      <c r="W34" s="500"/>
      <c r="X34" s="500"/>
      <c r="Y34" s="797"/>
      <c r="Z34" s="797"/>
      <c r="AA34" s="797"/>
      <c r="AB34" s="891"/>
    </row>
    <row r="35" spans="1:28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502">
        <f t="shared" si="1"/>
        <v>0</v>
      </c>
      <c r="U35" s="797"/>
      <c r="V35" s="511"/>
      <c r="W35" s="500"/>
      <c r="X35" s="500"/>
      <c r="Y35" s="797"/>
      <c r="Z35" s="797"/>
      <c r="AA35" s="797"/>
      <c r="AB35" s="891"/>
    </row>
    <row r="36" spans="1:28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502">
        <f t="shared" si="1"/>
        <v>0</v>
      </c>
      <c r="U36" s="797"/>
      <c r="V36" s="511"/>
      <c r="W36" s="500"/>
      <c r="X36" s="500"/>
      <c r="Y36" s="797"/>
      <c r="Z36" s="797"/>
      <c r="AA36" s="797"/>
      <c r="AB36" s="891"/>
    </row>
    <row r="37" spans="1:28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797"/>
      <c r="T37" s="502">
        <f t="shared" si="1"/>
        <v>0</v>
      </c>
      <c r="U37" s="797"/>
      <c r="V37" s="511"/>
      <c r="W37" s="500"/>
      <c r="X37" s="500"/>
      <c r="Y37" s="797"/>
      <c r="Z37" s="797"/>
      <c r="AA37" s="797"/>
      <c r="AB37" s="891"/>
    </row>
    <row r="38" spans="1:28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502">
        <f t="shared" si="1"/>
        <v>0</v>
      </c>
      <c r="U38" s="797"/>
      <c r="V38" s="511"/>
      <c r="W38" s="500"/>
      <c r="X38" s="500"/>
      <c r="Y38" s="797"/>
      <c r="Z38" s="797"/>
      <c r="AA38" s="797"/>
      <c r="AB38" s="891"/>
    </row>
    <row r="39" spans="1:28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502">
        <f t="shared" si="1"/>
        <v>0</v>
      </c>
      <c r="U39" s="797"/>
      <c r="V39" s="511"/>
      <c r="W39" s="500"/>
      <c r="X39" s="500"/>
      <c r="Y39" s="797"/>
      <c r="Z39" s="797"/>
      <c r="AA39" s="797"/>
      <c r="AB39" s="891"/>
    </row>
    <row r="40" spans="1:28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502">
        <f t="shared" si="1"/>
        <v>0</v>
      </c>
      <c r="U40" s="797"/>
      <c r="V40" s="511"/>
      <c r="W40" s="500"/>
      <c r="X40" s="500"/>
      <c r="Y40" s="797"/>
      <c r="Z40" s="797"/>
      <c r="AA40" s="797"/>
      <c r="AB40" s="891"/>
    </row>
    <row r="41" spans="1:28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502">
        <f t="shared" si="1"/>
        <v>0</v>
      </c>
      <c r="U41" s="797"/>
      <c r="V41" s="511"/>
      <c r="W41" s="500"/>
      <c r="X41" s="500"/>
      <c r="Y41" s="797"/>
      <c r="Z41" s="797"/>
      <c r="AA41" s="797"/>
      <c r="AB41" s="891"/>
    </row>
    <row r="42" spans="1:28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502">
        <f t="shared" si="1"/>
        <v>0</v>
      </c>
      <c r="U42" s="797"/>
      <c r="V42" s="511"/>
      <c r="W42" s="500"/>
      <c r="X42" s="500"/>
      <c r="Y42" s="797"/>
      <c r="Z42" s="797"/>
      <c r="AA42" s="797"/>
      <c r="AB42" s="891"/>
    </row>
    <row r="43" spans="1:28" ht="12.75">
      <c r="A43" s="815"/>
      <c r="B43" s="811"/>
      <c r="C43" s="797"/>
      <c r="D43" s="797"/>
      <c r="E43" s="511"/>
      <c r="F43" s="500"/>
      <c r="G43" s="797"/>
      <c r="H43" s="797"/>
      <c r="I43" s="797"/>
      <c r="J43" s="797"/>
      <c r="K43" s="797"/>
      <c r="L43" s="500"/>
      <c r="M43" s="797"/>
      <c r="N43" s="797"/>
      <c r="O43" s="797"/>
      <c r="P43" s="797"/>
      <c r="Q43" s="797"/>
      <c r="R43" s="797"/>
      <c r="S43" s="797"/>
      <c r="T43" s="502">
        <f t="shared" si="1"/>
        <v>0</v>
      </c>
      <c r="U43" s="797"/>
      <c r="V43" s="511"/>
      <c r="W43" s="500"/>
      <c r="X43" s="500"/>
      <c r="Y43" s="797"/>
      <c r="Z43" s="797"/>
      <c r="AA43" s="797"/>
      <c r="AB43" s="891"/>
    </row>
    <row r="44" spans="1:28" ht="12.75">
      <c r="A44" s="815"/>
      <c r="B44" s="811"/>
      <c r="C44" s="797"/>
      <c r="D44" s="797"/>
      <c r="E44" s="511"/>
      <c r="F44" s="500"/>
      <c r="G44" s="797"/>
      <c r="H44" s="797"/>
      <c r="I44" s="797"/>
      <c r="J44" s="797"/>
      <c r="K44" s="797"/>
      <c r="L44" s="500"/>
      <c r="M44" s="797"/>
      <c r="N44" s="797"/>
      <c r="O44" s="797"/>
      <c r="P44" s="797"/>
      <c r="Q44" s="797"/>
      <c r="R44" s="797"/>
      <c r="S44" s="797"/>
      <c r="T44" s="502">
        <f t="shared" si="1"/>
        <v>0</v>
      </c>
      <c r="U44" s="797"/>
      <c r="V44" s="511"/>
      <c r="W44" s="500"/>
      <c r="X44" s="500"/>
      <c r="Y44" s="797"/>
      <c r="Z44" s="797"/>
      <c r="AA44" s="797"/>
      <c r="AB44" s="891"/>
    </row>
    <row r="45" spans="1:28">
      <c r="A45" s="815"/>
      <c r="B45" s="814"/>
      <c r="C45" s="797"/>
      <c r="D45" s="797"/>
      <c r="E45" s="511"/>
      <c r="F45" s="797"/>
      <c r="G45" s="797"/>
      <c r="H45" s="797"/>
      <c r="I45" s="797"/>
      <c r="J45" s="797"/>
      <c r="K45" s="797"/>
      <c r="L45" s="797"/>
      <c r="M45" s="797"/>
      <c r="N45" s="797"/>
      <c r="O45" s="797"/>
      <c r="P45" s="797">
        <v>0</v>
      </c>
      <c r="Q45" s="797"/>
      <c r="R45" s="797">
        <v>0</v>
      </c>
      <c r="S45" s="797">
        <f>R45-P45</f>
        <v>0</v>
      </c>
      <c r="T45" s="502">
        <f t="shared" si="1"/>
        <v>0</v>
      </c>
      <c r="U45" s="797"/>
      <c r="V45" s="511"/>
      <c r="W45" s="797"/>
      <c r="X45" s="797"/>
      <c r="Y45" s="797"/>
      <c r="Z45" s="797">
        <v>0</v>
      </c>
      <c r="AA45" s="797">
        <v>0</v>
      </c>
      <c r="AB45" s="891"/>
    </row>
    <row r="46" spans="1:28">
      <c r="A46" s="815"/>
      <c r="B46" s="814"/>
      <c r="C46" s="797"/>
      <c r="D46" s="797"/>
      <c r="E46" s="511"/>
      <c r="F46" s="797"/>
      <c r="G46" s="797"/>
      <c r="H46" s="797"/>
      <c r="I46" s="797"/>
      <c r="J46" s="797"/>
      <c r="K46" s="797"/>
      <c r="L46" s="797"/>
      <c r="M46" s="797"/>
      <c r="N46" s="797"/>
      <c r="O46" s="797"/>
      <c r="P46" s="797">
        <v>0</v>
      </c>
      <c r="Q46" s="797"/>
      <c r="R46" s="797">
        <v>0</v>
      </c>
      <c r="S46" s="797">
        <f>R46-P46</f>
        <v>0</v>
      </c>
      <c r="T46" s="502">
        <f t="shared" si="1"/>
        <v>0</v>
      </c>
      <c r="U46" s="797"/>
      <c r="V46" s="511"/>
      <c r="W46" s="797"/>
      <c r="X46" s="797"/>
      <c r="Y46" s="797"/>
      <c r="Z46" s="797">
        <v>0</v>
      </c>
      <c r="AA46" s="797">
        <v>0</v>
      </c>
      <c r="AB46" s="891"/>
    </row>
    <row r="47" spans="1:28">
      <c r="A47" s="821"/>
      <c r="B47" s="817"/>
      <c r="C47" s="797"/>
      <c r="D47" s="797"/>
      <c r="E47" s="511"/>
      <c r="F47" s="797"/>
      <c r="G47" s="797"/>
      <c r="H47" s="797"/>
      <c r="I47" s="797"/>
      <c r="J47" s="797"/>
      <c r="K47" s="797"/>
      <c r="L47" s="797"/>
      <c r="M47" s="797"/>
      <c r="N47" s="797"/>
      <c r="O47" s="797"/>
      <c r="P47" s="797"/>
      <c r="Q47" s="797"/>
      <c r="R47" s="797"/>
      <c r="S47" s="797"/>
      <c r="T47" s="502">
        <f t="shared" si="1"/>
        <v>0</v>
      </c>
      <c r="U47" s="797"/>
      <c r="V47" s="511"/>
      <c r="W47" s="797"/>
      <c r="X47" s="797"/>
      <c r="Y47" s="797"/>
      <c r="Z47" s="797"/>
      <c r="AA47" s="797"/>
      <c r="AB47" s="891"/>
    </row>
    <row r="48" spans="1:28">
      <c r="A48" s="821"/>
      <c r="B48" s="817"/>
      <c r="C48" s="797"/>
      <c r="D48" s="797"/>
      <c r="E48" s="511"/>
      <c r="F48" s="797"/>
      <c r="G48" s="797"/>
      <c r="H48" s="797"/>
      <c r="I48" s="797"/>
      <c r="J48" s="797"/>
      <c r="K48" s="797"/>
      <c r="L48" s="797"/>
      <c r="M48" s="797"/>
      <c r="N48" s="797"/>
      <c r="O48" s="797"/>
      <c r="P48" s="797"/>
      <c r="Q48" s="797"/>
      <c r="R48" s="797"/>
      <c r="S48" s="797"/>
      <c r="T48" s="502">
        <f t="shared" si="1"/>
        <v>0</v>
      </c>
      <c r="U48" s="797"/>
      <c r="V48" s="511"/>
      <c r="W48" s="797"/>
      <c r="X48" s="797"/>
      <c r="Y48" s="797"/>
      <c r="Z48" s="797"/>
      <c r="AA48" s="797"/>
      <c r="AB48" s="891"/>
    </row>
    <row r="49" spans="1:28">
      <c r="A49" s="821"/>
      <c r="B49" s="817"/>
      <c r="C49" s="797"/>
      <c r="D49" s="797"/>
      <c r="E49" s="511"/>
      <c r="F49" s="797"/>
      <c r="G49" s="797"/>
      <c r="H49" s="797"/>
      <c r="I49" s="797"/>
      <c r="J49" s="797"/>
      <c r="K49" s="797"/>
      <c r="L49" s="797"/>
      <c r="M49" s="797"/>
      <c r="N49" s="797"/>
      <c r="O49" s="797"/>
      <c r="P49" s="797"/>
      <c r="Q49" s="797"/>
      <c r="R49" s="797"/>
      <c r="S49" s="797"/>
      <c r="T49" s="502">
        <f t="shared" si="1"/>
        <v>0</v>
      </c>
      <c r="U49" s="797"/>
      <c r="V49" s="511"/>
      <c r="W49" s="797"/>
      <c r="X49" s="797"/>
      <c r="Y49" s="797"/>
      <c r="Z49" s="797"/>
      <c r="AA49" s="797"/>
      <c r="AB49" s="891"/>
    </row>
    <row r="50" spans="1:28">
      <c r="A50" s="815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797"/>
      <c r="M50" s="797"/>
      <c r="N50" s="797"/>
      <c r="O50" s="797"/>
      <c r="P50" s="797"/>
      <c r="Q50" s="797"/>
      <c r="R50" s="797"/>
      <c r="S50" s="797"/>
      <c r="T50" s="502">
        <f t="shared" si="1"/>
        <v>0</v>
      </c>
      <c r="U50" s="797"/>
      <c r="V50" s="511"/>
      <c r="W50" s="797"/>
      <c r="X50" s="797"/>
      <c r="Y50" s="797"/>
      <c r="Z50" s="797"/>
      <c r="AA50" s="797"/>
      <c r="AB50" s="891"/>
    </row>
    <row r="51" spans="1:28">
      <c r="A51" s="821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/>
      <c r="T51" s="502">
        <f t="shared" si="1"/>
        <v>0</v>
      </c>
      <c r="U51" s="797"/>
      <c r="V51" s="511"/>
      <c r="W51" s="797"/>
      <c r="X51" s="797"/>
      <c r="Y51" s="797"/>
      <c r="Z51" s="797"/>
      <c r="AA51" s="797"/>
      <c r="AB51" s="891"/>
    </row>
    <row r="52" spans="1:28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/>
      <c r="T52" s="502">
        <f t="shared" si="1"/>
        <v>0</v>
      </c>
      <c r="U52" s="797"/>
      <c r="V52" s="797"/>
      <c r="W52" s="797"/>
      <c r="X52" s="797"/>
      <c r="Y52" s="797"/>
      <c r="Z52" s="797"/>
      <c r="AA52" s="797"/>
      <c r="AB52" s="891"/>
    </row>
    <row r="53" spans="1:28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797"/>
      <c r="M53" s="797"/>
      <c r="N53" s="797"/>
      <c r="O53" s="797"/>
      <c r="P53" s="797"/>
      <c r="Q53" s="797"/>
      <c r="R53" s="797"/>
      <c r="S53" s="797"/>
      <c r="T53" s="502">
        <f t="shared" si="1"/>
        <v>0</v>
      </c>
      <c r="U53" s="797"/>
      <c r="V53" s="511"/>
      <c r="W53" s="797"/>
      <c r="X53" s="797"/>
      <c r="Y53" s="797"/>
      <c r="Z53" s="797"/>
      <c r="AA53" s="797"/>
      <c r="AB53" s="891"/>
    </row>
    <row r="54" spans="1:28">
      <c r="A54" s="815"/>
      <c r="B54" s="814"/>
      <c r="C54" s="797"/>
      <c r="D54" s="500"/>
      <c r="E54" s="511"/>
      <c r="F54" s="797"/>
      <c r="G54" s="500"/>
      <c r="H54" s="500"/>
      <c r="I54" s="500"/>
      <c r="J54" s="500"/>
      <c r="K54" s="500"/>
      <c r="L54" s="500"/>
      <c r="M54" s="500"/>
      <c r="N54" s="500"/>
      <c r="O54" s="500"/>
      <c r="P54" s="797"/>
      <c r="Q54" s="500"/>
      <c r="R54" s="797"/>
      <c r="S54" s="797"/>
      <c r="T54" s="502">
        <f t="shared" si="1"/>
        <v>0</v>
      </c>
      <c r="U54" s="500"/>
      <c r="V54" s="511"/>
      <c r="W54" s="797"/>
      <c r="X54" s="500"/>
      <c r="Y54" s="500"/>
      <c r="Z54" s="797"/>
      <c r="AA54" s="797"/>
      <c r="AB54" s="891"/>
    </row>
    <row r="55" spans="1:28">
      <c r="A55" s="821"/>
      <c r="B55" s="822"/>
      <c r="C55" s="797"/>
      <c r="D55" s="500"/>
      <c r="E55" s="500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797"/>
      <c r="Q55" s="500"/>
      <c r="R55" s="797"/>
      <c r="S55" s="797"/>
      <c r="T55" s="502">
        <f t="shared" si="1"/>
        <v>0</v>
      </c>
      <c r="U55" s="500"/>
      <c r="V55" s="500"/>
      <c r="W55" s="797"/>
      <c r="X55" s="500"/>
      <c r="Y55" s="500"/>
      <c r="Z55" s="797"/>
      <c r="AA55" s="797"/>
      <c r="AB55" s="891"/>
    </row>
    <row r="56" spans="1:28" ht="12.75">
      <c r="A56" s="39"/>
      <c r="B56" s="40"/>
      <c r="C56" s="797"/>
      <c r="D56" s="500"/>
      <c r="E56" s="500"/>
      <c r="F56" s="797"/>
      <c r="G56" s="500"/>
      <c r="H56" s="500"/>
      <c r="I56" s="500"/>
      <c r="J56" s="500"/>
      <c r="K56" s="500"/>
      <c r="L56" s="500"/>
      <c r="M56" s="500"/>
      <c r="N56" s="500"/>
      <c r="O56" s="500"/>
      <c r="P56" s="500">
        <v>0</v>
      </c>
      <c r="Q56" s="500"/>
      <c r="R56" s="502">
        <v>0</v>
      </c>
      <c r="S56" s="502"/>
      <c r="T56" s="502">
        <f t="shared" si="1"/>
        <v>0</v>
      </c>
      <c r="U56" s="500"/>
      <c r="V56" s="500"/>
      <c r="W56" s="797"/>
      <c r="X56" s="500">
        <v>0</v>
      </c>
      <c r="Y56" s="500"/>
      <c r="Z56" s="500">
        <v>0</v>
      </c>
      <c r="AA56" s="502">
        <v>0</v>
      </c>
      <c r="AB56" s="891"/>
    </row>
    <row r="57" spans="1:28" ht="12.75">
      <c r="A57" s="41"/>
      <c r="B57" s="42" t="s">
        <v>17</v>
      </c>
      <c r="C57" s="892">
        <f>SUM(C15:C56)</f>
        <v>480000</v>
      </c>
      <c r="D57" s="892">
        <f>SUM(D15:D56)-D23</f>
        <v>480000</v>
      </c>
      <c r="E57" s="892">
        <f t="shared" ref="E57:AB57" si="2">SUM(E15:E56)</f>
        <v>5</v>
      </c>
      <c r="F57" s="892">
        <f t="shared" si="2"/>
        <v>804000</v>
      </c>
      <c r="G57" s="892">
        <f t="shared" si="2"/>
        <v>36206.43</v>
      </c>
      <c r="H57" s="892">
        <f t="shared" si="2"/>
        <v>0</v>
      </c>
      <c r="I57" s="892">
        <f t="shared" si="2"/>
        <v>480000</v>
      </c>
      <c r="J57" s="892">
        <f t="shared" si="2"/>
        <v>0</v>
      </c>
      <c r="K57" s="892">
        <f t="shared" si="2"/>
        <v>0</v>
      </c>
      <c r="L57" s="892">
        <f t="shared" si="2"/>
        <v>480000</v>
      </c>
      <c r="M57" s="892">
        <f t="shared" si="2"/>
        <v>0</v>
      </c>
      <c r="N57" s="892">
        <f>SUM(N15:N56)</f>
        <v>36206.43</v>
      </c>
      <c r="O57" s="892">
        <f t="shared" si="2"/>
        <v>0</v>
      </c>
      <c r="P57" s="892">
        <f t="shared" si="2"/>
        <v>480000</v>
      </c>
      <c r="Q57" s="892">
        <f t="shared" si="2"/>
        <v>0</v>
      </c>
      <c r="R57" s="892">
        <f t="shared" si="2"/>
        <v>0</v>
      </c>
      <c r="S57" s="892">
        <f t="shared" si="2"/>
        <v>0</v>
      </c>
      <c r="T57" s="893">
        <f>W57-L57</f>
        <v>0</v>
      </c>
      <c r="U57" s="892">
        <f t="shared" si="2"/>
        <v>480000</v>
      </c>
      <c r="V57" s="892">
        <f t="shared" si="2"/>
        <v>5</v>
      </c>
      <c r="W57" s="892">
        <f t="shared" si="2"/>
        <v>480000</v>
      </c>
      <c r="X57" s="892">
        <f t="shared" si="2"/>
        <v>480000</v>
      </c>
      <c r="Y57" s="892">
        <f t="shared" si="2"/>
        <v>36206.43</v>
      </c>
      <c r="Z57" s="892">
        <f t="shared" si="2"/>
        <v>480000</v>
      </c>
      <c r="AA57" s="892">
        <f t="shared" si="2"/>
        <v>0</v>
      </c>
      <c r="AB57" s="892">
        <f t="shared" si="2"/>
        <v>480000</v>
      </c>
    </row>
    <row r="58" spans="1:28">
      <c r="A58" s="43"/>
      <c r="B58" s="44"/>
      <c r="F58" s="1769"/>
      <c r="G58" s="1769"/>
      <c r="H58" s="1769"/>
      <c r="I58" s="1769"/>
      <c r="J58" s="1769"/>
      <c r="K58" s="1769"/>
      <c r="L58" s="1769"/>
      <c r="M58" s="1769"/>
      <c r="N58" s="1769"/>
      <c r="P58" s="1769"/>
      <c r="Q58" s="213"/>
      <c r="R58" s="213"/>
      <c r="W58" s="1769"/>
    </row>
    <row r="59" spans="1:28">
      <c r="A59" s="43"/>
      <c r="B59" s="44"/>
      <c r="F59" s="1769"/>
      <c r="G59" s="1769"/>
      <c r="H59" s="1769"/>
      <c r="I59" s="1769"/>
      <c r="J59" s="1769"/>
      <c r="K59" s="1769"/>
      <c r="L59" s="1769"/>
      <c r="M59" s="1769"/>
      <c r="N59" s="1769"/>
      <c r="P59" s="1769"/>
      <c r="Q59" s="213"/>
      <c r="R59" s="213"/>
      <c r="W59" s="1769"/>
    </row>
    <row r="60" spans="1:28">
      <c r="F60" s="1769"/>
      <c r="R60" s="213"/>
      <c r="W60" s="1769"/>
    </row>
    <row r="61" spans="1:28">
      <c r="F61" s="1769"/>
      <c r="R61" s="213"/>
      <c r="W61" s="1769"/>
    </row>
    <row r="62" spans="1:28">
      <c r="R62" s="213"/>
    </row>
    <row r="63" spans="1:28">
      <c r="A63" s="10" t="s">
        <v>59</v>
      </c>
      <c r="F63" s="1769"/>
      <c r="W63" s="1769"/>
    </row>
  </sheetData>
  <mergeCells count="8">
    <mergeCell ref="AB8:AB12"/>
    <mergeCell ref="AA8:AA12"/>
    <mergeCell ref="Z8:Z12"/>
    <mergeCell ref="E1:F1"/>
    <mergeCell ref="I5:N5"/>
    <mergeCell ref="O5:T5"/>
    <mergeCell ref="X8:X12"/>
    <mergeCell ref="Y8:Y12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4">
    <pageSetUpPr fitToPage="1"/>
  </sheetPr>
  <dimension ref="A1:AH63"/>
  <sheetViews>
    <sheetView showGridLines="0" showZeros="0" topLeftCell="L1" workbookViewId="0">
      <selection activeCell="Z16" sqref="Z16:Z20"/>
    </sheetView>
  </sheetViews>
  <sheetFormatPr baseColWidth="10" defaultColWidth="12.5" defaultRowHeight="12"/>
  <cols>
    <col min="1" max="1" width="10.25" style="10" customWidth="1"/>
    <col min="2" max="2" width="35.375" style="454" customWidth="1"/>
    <col min="3" max="3" width="10.125" style="213" customWidth="1"/>
    <col min="4" max="4" width="9" style="213" customWidth="1"/>
    <col min="5" max="5" width="4.875" style="213" customWidth="1"/>
    <col min="6" max="7" width="10.25" style="213" customWidth="1"/>
    <col min="8" max="8" width="12.375" style="213" customWidth="1"/>
    <col min="9" max="9" width="8.75" style="213" bestFit="1" customWidth="1"/>
    <col min="10" max="10" width="12" style="213" customWidth="1"/>
    <col min="11" max="11" width="10.25" style="213" customWidth="1"/>
    <col min="12" max="12" width="9" style="213" customWidth="1"/>
    <col min="13" max="13" width="9.75" style="213" customWidth="1"/>
    <col min="14" max="14" width="8.75" style="213" customWidth="1"/>
    <col min="15" max="15" width="6.5" style="213" customWidth="1"/>
    <col min="16" max="16" width="12.5" style="213"/>
    <col min="17" max="17" width="10.625" style="788" customWidth="1"/>
    <col min="18" max="19" width="12.5" style="788"/>
    <col min="20" max="20" width="10.875" style="788" customWidth="1"/>
    <col min="21" max="21" width="9" style="213" customWidth="1"/>
    <col min="22" max="22" width="7.625" style="213" bestFit="1" customWidth="1"/>
    <col min="23" max="23" width="10.25" style="213" customWidth="1"/>
    <col min="24" max="28" width="11.75" style="212" customWidth="1"/>
    <col min="29" max="32" width="12.5" style="788"/>
    <col min="33" max="34" width="12.5" style="787"/>
    <col min="35" max="16384" width="12.5" style="1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ht="12.75">
      <c r="A2" s="13" t="s">
        <v>65</v>
      </c>
      <c r="B2" s="217" t="s">
        <v>304</v>
      </c>
      <c r="C2" s="216"/>
      <c r="D2" s="216"/>
      <c r="E2" s="216"/>
      <c r="F2" s="216"/>
      <c r="G2" s="216"/>
      <c r="H2" s="216"/>
      <c r="I2" s="216"/>
      <c r="J2" s="216"/>
      <c r="Q2" s="213"/>
      <c r="R2" s="213"/>
    </row>
    <row r="3" spans="1:34" customFormat="1" ht="12.75">
      <c r="A3" s="6" t="s">
        <v>77</v>
      </c>
      <c r="B3" s="214" t="s">
        <v>71</v>
      </c>
      <c r="C3" s="65" t="s">
        <v>66</v>
      </c>
      <c r="D3" s="65" t="s">
        <v>72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792"/>
      <c r="AH3" s="792"/>
    </row>
    <row r="4" spans="1:34" ht="12.75">
      <c r="A4" s="13" t="s">
        <v>78</v>
      </c>
      <c r="B4" s="66" t="s">
        <v>118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</row>
    <row r="5" spans="1:34" ht="12.75">
      <c r="A5" s="13" t="s">
        <v>79</v>
      </c>
      <c r="B5" s="14">
        <v>200900304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</row>
    <row r="6" spans="1:34" ht="12.75">
      <c r="A6" s="13" t="s">
        <v>80</v>
      </c>
      <c r="B6" s="530" t="s">
        <v>305</v>
      </c>
      <c r="C6" s="216"/>
      <c r="D6" s="216"/>
      <c r="E6" s="216"/>
      <c r="F6" s="217"/>
      <c r="G6" s="217"/>
      <c r="H6" s="790"/>
      <c r="I6" s="790"/>
      <c r="J6" s="1427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</row>
    <row r="7" spans="1:34" ht="12.75">
      <c r="A7" s="215"/>
      <c r="B7" s="215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</row>
    <row r="8" spans="1:34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1934"/>
      <c r="V8" s="1934" t="s">
        <v>82</v>
      </c>
      <c r="W8" s="1935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417" t="s">
        <v>64</v>
      </c>
    </row>
    <row r="9" spans="1:34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1936"/>
      <c r="V9" s="1937"/>
      <c r="W9" s="1938"/>
      <c r="X9" s="2418"/>
      <c r="Y9" s="2418"/>
      <c r="Z9" s="2418"/>
      <c r="AA9" s="2418"/>
      <c r="AB9" s="2418"/>
    </row>
    <row r="10" spans="1:34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418"/>
    </row>
    <row r="11" spans="1:34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418"/>
    </row>
    <row r="12" spans="1:34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418"/>
      <c r="Y12" s="2418"/>
      <c r="Z12" s="2418"/>
      <c r="AA12" s="2418"/>
      <c r="AB12" s="2418"/>
    </row>
    <row r="13" spans="1:34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</row>
    <row r="14" spans="1:34" ht="12.75">
      <c r="A14" s="1386"/>
      <c r="B14" s="1387"/>
      <c r="C14" s="1751"/>
      <c r="D14" s="1751"/>
      <c r="E14" s="1751"/>
      <c r="F14" s="1751"/>
      <c r="G14" s="886"/>
      <c r="H14" s="886"/>
      <c r="I14" s="1751"/>
      <c r="J14" s="1751"/>
      <c r="K14" s="1751"/>
      <c r="L14" s="1751"/>
      <c r="M14" s="1751"/>
      <c r="N14" s="1751"/>
      <c r="O14" s="1751"/>
      <c r="P14" s="1751"/>
      <c r="Q14" s="1751"/>
      <c r="R14" s="1751"/>
      <c r="S14" s="1751"/>
      <c r="T14" s="1751"/>
      <c r="U14" s="1751"/>
      <c r="V14" s="1751"/>
      <c r="W14" s="1751"/>
      <c r="X14" s="1751"/>
      <c r="Y14" s="1751"/>
      <c r="Z14" s="1751"/>
      <c r="AA14" s="1751"/>
      <c r="AB14" s="1751"/>
    </row>
    <row r="15" spans="1:34" ht="12.75">
      <c r="A15" s="1386"/>
      <c r="B15" s="1387"/>
      <c r="C15" s="502"/>
      <c r="D15" s="502"/>
      <c r="E15" s="502"/>
      <c r="F15" s="502"/>
      <c r="G15" s="500"/>
      <c r="H15" s="500"/>
      <c r="I15" s="502"/>
      <c r="J15" s="502"/>
      <c r="K15" s="502"/>
      <c r="L15" s="502"/>
      <c r="M15" s="502"/>
      <c r="N15" s="502"/>
      <c r="O15" s="502"/>
      <c r="P15" s="502"/>
      <c r="Q15" s="502"/>
      <c r="R15" s="502"/>
      <c r="S15" s="502"/>
      <c r="T15" s="502"/>
      <c r="U15" s="502"/>
      <c r="V15" s="502"/>
      <c r="W15" s="502"/>
      <c r="X15" s="502"/>
      <c r="Y15" s="502"/>
      <c r="Z15" s="502"/>
      <c r="AA15" s="502"/>
      <c r="AB15" s="502"/>
    </row>
    <row r="16" spans="1:34" ht="12.75">
      <c r="A16" s="881">
        <v>1</v>
      </c>
      <c r="B16" s="887" t="s">
        <v>306</v>
      </c>
      <c r="C16" s="502">
        <f>331667*1.2</f>
        <v>398000.39999999997</v>
      </c>
      <c r="D16" s="502">
        <f>331667*1.2</f>
        <v>398000.39999999997</v>
      </c>
      <c r="E16" s="511">
        <v>1</v>
      </c>
      <c r="F16" s="500">
        <f>D16*E16</f>
        <v>398000.39999999997</v>
      </c>
      <c r="G16" s="500">
        <v>193200</v>
      </c>
      <c r="H16" s="500" t="s">
        <v>307</v>
      </c>
      <c r="I16" s="500">
        <f>F16</f>
        <v>398000.39999999997</v>
      </c>
      <c r="J16" s="500"/>
      <c r="K16" s="500"/>
      <c r="L16" s="500">
        <f>I16-J16+K16</f>
        <v>398000.39999999997</v>
      </c>
      <c r="M16" s="500"/>
      <c r="N16" s="500">
        <v>193200</v>
      </c>
      <c r="O16" s="511">
        <f>+P16/D16</f>
        <v>1.0000000000000002</v>
      </c>
      <c r="P16" s="500">
        <v>398000.4</v>
      </c>
      <c r="Q16" s="500">
        <v>1</v>
      </c>
      <c r="R16" s="502">
        <f>+Q16*D16</f>
        <v>398000.39999999997</v>
      </c>
      <c r="S16" s="502">
        <f>P16-R16</f>
        <v>0</v>
      </c>
      <c r="T16" s="502">
        <f>W16-L16</f>
        <v>0</v>
      </c>
      <c r="U16" s="500">
        <f>D16</f>
        <v>398000.39999999997</v>
      </c>
      <c r="V16" s="511">
        <v>1</v>
      </c>
      <c r="W16" s="500">
        <f>U16*V16</f>
        <v>398000.39999999997</v>
      </c>
      <c r="X16" s="500">
        <v>398000.4</v>
      </c>
      <c r="Y16" s="500">
        <v>193200</v>
      </c>
      <c r="Z16" s="500">
        <v>398000.4</v>
      </c>
      <c r="AA16" s="502">
        <v>238800.24</v>
      </c>
      <c r="AB16" s="500">
        <f>F16</f>
        <v>398000.39999999997</v>
      </c>
    </row>
    <row r="17" spans="1:28" ht="12.75">
      <c r="A17" s="881"/>
      <c r="B17" s="816"/>
      <c r="C17" s="502"/>
      <c r="D17" s="500"/>
      <c r="E17" s="511"/>
      <c r="F17" s="500"/>
      <c r="G17" s="500"/>
      <c r="H17" s="500"/>
      <c r="I17" s="500"/>
      <c r="J17" s="500"/>
      <c r="K17" s="500"/>
      <c r="L17" s="500"/>
      <c r="M17" s="500"/>
      <c r="N17" s="500"/>
      <c r="O17" s="511"/>
      <c r="P17" s="500"/>
      <c r="Q17" s="500"/>
      <c r="R17" s="502">
        <f>+Q17*D17</f>
        <v>0</v>
      </c>
      <c r="S17" s="502"/>
      <c r="T17" s="1939"/>
      <c r="U17" s="502"/>
      <c r="V17" s="511"/>
      <c r="W17" s="500"/>
      <c r="X17" s="500"/>
      <c r="Y17" s="500"/>
      <c r="Z17" s="500"/>
      <c r="AA17" s="502"/>
      <c r="AB17" s="500"/>
    </row>
    <row r="18" spans="1:28" ht="22.5">
      <c r="A18" s="815">
        <v>2</v>
      </c>
      <c r="B18" s="814" t="s">
        <v>308</v>
      </c>
      <c r="C18" s="502">
        <f>331667*1.2</f>
        <v>398000.39999999997</v>
      </c>
      <c r="D18" s="502">
        <f>331667*1.2</f>
        <v>398000.39999999997</v>
      </c>
      <c r="E18" s="511">
        <v>1</v>
      </c>
      <c r="F18" s="500">
        <f>D18*E18</f>
        <v>398000.39999999997</v>
      </c>
      <c r="G18" s="500"/>
      <c r="H18" s="500"/>
      <c r="I18" s="500">
        <f>F18</f>
        <v>398000.39999999997</v>
      </c>
      <c r="J18" s="500"/>
      <c r="K18" s="500"/>
      <c r="L18" s="500">
        <f>I18-J18+K18</f>
        <v>398000.39999999997</v>
      </c>
      <c r="M18" s="500"/>
      <c r="N18" s="500"/>
      <c r="O18" s="511">
        <f>+P18/D18</f>
        <v>1.0000000000000002</v>
      </c>
      <c r="P18" s="500">
        <v>398000.4</v>
      </c>
      <c r="Q18" s="500">
        <v>1</v>
      </c>
      <c r="R18" s="502">
        <f>+Q18*D18</f>
        <v>398000.39999999997</v>
      </c>
      <c r="S18" s="502">
        <f>P18-R18</f>
        <v>0</v>
      </c>
      <c r="T18" s="502">
        <f>W18-L18</f>
        <v>0</v>
      </c>
      <c r="U18" s="500">
        <f>D18</f>
        <v>398000.39999999997</v>
      </c>
      <c r="V18" s="511">
        <v>1</v>
      </c>
      <c r="W18" s="500">
        <f>U18*V18</f>
        <v>398000.39999999997</v>
      </c>
      <c r="X18" s="500">
        <v>398000.4</v>
      </c>
      <c r="Y18" s="500"/>
      <c r="Z18" s="500">
        <v>398000.4</v>
      </c>
      <c r="AA18" s="502"/>
      <c r="AB18" s="500">
        <f>F18</f>
        <v>398000.39999999997</v>
      </c>
    </row>
    <row r="19" spans="1:28" ht="12.75">
      <c r="A19" s="1384"/>
      <c r="B19" s="1388"/>
      <c r="C19" s="502"/>
      <c r="D19" s="502"/>
      <c r="E19" s="511"/>
      <c r="F19" s="500">
        <f>D19*E19</f>
        <v>0</v>
      </c>
      <c r="G19" s="500"/>
      <c r="H19" s="500"/>
      <c r="I19" s="500">
        <v>0</v>
      </c>
      <c r="J19" s="500"/>
      <c r="K19" s="500"/>
      <c r="L19" s="500"/>
      <c r="M19" s="500"/>
      <c r="N19" s="500"/>
      <c r="O19" s="511"/>
      <c r="P19" s="500">
        <v>0</v>
      </c>
      <c r="Q19" s="500"/>
      <c r="R19" s="502">
        <f>+Q19*D19</f>
        <v>0</v>
      </c>
      <c r="S19" s="502">
        <f>P19-R19</f>
        <v>0</v>
      </c>
      <c r="T19" s="1940"/>
      <c r="U19" s="500"/>
      <c r="V19" s="511"/>
      <c r="W19" s="500"/>
      <c r="X19" s="500"/>
      <c r="Y19" s="500"/>
      <c r="Z19" s="500">
        <v>0</v>
      </c>
      <c r="AA19" s="502"/>
      <c r="AB19" s="500"/>
    </row>
    <row r="20" spans="1:28">
      <c r="A20" s="815">
        <v>3</v>
      </c>
      <c r="B20" s="814" t="s">
        <v>309</v>
      </c>
      <c r="C20" s="502">
        <f>165833*1.2</f>
        <v>198999.6</v>
      </c>
      <c r="D20" s="502">
        <f>165833*1.2</f>
        <v>198999.6</v>
      </c>
      <c r="E20" s="511">
        <v>1</v>
      </c>
      <c r="F20" s="500">
        <f>D20*E20</f>
        <v>198999.6</v>
      </c>
      <c r="G20" s="500"/>
      <c r="H20" s="500"/>
      <c r="I20" s="500">
        <f>W20</f>
        <v>198999.6</v>
      </c>
      <c r="J20" s="500"/>
      <c r="K20" s="500"/>
      <c r="L20" s="500">
        <f>I20-J20+K20</f>
        <v>198999.6</v>
      </c>
      <c r="M20" s="500"/>
      <c r="N20" s="500"/>
      <c r="O20" s="511">
        <v>1</v>
      </c>
      <c r="P20" s="500">
        <f>O20*I20</f>
        <v>198999.6</v>
      </c>
      <c r="Q20" s="500">
        <v>0.6</v>
      </c>
      <c r="R20" s="502">
        <f>+Q20*D20</f>
        <v>119399.76</v>
      </c>
      <c r="S20" s="502">
        <f>P20-R20</f>
        <v>79599.840000000011</v>
      </c>
      <c r="T20" s="502">
        <f>W20-L20</f>
        <v>0</v>
      </c>
      <c r="U20" s="500">
        <f>D20</f>
        <v>198999.6</v>
      </c>
      <c r="V20" s="511">
        <v>1</v>
      </c>
      <c r="W20" s="500">
        <f>U20*V20</f>
        <v>198999.6</v>
      </c>
      <c r="X20" s="500">
        <v>198999.6</v>
      </c>
      <c r="Y20" s="500"/>
      <c r="Z20" s="500">
        <v>198999.6</v>
      </c>
      <c r="AA20" s="502"/>
      <c r="AB20" s="500">
        <f>F20</f>
        <v>198999.6</v>
      </c>
    </row>
    <row r="21" spans="1:28" ht="12.75">
      <c r="A21" s="815"/>
      <c r="B21" s="816"/>
      <c r="C21" s="502"/>
      <c r="D21" s="500"/>
      <c r="E21" s="511"/>
      <c r="F21" s="500"/>
      <c r="G21" s="500"/>
      <c r="H21" s="500"/>
      <c r="I21" s="500"/>
      <c r="J21" s="500"/>
      <c r="K21" s="500"/>
      <c r="L21" s="500"/>
      <c r="M21" s="500"/>
      <c r="N21" s="500"/>
      <c r="O21" s="511"/>
      <c r="P21" s="500"/>
      <c r="Q21" s="500"/>
      <c r="R21" s="502"/>
      <c r="S21" s="502"/>
      <c r="T21" s="1940"/>
      <c r="U21" s="797"/>
      <c r="V21" s="511"/>
      <c r="W21" s="500"/>
      <c r="X21" s="500"/>
      <c r="Y21" s="500"/>
      <c r="Z21" s="500"/>
      <c r="AA21" s="502"/>
      <c r="AB21" s="500"/>
    </row>
    <row r="22" spans="1:28" ht="12.75">
      <c r="A22" s="815"/>
      <c r="B22" s="887"/>
      <c r="C22" s="502"/>
      <c r="D22" s="502"/>
      <c r="E22" s="511"/>
      <c r="F22" s="502">
        <f>D22*E22</f>
        <v>0</v>
      </c>
      <c r="G22" s="500"/>
      <c r="H22" s="500"/>
      <c r="I22" s="500"/>
      <c r="J22" s="500"/>
      <c r="K22" s="500"/>
      <c r="L22" s="500">
        <f>I22-J22+K22</f>
        <v>0</v>
      </c>
      <c r="M22" s="500"/>
      <c r="N22" s="500"/>
      <c r="O22" s="511"/>
      <c r="P22" s="500">
        <v>0</v>
      </c>
      <c r="Q22" s="500"/>
      <c r="R22" s="502"/>
      <c r="S22" s="502">
        <f>P22-R22</f>
        <v>0</v>
      </c>
      <c r="T22" s="1940"/>
      <c r="U22" s="797"/>
      <c r="V22" s="511"/>
      <c r="W22" s="500"/>
      <c r="X22" s="500">
        <v>0</v>
      </c>
      <c r="Y22" s="500"/>
      <c r="Z22" s="500">
        <v>0</v>
      </c>
      <c r="AA22" s="502"/>
      <c r="AB22" s="500"/>
    </row>
    <row r="23" spans="1:28" ht="12.75">
      <c r="A23" s="815"/>
      <c r="B23" s="816"/>
      <c r="C23" s="502"/>
      <c r="D23" s="797"/>
      <c r="E23" s="511"/>
      <c r="F23" s="500">
        <f>D23*E23</f>
        <v>0</v>
      </c>
      <c r="G23" s="797"/>
      <c r="H23" s="797"/>
      <c r="I23" s="797"/>
      <c r="J23" s="797"/>
      <c r="K23" s="797"/>
      <c r="L23" s="500">
        <f>I23-J23+K23</f>
        <v>0</v>
      </c>
      <c r="M23" s="797"/>
      <c r="N23" s="797"/>
      <c r="O23" s="511"/>
      <c r="P23" s="500">
        <v>0</v>
      </c>
      <c r="Q23" s="797"/>
      <c r="R23" s="797">
        <v>0</v>
      </c>
      <c r="S23" s="502">
        <f>P23-R23</f>
        <v>0</v>
      </c>
      <c r="T23" s="797"/>
      <c r="U23" s="502"/>
      <c r="V23" s="511"/>
      <c r="W23" s="500"/>
      <c r="X23" s="500">
        <v>0</v>
      </c>
      <c r="Y23" s="797"/>
      <c r="Z23" s="500">
        <v>0</v>
      </c>
      <c r="AA23" s="797">
        <v>0</v>
      </c>
      <c r="AB23" s="500"/>
    </row>
    <row r="24" spans="1:28">
      <c r="A24" s="815"/>
      <c r="B24" s="814"/>
      <c r="C24" s="502"/>
      <c r="D24" s="502"/>
      <c r="E24" s="511"/>
      <c r="F24" s="502"/>
      <c r="G24" s="797"/>
      <c r="H24" s="797"/>
      <c r="I24" s="797"/>
      <c r="J24" s="797"/>
      <c r="K24" s="797"/>
      <c r="L24" s="500">
        <f>I24-J24+K24</f>
        <v>0</v>
      </c>
      <c r="M24" s="797"/>
      <c r="N24" s="797"/>
      <c r="O24" s="511"/>
      <c r="P24" s="500">
        <v>0</v>
      </c>
      <c r="Q24" s="797"/>
      <c r="R24" s="797">
        <v>0</v>
      </c>
      <c r="S24" s="502">
        <f>P24-R24</f>
        <v>0</v>
      </c>
      <c r="T24" s="797"/>
      <c r="U24" s="797"/>
      <c r="V24" s="511"/>
      <c r="W24" s="500"/>
      <c r="X24" s="500">
        <v>0</v>
      </c>
      <c r="Y24" s="797"/>
      <c r="Z24" s="500">
        <v>0</v>
      </c>
      <c r="AA24" s="797">
        <v>0</v>
      </c>
      <c r="AB24" s="500"/>
    </row>
    <row r="25" spans="1:28" ht="12.75">
      <c r="A25" s="815"/>
      <c r="B25" s="816"/>
      <c r="C25" s="502"/>
      <c r="D25" s="797"/>
      <c r="E25" s="511"/>
      <c r="F25" s="500"/>
      <c r="G25" s="797"/>
      <c r="H25" s="797"/>
      <c r="I25" s="797"/>
      <c r="J25" s="797"/>
      <c r="K25" s="797"/>
      <c r="L25" s="500">
        <f>I25-J25+K25</f>
        <v>0</v>
      </c>
      <c r="M25" s="797"/>
      <c r="N25" s="797"/>
      <c r="O25" s="511"/>
      <c r="P25" s="500">
        <v>0</v>
      </c>
      <c r="Q25" s="797"/>
      <c r="R25" s="797"/>
      <c r="S25" s="502">
        <f>P25-R25</f>
        <v>0</v>
      </c>
      <c r="T25" s="797"/>
      <c r="U25" s="500"/>
      <c r="V25" s="511"/>
      <c r="W25" s="500"/>
      <c r="X25" s="500">
        <v>0</v>
      </c>
      <c r="Y25" s="797"/>
      <c r="Z25" s="500">
        <v>0</v>
      </c>
      <c r="AA25" s="797"/>
      <c r="AB25" s="500"/>
    </row>
    <row r="26" spans="1:28" ht="12.75">
      <c r="A26" s="815"/>
      <c r="B26" s="816"/>
      <c r="C26" s="502"/>
      <c r="D26" s="797"/>
      <c r="E26" s="511"/>
      <c r="F26" s="500"/>
      <c r="G26" s="797"/>
      <c r="H26" s="797"/>
      <c r="I26" s="797"/>
      <c r="J26" s="797"/>
      <c r="K26" s="797"/>
      <c r="L26" s="500"/>
      <c r="M26" s="797"/>
      <c r="N26" s="797"/>
      <c r="O26" s="511"/>
      <c r="P26" s="500"/>
      <c r="Q26" s="797"/>
      <c r="R26" s="797"/>
      <c r="S26" s="502"/>
      <c r="T26" s="797"/>
      <c r="U26" s="500"/>
      <c r="V26" s="511"/>
      <c r="W26" s="500"/>
      <c r="X26" s="500"/>
      <c r="Y26" s="797"/>
      <c r="Z26" s="500"/>
      <c r="AA26" s="797"/>
      <c r="AB26" s="500"/>
    </row>
    <row r="27" spans="1:28">
      <c r="A27" s="815"/>
      <c r="B27" s="531"/>
      <c r="C27" s="1941"/>
      <c r="D27" s="1941"/>
      <c r="E27" s="1941"/>
      <c r="F27" s="1941"/>
      <c r="G27" s="1942"/>
      <c r="H27" s="1943"/>
      <c r="I27" s="1942"/>
      <c r="J27" s="1941"/>
      <c r="K27" s="1941"/>
      <c r="L27" s="1942"/>
      <c r="M27" s="797"/>
      <c r="N27" s="797"/>
      <c r="O27" s="797"/>
      <c r="P27" s="797"/>
      <c r="Q27" s="797"/>
      <c r="R27" s="797"/>
      <c r="S27" s="502">
        <f>P27-R27</f>
        <v>0</v>
      </c>
      <c r="T27" s="797"/>
      <c r="U27" s="797"/>
      <c r="V27" s="511"/>
      <c r="W27" s="500"/>
      <c r="X27" s="1942"/>
      <c r="Y27" s="797"/>
      <c r="Z27" s="797"/>
      <c r="AA27" s="797"/>
      <c r="AB27" s="1942"/>
    </row>
    <row r="28" spans="1:28">
      <c r="A28" s="815"/>
      <c r="B28" s="531"/>
      <c r="C28" s="1941"/>
      <c r="D28" s="1941"/>
      <c r="E28" s="1941"/>
      <c r="F28" s="1941"/>
      <c r="G28" s="1941"/>
      <c r="H28" s="1941"/>
      <c r="I28" s="1941"/>
      <c r="J28" s="1941"/>
      <c r="K28" s="1941"/>
      <c r="L28" s="1919"/>
      <c r="M28" s="797"/>
      <c r="N28" s="797"/>
      <c r="O28" s="797"/>
      <c r="P28" s="797"/>
      <c r="Q28" s="797"/>
      <c r="R28" s="797"/>
      <c r="S28" s="797"/>
      <c r="T28" s="797"/>
      <c r="U28" s="797"/>
      <c r="V28" s="511"/>
      <c r="W28" s="500"/>
      <c r="X28" s="1919"/>
      <c r="Y28" s="797"/>
      <c r="Z28" s="797"/>
      <c r="AA28" s="797"/>
      <c r="AB28" s="1919"/>
    </row>
    <row r="29" spans="1:28">
      <c r="A29" s="815"/>
      <c r="B29" s="531"/>
      <c r="C29" s="1389"/>
      <c r="D29" s="1389"/>
      <c r="E29" s="1389"/>
      <c r="F29" s="1941"/>
      <c r="G29" s="1389"/>
      <c r="H29" s="1389"/>
      <c r="I29" s="1389"/>
      <c r="J29" s="1389"/>
      <c r="K29" s="1389"/>
      <c r="L29" s="1919"/>
      <c r="M29" s="797"/>
      <c r="N29" s="797"/>
      <c r="O29" s="797"/>
      <c r="P29" s="797"/>
      <c r="Q29" s="797"/>
      <c r="R29" s="797"/>
      <c r="S29" s="797"/>
      <c r="T29" s="797"/>
      <c r="U29" s="500"/>
      <c r="V29" s="511"/>
      <c r="W29" s="500"/>
      <c r="X29" s="1919"/>
      <c r="Y29" s="797"/>
      <c r="Z29" s="797"/>
      <c r="AA29" s="797"/>
      <c r="AB29" s="1919"/>
    </row>
    <row r="30" spans="1:28">
      <c r="A30" s="815"/>
      <c r="B30" s="531"/>
      <c r="C30" s="1389"/>
      <c r="D30" s="1389"/>
      <c r="E30" s="1389"/>
      <c r="F30" s="1941"/>
      <c r="G30" s="1389"/>
      <c r="H30" s="1389"/>
      <c r="I30" s="1389"/>
      <c r="J30" s="1389"/>
      <c r="K30" s="1389"/>
      <c r="L30" s="1919"/>
      <c r="M30" s="797"/>
      <c r="N30" s="797"/>
      <c r="O30" s="797"/>
      <c r="P30" s="797"/>
      <c r="Q30" s="797"/>
      <c r="R30" s="797"/>
      <c r="S30" s="797"/>
      <c r="T30" s="797"/>
      <c r="U30" s="797"/>
      <c r="V30" s="511"/>
      <c r="W30" s="500"/>
      <c r="X30" s="1919"/>
      <c r="Y30" s="797"/>
      <c r="Z30" s="797"/>
      <c r="AA30" s="797"/>
      <c r="AB30" s="1919"/>
    </row>
    <row r="31" spans="1:28">
      <c r="A31" s="815"/>
      <c r="B31" s="531"/>
      <c r="C31" s="1389"/>
      <c r="D31" s="1389"/>
      <c r="E31" s="1389"/>
      <c r="F31" s="1389"/>
      <c r="G31" s="1389"/>
      <c r="H31" s="1389"/>
      <c r="I31" s="1389"/>
      <c r="J31" s="1944"/>
      <c r="K31" s="1389"/>
      <c r="L31" s="1919"/>
      <c r="M31" s="797"/>
      <c r="N31" s="797"/>
      <c r="O31" s="797"/>
      <c r="P31" s="797"/>
      <c r="Q31" s="797"/>
      <c r="R31" s="797"/>
      <c r="S31" s="797"/>
      <c r="T31" s="797"/>
      <c r="U31" s="797"/>
      <c r="V31" s="511"/>
      <c r="W31" s="500"/>
      <c r="X31" s="1919"/>
      <c r="Y31" s="797"/>
      <c r="Z31" s="797"/>
      <c r="AA31" s="797"/>
      <c r="AB31" s="1919"/>
    </row>
    <row r="32" spans="1:28" ht="12.75">
      <c r="A32" s="815"/>
      <c r="B32" s="811"/>
      <c r="C32" s="502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797"/>
      <c r="U32" s="797"/>
      <c r="V32" s="511"/>
      <c r="W32" s="500"/>
      <c r="X32" s="500"/>
      <c r="Y32" s="797"/>
      <c r="Z32" s="797"/>
      <c r="AA32" s="797"/>
      <c r="AB32" s="500"/>
    </row>
    <row r="33" spans="1:28" ht="12.75">
      <c r="A33" s="815"/>
      <c r="B33" s="811"/>
      <c r="C33" s="502"/>
      <c r="D33" s="797"/>
      <c r="E33" s="511"/>
      <c r="F33" s="500">
        <f>D33*E33</f>
        <v>0</v>
      </c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797"/>
      <c r="U33" s="797"/>
      <c r="V33" s="511"/>
      <c r="W33" s="500"/>
      <c r="X33" s="500"/>
      <c r="Y33" s="797"/>
      <c r="Z33" s="797"/>
      <c r="AA33" s="797"/>
      <c r="AB33" s="500"/>
    </row>
    <row r="34" spans="1:28" ht="12.75">
      <c r="A34" s="815"/>
      <c r="B34" s="811"/>
      <c r="C34" s="502"/>
      <c r="D34" s="797"/>
      <c r="E34" s="511"/>
      <c r="F34" s="500">
        <f>D34*E34</f>
        <v>0</v>
      </c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797"/>
      <c r="U34" s="797"/>
      <c r="V34" s="511"/>
      <c r="W34" s="500"/>
      <c r="X34" s="500"/>
      <c r="Y34" s="797"/>
      <c r="Z34" s="797"/>
      <c r="AA34" s="797"/>
      <c r="AB34" s="500"/>
    </row>
    <row r="35" spans="1:28" ht="12.75">
      <c r="A35" s="815"/>
      <c r="B35" s="811"/>
      <c r="C35" s="502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797"/>
      <c r="U35" s="797"/>
      <c r="V35" s="511"/>
      <c r="W35" s="500"/>
      <c r="X35" s="500"/>
      <c r="Y35" s="797"/>
      <c r="Z35" s="797"/>
      <c r="AA35" s="797"/>
      <c r="AB35" s="500"/>
    </row>
    <row r="36" spans="1:28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797"/>
      <c r="U36" s="797"/>
      <c r="V36" s="511"/>
      <c r="W36" s="500"/>
      <c r="X36" s="500"/>
      <c r="Y36" s="797"/>
      <c r="Z36" s="797"/>
      <c r="AA36" s="797"/>
      <c r="AB36" s="500"/>
    </row>
    <row r="37" spans="1:28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797"/>
      <c r="T37" s="797"/>
      <c r="U37" s="797"/>
      <c r="V37" s="511"/>
      <c r="W37" s="500"/>
      <c r="X37" s="500"/>
      <c r="Y37" s="797"/>
      <c r="Z37" s="797"/>
      <c r="AA37" s="797"/>
      <c r="AB37" s="500"/>
    </row>
    <row r="38" spans="1:28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797"/>
      <c r="U38" s="797"/>
      <c r="V38" s="511"/>
      <c r="W38" s="500"/>
      <c r="X38" s="500"/>
      <c r="Y38" s="797"/>
      <c r="Z38" s="797"/>
      <c r="AA38" s="797"/>
      <c r="AB38" s="500"/>
    </row>
    <row r="39" spans="1:28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797"/>
      <c r="U39" s="797"/>
      <c r="V39" s="511"/>
      <c r="W39" s="500"/>
      <c r="X39" s="500"/>
      <c r="Y39" s="797"/>
      <c r="Z39" s="797"/>
      <c r="AA39" s="797"/>
      <c r="AB39" s="500"/>
    </row>
    <row r="40" spans="1:28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797"/>
      <c r="U40" s="797"/>
      <c r="V40" s="511"/>
      <c r="W40" s="500"/>
      <c r="X40" s="500"/>
      <c r="Y40" s="797"/>
      <c r="Z40" s="797"/>
      <c r="AA40" s="797"/>
      <c r="AB40" s="500"/>
    </row>
    <row r="41" spans="1:28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797"/>
      <c r="U41" s="797"/>
      <c r="V41" s="511"/>
      <c r="W41" s="500"/>
      <c r="X41" s="500"/>
      <c r="Y41" s="797"/>
      <c r="Z41" s="797"/>
      <c r="AA41" s="797"/>
      <c r="AB41" s="500"/>
    </row>
    <row r="42" spans="1:28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797"/>
      <c r="U42" s="797"/>
      <c r="V42" s="511"/>
      <c r="W42" s="500"/>
      <c r="X42" s="500"/>
      <c r="Y42" s="797"/>
      <c r="Z42" s="797"/>
      <c r="AA42" s="797"/>
      <c r="AB42" s="500"/>
    </row>
    <row r="43" spans="1:28" ht="12.75">
      <c r="A43" s="815"/>
      <c r="B43" s="811"/>
      <c r="C43" s="797"/>
      <c r="D43" s="797"/>
      <c r="E43" s="511"/>
      <c r="F43" s="500"/>
      <c r="G43" s="797"/>
      <c r="H43" s="797"/>
      <c r="I43" s="797"/>
      <c r="J43" s="797"/>
      <c r="K43" s="797"/>
      <c r="L43" s="500"/>
      <c r="M43" s="797"/>
      <c r="N43" s="797"/>
      <c r="O43" s="797"/>
      <c r="P43" s="797"/>
      <c r="Q43" s="797"/>
      <c r="R43" s="797"/>
      <c r="S43" s="797"/>
      <c r="T43" s="797"/>
      <c r="U43" s="797"/>
      <c r="V43" s="511"/>
      <c r="W43" s="500"/>
      <c r="X43" s="500"/>
      <c r="Y43" s="797"/>
      <c r="Z43" s="797"/>
      <c r="AA43" s="797"/>
      <c r="AB43" s="500"/>
    </row>
    <row r="44" spans="1:28" ht="12.75">
      <c r="A44" s="815"/>
      <c r="B44" s="811"/>
      <c r="C44" s="797"/>
      <c r="D44" s="797"/>
      <c r="E44" s="511"/>
      <c r="F44" s="500"/>
      <c r="G44" s="797"/>
      <c r="H44" s="797"/>
      <c r="I44" s="797"/>
      <c r="J44" s="797"/>
      <c r="K44" s="797"/>
      <c r="L44" s="500"/>
      <c r="M44" s="797"/>
      <c r="N44" s="797"/>
      <c r="O44" s="797"/>
      <c r="P44" s="797"/>
      <c r="Q44" s="797"/>
      <c r="R44" s="797"/>
      <c r="S44" s="797"/>
      <c r="T44" s="797"/>
      <c r="U44" s="797"/>
      <c r="V44" s="511"/>
      <c r="W44" s="500"/>
      <c r="X44" s="500"/>
      <c r="Y44" s="797"/>
      <c r="Z44" s="797"/>
      <c r="AA44" s="797"/>
      <c r="AB44" s="500"/>
    </row>
    <row r="45" spans="1:28" ht="12.75">
      <c r="A45" s="815"/>
      <c r="B45" s="811"/>
      <c r="C45" s="797"/>
      <c r="D45" s="797"/>
      <c r="E45" s="511"/>
      <c r="F45" s="500"/>
      <c r="G45" s="797"/>
      <c r="H45" s="797"/>
      <c r="I45" s="797"/>
      <c r="J45" s="797"/>
      <c r="K45" s="797"/>
      <c r="L45" s="500"/>
      <c r="M45" s="797"/>
      <c r="N45" s="797"/>
      <c r="O45" s="797"/>
      <c r="P45" s="797"/>
      <c r="Q45" s="797"/>
      <c r="R45" s="797"/>
      <c r="S45" s="797"/>
      <c r="T45" s="797"/>
      <c r="U45" s="797"/>
      <c r="V45" s="511"/>
      <c r="W45" s="797"/>
      <c r="X45" s="500"/>
      <c r="Y45" s="797"/>
      <c r="Z45" s="797"/>
      <c r="AA45" s="797"/>
      <c r="AB45" s="500"/>
    </row>
    <row r="46" spans="1:28" ht="12.75">
      <c r="A46" s="815"/>
      <c r="B46" s="811"/>
      <c r="C46" s="797"/>
      <c r="D46" s="797"/>
      <c r="E46" s="511"/>
      <c r="F46" s="500"/>
      <c r="G46" s="797"/>
      <c r="H46" s="797"/>
      <c r="I46" s="797"/>
      <c r="J46" s="797"/>
      <c r="K46" s="797"/>
      <c r="L46" s="500"/>
      <c r="M46" s="797"/>
      <c r="N46" s="797"/>
      <c r="O46" s="797"/>
      <c r="P46" s="797"/>
      <c r="Q46" s="797"/>
      <c r="R46" s="797"/>
      <c r="S46" s="797"/>
      <c r="T46" s="797"/>
      <c r="U46" s="797"/>
      <c r="V46" s="511"/>
      <c r="W46" s="797"/>
      <c r="X46" s="500"/>
      <c r="Y46" s="797"/>
      <c r="Z46" s="797"/>
      <c r="AA46" s="797"/>
      <c r="AB46" s="500"/>
    </row>
    <row r="47" spans="1:28" ht="12.75">
      <c r="A47" s="815"/>
      <c r="B47" s="811"/>
      <c r="C47" s="797"/>
      <c r="D47" s="797"/>
      <c r="E47" s="511"/>
      <c r="F47" s="500"/>
      <c r="G47" s="797"/>
      <c r="H47" s="797"/>
      <c r="I47" s="797"/>
      <c r="J47" s="797"/>
      <c r="K47" s="797"/>
      <c r="L47" s="500"/>
      <c r="M47" s="797"/>
      <c r="N47" s="797"/>
      <c r="O47" s="797"/>
      <c r="P47" s="797"/>
      <c r="Q47" s="797"/>
      <c r="R47" s="797"/>
      <c r="S47" s="797"/>
      <c r="T47" s="797"/>
      <c r="U47" s="797"/>
      <c r="V47" s="511"/>
      <c r="W47" s="797"/>
      <c r="X47" s="500"/>
      <c r="Y47" s="797"/>
      <c r="Z47" s="797"/>
      <c r="AA47" s="797"/>
      <c r="AB47" s="500"/>
    </row>
    <row r="48" spans="1:28" ht="12.75">
      <c r="A48" s="815"/>
      <c r="B48" s="811"/>
      <c r="C48" s="797"/>
      <c r="D48" s="797"/>
      <c r="E48" s="511"/>
      <c r="F48" s="500"/>
      <c r="G48" s="797"/>
      <c r="H48" s="797"/>
      <c r="I48" s="797"/>
      <c r="J48" s="797"/>
      <c r="K48" s="797"/>
      <c r="L48" s="500"/>
      <c r="M48" s="797"/>
      <c r="N48" s="797"/>
      <c r="O48" s="797"/>
      <c r="P48" s="797"/>
      <c r="Q48" s="797"/>
      <c r="R48" s="797"/>
      <c r="S48" s="797"/>
      <c r="T48" s="797"/>
      <c r="U48" s="797"/>
      <c r="V48" s="511"/>
      <c r="W48" s="797"/>
      <c r="X48" s="500"/>
      <c r="Y48" s="797"/>
      <c r="Z48" s="797"/>
      <c r="AA48" s="797"/>
      <c r="AB48" s="500"/>
    </row>
    <row r="49" spans="1:28" ht="12.75">
      <c r="A49" s="815"/>
      <c r="B49" s="811"/>
      <c r="C49" s="797"/>
      <c r="D49" s="797"/>
      <c r="E49" s="511"/>
      <c r="F49" s="500"/>
      <c r="G49" s="797"/>
      <c r="H49" s="797"/>
      <c r="I49" s="797"/>
      <c r="J49" s="797"/>
      <c r="K49" s="797"/>
      <c r="L49" s="500"/>
      <c r="M49" s="797"/>
      <c r="N49" s="797"/>
      <c r="O49" s="797"/>
      <c r="P49" s="797"/>
      <c r="Q49" s="797"/>
      <c r="R49" s="797"/>
      <c r="S49" s="797"/>
      <c r="T49" s="797"/>
      <c r="U49" s="797"/>
      <c r="V49" s="511"/>
      <c r="W49" s="797"/>
      <c r="X49" s="500"/>
      <c r="Y49" s="797"/>
      <c r="Z49" s="797"/>
      <c r="AA49" s="797"/>
      <c r="AB49" s="500"/>
    </row>
    <row r="50" spans="1:28" ht="12.75">
      <c r="A50" s="815"/>
      <c r="B50" s="811"/>
      <c r="C50" s="797"/>
      <c r="D50" s="797"/>
      <c r="E50" s="511"/>
      <c r="F50" s="500"/>
      <c r="G50" s="797"/>
      <c r="H50" s="797"/>
      <c r="I50" s="797"/>
      <c r="J50" s="797"/>
      <c r="K50" s="797"/>
      <c r="L50" s="500"/>
      <c r="M50" s="797"/>
      <c r="N50" s="797"/>
      <c r="O50" s="797"/>
      <c r="P50" s="797"/>
      <c r="Q50" s="797"/>
      <c r="R50" s="797"/>
      <c r="S50" s="797"/>
      <c r="T50" s="797"/>
      <c r="U50" s="797"/>
      <c r="V50" s="511"/>
      <c r="W50" s="797"/>
      <c r="X50" s="500"/>
      <c r="Y50" s="797"/>
      <c r="Z50" s="797"/>
      <c r="AA50" s="797"/>
      <c r="AB50" s="500"/>
    </row>
    <row r="51" spans="1:28" ht="12.75">
      <c r="A51" s="815"/>
      <c r="B51" s="811"/>
      <c r="C51" s="797"/>
      <c r="D51" s="797"/>
      <c r="E51" s="511"/>
      <c r="F51" s="500"/>
      <c r="G51" s="797"/>
      <c r="H51" s="797"/>
      <c r="I51" s="797"/>
      <c r="J51" s="797"/>
      <c r="K51" s="797"/>
      <c r="L51" s="500"/>
      <c r="M51" s="797"/>
      <c r="N51" s="797"/>
      <c r="O51" s="797"/>
      <c r="P51" s="797"/>
      <c r="Q51" s="797"/>
      <c r="R51" s="797"/>
      <c r="S51" s="797"/>
      <c r="T51" s="797"/>
      <c r="U51" s="797"/>
      <c r="V51" s="511"/>
      <c r="W51" s="797"/>
      <c r="X51" s="500"/>
      <c r="Y51" s="797"/>
      <c r="Z51" s="797"/>
      <c r="AA51" s="797"/>
      <c r="AB51" s="500"/>
    </row>
    <row r="52" spans="1:28" ht="12.75">
      <c r="A52" s="815"/>
      <c r="B52" s="811"/>
      <c r="C52" s="797"/>
      <c r="D52" s="797"/>
      <c r="E52" s="511"/>
      <c r="F52" s="500"/>
      <c r="G52" s="797"/>
      <c r="H52" s="797"/>
      <c r="I52" s="797"/>
      <c r="J52" s="797"/>
      <c r="K52" s="797"/>
      <c r="L52" s="500"/>
      <c r="M52" s="797"/>
      <c r="N52" s="797"/>
      <c r="O52" s="797"/>
      <c r="P52" s="797"/>
      <c r="Q52" s="797"/>
      <c r="R52" s="797"/>
      <c r="S52" s="797"/>
      <c r="T52" s="797"/>
      <c r="U52" s="797"/>
      <c r="V52" s="797"/>
      <c r="W52" s="797"/>
      <c r="X52" s="500"/>
      <c r="Y52" s="797"/>
      <c r="Z52" s="797"/>
      <c r="AA52" s="797"/>
      <c r="AB52" s="500"/>
    </row>
    <row r="53" spans="1:28" ht="12.75">
      <c r="A53" s="815"/>
      <c r="B53" s="811"/>
      <c r="C53" s="797"/>
      <c r="D53" s="797"/>
      <c r="E53" s="511"/>
      <c r="F53" s="500"/>
      <c r="G53" s="797"/>
      <c r="H53" s="797"/>
      <c r="I53" s="797"/>
      <c r="J53" s="797"/>
      <c r="K53" s="797"/>
      <c r="L53" s="500"/>
      <c r="M53" s="797"/>
      <c r="N53" s="797"/>
      <c r="O53" s="797"/>
      <c r="P53" s="797"/>
      <c r="Q53" s="797"/>
      <c r="R53" s="797"/>
      <c r="S53" s="797"/>
      <c r="T53" s="797"/>
      <c r="U53" s="797"/>
      <c r="V53" s="511"/>
      <c r="W53" s="797"/>
      <c r="X53" s="500"/>
      <c r="Y53" s="797"/>
      <c r="Z53" s="797"/>
      <c r="AA53" s="797"/>
      <c r="AB53" s="500"/>
    </row>
    <row r="54" spans="1:28">
      <c r="A54" s="815"/>
      <c r="B54" s="814"/>
      <c r="C54" s="797"/>
      <c r="D54" s="797"/>
      <c r="E54" s="511"/>
      <c r="F54" s="797"/>
      <c r="G54" s="797"/>
      <c r="H54" s="797"/>
      <c r="I54" s="797"/>
      <c r="J54" s="797"/>
      <c r="K54" s="797"/>
      <c r="L54" s="797"/>
      <c r="M54" s="797"/>
      <c r="N54" s="797"/>
      <c r="O54" s="797"/>
      <c r="P54" s="797">
        <v>0</v>
      </c>
      <c r="Q54" s="797"/>
      <c r="R54" s="797">
        <v>0</v>
      </c>
      <c r="S54" s="797">
        <f>R54-P54</f>
        <v>0</v>
      </c>
      <c r="T54" s="797"/>
      <c r="U54" s="500"/>
      <c r="V54" s="511"/>
      <c r="W54" s="797"/>
      <c r="X54" s="797"/>
      <c r="Y54" s="797"/>
      <c r="Z54" s="797">
        <v>0</v>
      </c>
      <c r="AA54" s="797">
        <v>0</v>
      </c>
      <c r="AB54" s="797"/>
    </row>
    <row r="55" spans="1:28">
      <c r="A55" s="815"/>
      <c r="B55" s="814"/>
      <c r="C55" s="797"/>
      <c r="D55" s="797"/>
      <c r="E55" s="511"/>
      <c r="F55" s="797"/>
      <c r="G55" s="797"/>
      <c r="H55" s="797"/>
      <c r="I55" s="797"/>
      <c r="J55" s="797"/>
      <c r="K55" s="797"/>
      <c r="L55" s="797"/>
      <c r="M55" s="797"/>
      <c r="N55" s="797"/>
      <c r="O55" s="797"/>
      <c r="P55" s="797">
        <v>0</v>
      </c>
      <c r="Q55" s="797"/>
      <c r="R55" s="797">
        <v>0</v>
      </c>
      <c r="S55" s="797">
        <f>R55-P55</f>
        <v>0</v>
      </c>
      <c r="T55" s="797"/>
      <c r="U55" s="500"/>
      <c r="V55" s="500"/>
      <c r="W55" s="797"/>
      <c r="X55" s="797"/>
      <c r="Y55" s="797"/>
      <c r="Z55" s="797">
        <v>0</v>
      </c>
      <c r="AA55" s="797">
        <v>0</v>
      </c>
      <c r="AB55" s="797"/>
    </row>
    <row r="56" spans="1:28">
      <c r="A56" s="821"/>
      <c r="B56" s="817"/>
      <c r="C56" s="797"/>
      <c r="D56" s="797"/>
      <c r="E56" s="511"/>
      <c r="F56" s="797"/>
      <c r="G56" s="797"/>
      <c r="H56" s="797"/>
      <c r="I56" s="797"/>
      <c r="J56" s="797"/>
      <c r="K56" s="797"/>
      <c r="L56" s="797"/>
      <c r="M56" s="797"/>
      <c r="N56" s="797"/>
      <c r="O56" s="797"/>
      <c r="P56" s="797"/>
      <c r="Q56" s="797"/>
      <c r="R56" s="797"/>
      <c r="S56" s="797"/>
      <c r="T56" s="797"/>
      <c r="U56" s="500"/>
      <c r="V56" s="500"/>
      <c r="W56" s="797"/>
      <c r="X56" s="797"/>
      <c r="Y56" s="797"/>
      <c r="Z56" s="797"/>
      <c r="AA56" s="797"/>
      <c r="AB56" s="797"/>
    </row>
    <row r="57" spans="1:28" ht="12.75">
      <c r="A57" s="41"/>
      <c r="B57" s="42" t="s">
        <v>17</v>
      </c>
      <c r="C57" s="892">
        <f t="shared" ref="C57:Y57" si="0">SUM(C15:C56)</f>
        <v>995000.39999999991</v>
      </c>
      <c r="D57" s="892">
        <f t="shared" si="0"/>
        <v>995000.39999999991</v>
      </c>
      <c r="E57" s="892">
        <f t="shared" si="0"/>
        <v>3</v>
      </c>
      <c r="F57" s="892">
        <f t="shared" si="0"/>
        <v>995000.39999999991</v>
      </c>
      <c r="G57" s="892">
        <f t="shared" si="0"/>
        <v>193200</v>
      </c>
      <c r="H57" s="892">
        <f t="shared" si="0"/>
        <v>0</v>
      </c>
      <c r="I57" s="892">
        <f t="shared" si="0"/>
        <v>995000.39999999991</v>
      </c>
      <c r="J57" s="892">
        <f t="shared" si="0"/>
        <v>0</v>
      </c>
      <c r="K57" s="892">
        <f t="shared" si="0"/>
        <v>0</v>
      </c>
      <c r="L57" s="892">
        <f t="shared" si="0"/>
        <v>995000.39999999991</v>
      </c>
      <c r="M57" s="892">
        <f t="shared" si="0"/>
        <v>0</v>
      </c>
      <c r="N57" s="892">
        <f t="shared" si="0"/>
        <v>193200</v>
      </c>
      <c r="O57" s="892">
        <f t="shared" si="0"/>
        <v>3.0000000000000004</v>
      </c>
      <c r="P57" s="892">
        <f t="shared" si="0"/>
        <v>995000.4</v>
      </c>
      <c r="Q57" s="892">
        <f t="shared" si="0"/>
        <v>2.6</v>
      </c>
      <c r="R57" s="892">
        <f t="shared" si="0"/>
        <v>915400.55999999994</v>
      </c>
      <c r="S57" s="892">
        <f t="shared" si="0"/>
        <v>79599.840000000011</v>
      </c>
      <c r="T57" s="893">
        <f>W57-L57</f>
        <v>0</v>
      </c>
      <c r="U57" s="892">
        <f t="shared" si="0"/>
        <v>995000.39999999991</v>
      </c>
      <c r="V57" s="892">
        <f t="shared" si="0"/>
        <v>3</v>
      </c>
      <c r="W57" s="892">
        <f t="shared" si="0"/>
        <v>995000.39999999991</v>
      </c>
      <c r="X57" s="892">
        <f t="shared" si="0"/>
        <v>995000.4</v>
      </c>
      <c r="Y57" s="892">
        <f t="shared" si="0"/>
        <v>193200</v>
      </c>
      <c r="Z57" s="892">
        <v>995000.4</v>
      </c>
      <c r="AA57" s="892">
        <f>SUM(AA15:AA56)</f>
        <v>238800.24</v>
      </c>
      <c r="AB57" s="892">
        <f>SUM(AB15:AB56)</f>
        <v>995000.39999999991</v>
      </c>
    </row>
    <row r="58" spans="1:28">
      <c r="A58" s="43"/>
      <c r="B58" s="44"/>
      <c r="C58" s="1945"/>
      <c r="F58" s="1769"/>
      <c r="G58" s="1769"/>
      <c r="H58" s="1769"/>
      <c r="I58" s="1769"/>
      <c r="J58" s="1769"/>
      <c r="K58" s="1769"/>
      <c r="L58" s="1769"/>
      <c r="M58" s="1769"/>
      <c r="N58" s="1769"/>
      <c r="P58" s="1769"/>
      <c r="Q58" s="213"/>
      <c r="R58" s="213"/>
      <c r="W58" s="1769"/>
      <c r="X58" s="532"/>
    </row>
    <row r="59" spans="1:28">
      <c r="A59" s="43"/>
      <c r="B59" s="44"/>
      <c r="F59" s="1769"/>
      <c r="G59" s="1769"/>
      <c r="H59" s="1769"/>
      <c r="I59" s="1769"/>
      <c r="J59" s="1769"/>
      <c r="K59" s="1769"/>
      <c r="L59" s="1769"/>
      <c r="M59" s="1769"/>
      <c r="N59" s="1769"/>
      <c r="P59" s="1769"/>
      <c r="Q59" s="213"/>
      <c r="R59" s="213"/>
      <c r="W59" s="1769"/>
    </row>
    <row r="60" spans="1:28">
      <c r="F60" s="1769"/>
      <c r="P60" s="213">
        <v>995000.4</v>
      </c>
      <c r="Q60" s="788">
        <v>238800.24</v>
      </c>
      <c r="R60" s="213"/>
      <c r="W60" s="1769"/>
    </row>
    <row r="61" spans="1:28">
      <c r="F61" s="1769"/>
      <c r="R61" s="213"/>
      <c r="W61" s="1769"/>
    </row>
    <row r="62" spans="1:28">
      <c r="R62" s="213"/>
    </row>
    <row r="63" spans="1:28">
      <c r="A63" s="10" t="s">
        <v>59</v>
      </c>
      <c r="F63" s="1769"/>
      <c r="W63" s="1769"/>
    </row>
  </sheetData>
  <mergeCells count="6">
    <mergeCell ref="Y8:Y12"/>
    <mergeCell ref="AB8:AB12"/>
    <mergeCell ref="E1:F1"/>
    <mergeCell ref="X8:X12"/>
    <mergeCell ref="AA8:AA12"/>
    <mergeCell ref="Z8:Z12"/>
  </mergeCells>
  <phoneticPr fontId="0" type="noConversion"/>
  <conditionalFormatting sqref="O2:R13 AD2:IV65536 AC57:AC65536 AC2:AC13 X2:AA13 S2:W56 X14:Y15 X19:Y56 AB2:AB56 A2:B65536 I19:N56 C58:AB65536 C2:H56 I2:N15">
    <cfRule type="cellIs" dxfId="8" priority="1" stopIfTrue="1" operator="equal">
      <formula>0</formula>
    </cfRule>
  </conditionalFormatting>
  <pageMargins left="0.17" right="0.16" top="0.43" bottom="0.984251969" header="0.4921259845" footer="0.4921259845"/>
  <pageSetup paperSize="9" scale="60" orientation="landscape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H77"/>
  <sheetViews>
    <sheetView showGridLines="0" showZeros="0" topLeftCell="M1" workbookViewId="0">
      <selection activeCell="Z17" sqref="Z17:Z18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s="12" customFormat="1" ht="12.75">
      <c r="A2" s="13" t="s">
        <v>65</v>
      </c>
      <c r="B2" s="2456" t="s">
        <v>357</v>
      </c>
      <c r="C2" s="2456"/>
      <c r="D2" s="2456"/>
      <c r="E2" s="2456"/>
      <c r="F2" s="2456"/>
      <c r="G2" s="2456"/>
      <c r="H2" s="2456"/>
      <c r="I2" s="2456"/>
      <c r="J2" s="216"/>
      <c r="K2" s="216"/>
      <c r="L2" s="216"/>
      <c r="M2" s="216"/>
      <c r="N2" s="216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8"/>
      <c r="AF2" s="788"/>
      <c r="AG2" s="788"/>
      <c r="AH2" s="787"/>
    </row>
    <row r="3" spans="1:34" ht="12.75">
      <c r="A3" s="6" t="s">
        <v>70</v>
      </c>
      <c r="B3" s="7" t="s">
        <v>71</v>
      </c>
      <c r="C3" s="65" t="s">
        <v>66</v>
      </c>
      <c r="D3" s="65" t="s">
        <v>72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</row>
    <row r="4" spans="1:34" s="12" customFormat="1" ht="12.75">
      <c r="A4" s="13" t="s">
        <v>73</v>
      </c>
      <c r="B4" s="14" t="s">
        <v>358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8"/>
      <c r="AF4" s="788"/>
      <c r="AG4" s="788"/>
      <c r="AH4" s="787"/>
    </row>
    <row r="5" spans="1:34" s="12" customFormat="1" ht="12" customHeight="1">
      <c r="A5" s="13" t="s">
        <v>74</v>
      </c>
      <c r="B5" s="14">
        <v>200900225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8"/>
      <c r="AF5" s="788"/>
      <c r="AG5" s="788"/>
      <c r="AH5" s="787"/>
    </row>
    <row r="6" spans="1:34" s="12" customFormat="1" ht="12.75">
      <c r="A6" s="13" t="s">
        <v>75</v>
      </c>
      <c r="B6" s="14"/>
      <c r="C6" s="216"/>
      <c r="D6" s="216"/>
      <c r="E6" s="216"/>
      <c r="F6" s="217"/>
      <c r="G6" s="217"/>
      <c r="H6" s="790"/>
      <c r="I6" s="790"/>
      <c r="J6" s="1427"/>
      <c r="K6" s="789"/>
      <c r="L6" s="789"/>
      <c r="M6" s="789"/>
      <c r="N6" s="789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8"/>
      <c r="AF6" s="788"/>
      <c r="AG6" s="788"/>
      <c r="AH6" s="787"/>
    </row>
    <row r="7" spans="1:34" s="12" customFormat="1" ht="12.75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  <c r="X7" s="212"/>
      <c r="Y7" s="212"/>
      <c r="Z7" s="212"/>
      <c r="AA7" s="212"/>
      <c r="AB7" s="212"/>
      <c r="AC7" s="788"/>
      <c r="AD7" s="788"/>
      <c r="AE7" s="788"/>
      <c r="AF7" s="788"/>
      <c r="AG7" s="788"/>
      <c r="AH7" s="787"/>
    </row>
    <row r="8" spans="1:34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8"/>
      <c r="AF8" s="788"/>
      <c r="AG8" s="788"/>
      <c r="AH8" s="787"/>
    </row>
    <row r="9" spans="1:34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8"/>
      <c r="AF9" s="788"/>
      <c r="AG9" s="788"/>
      <c r="AH9" s="787"/>
    </row>
    <row r="10" spans="1:34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8"/>
      <c r="AF10" s="788"/>
      <c r="AG10" s="788"/>
      <c r="AH10" s="787"/>
    </row>
    <row r="11" spans="1:34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8"/>
      <c r="AF11" s="788"/>
      <c r="AG11" s="788"/>
      <c r="AH11" s="787"/>
    </row>
    <row r="12" spans="1:34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8"/>
      <c r="AF12" s="788"/>
      <c r="AG12" s="788"/>
      <c r="AH12" s="787"/>
    </row>
    <row r="13" spans="1:34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8"/>
      <c r="AF13" s="788"/>
      <c r="AG13" s="788"/>
      <c r="AH13" s="787"/>
    </row>
    <row r="14" spans="1:34" s="12" customFormat="1" ht="12.75">
      <c r="A14" s="1386"/>
      <c r="B14" s="1387"/>
      <c r="C14" s="1751"/>
      <c r="D14" s="1751"/>
      <c r="E14" s="1751"/>
      <c r="F14" s="1751"/>
      <c r="G14" s="886"/>
      <c r="H14" s="886"/>
      <c r="I14" s="1751"/>
      <c r="J14" s="1751"/>
      <c r="K14" s="1751"/>
      <c r="L14" s="1751"/>
      <c r="M14" s="1751"/>
      <c r="N14" s="1751"/>
      <c r="O14" s="1751"/>
      <c r="P14" s="1751"/>
      <c r="Q14" s="1751"/>
      <c r="R14" s="1751"/>
      <c r="S14" s="1751"/>
      <c r="T14" s="1751"/>
      <c r="U14" s="1751"/>
      <c r="V14" s="1751"/>
      <c r="W14" s="1751"/>
      <c r="X14" s="1751"/>
      <c r="Y14" s="1751"/>
      <c r="Z14" s="1751"/>
      <c r="AA14" s="1751"/>
      <c r="AB14" s="824"/>
      <c r="AC14" s="788"/>
      <c r="AD14" s="788"/>
      <c r="AE14" s="788"/>
      <c r="AF14" s="788"/>
      <c r="AG14" s="788"/>
      <c r="AH14" s="787"/>
    </row>
    <row r="15" spans="1:34" s="12" customFormat="1" ht="12.75">
      <c r="A15" s="1386"/>
      <c r="B15" s="1387"/>
      <c r="C15" s="1751"/>
      <c r="D15" s="1751"/>
      <c r="E15" s="1751"/>
      <c r="F15" s="1751"/>
      <c r="G15" s="886"/>
      <c r="H15" s="886"/>
      <c r="I15" s="1751"/>
      <c r="J15" s="1751"/>
      <c r="K15" s="1751"/>
      <c r="L15" s="1751"/>
      <c r="M15" s="1751"/>
      <c r="N15" s="1751"/>
      <c r="O15" s="1751"/>
      <c r="P15" s="1751"/>
      <c r="Q15" s="1751"/>
      <c r="R15" s="1751"/>
      <c r="S15" s="1751"/>
      <c r="T15" s="1751"/>
      <c r="U15" s="1751"/>
      <c r="V15" s="1751"/>
      <c r="W15" s="1751"/>
      <c r="X15" s="1751"/>
      <c r="Y15" s="1751"/>
      <c r="Z15" s="1751"/>
      <c r="AA15" s="1751"/>
      <c r="AB15" s="824"/>
      <c r="AC15" s="788"/>
      <c r="AD15" s="788"/>
      <c r="AE15" s="788"/>
      <c r="AF15" s="788"/>
      <c r="AG15" s="788"/>
      <c r="AH15" s="787"/>
    </row>
    <row r="16" spans="1:34" s="12" customFormat="1" ht="12.75">
      <c r="A16" s="881"/>
      <c r="B16" s="887"/>
      <c r="C16" s="502"/>
      <c r="D16" s="502"/>
      <c r="E16" s="511"/>
      <c r="F16" s="500"/>
      <c r="G16" s="500"/>
      <c r="H16" s="500"/>
      <c r="I16" s="500"/>
      <c r="J16" s="500"/>
      <c r="K16" s="500"/>
      <c r="L16" s="500"/>
      <c r="M16" s="500"/>
      <c r="N16" s="500"/>
      <c r="O16" s="511"/>
      <c r="P16" s="500"/>
      <c r="Q16" s="502"/>
      <c r="R16" s="502"/>
      <c r="S16" s="502"/>
      <c r="T16" s="502"/>
      <c r="U16" s="502"/>
      <c r="V16" s="511"/>
      <c r="W16" s="500"/>
      <c r="X16" s="500"/>
      <c r="Y16" s="500"/>
      <c r="Z16" s="500"/>
      <c r="AA16" s="502"/>
      <c r="AB16" s="891"/>
      <c r="AC16" s="788"/>
      <c r="AD16" s="788"/>
      <c r="AE16" s="788"/>
      <c r="AF16" s="788"/>
      <c r="AG16" s="788"/>
      <c r="AH16" s="787"/>
    </row>
    <row r="17" spans="1:34" s="12" customFormat="1" ht="12.75">
      <c r="A17" s="881">
        <v>1</v>
      </c>
      <c r="B17" s="887" t="s">
        <v>359</v>
      </c>
      <c r="C17" s="502">
        <v>200000</v>
      </c>
      <c r="D17" s="502">
        <v>200000</v>
      </c>
      <c r="E17" s="511">
        <v>1</v>
      </c>
      <c r="F17" s="500">
        <f>D17*E17</f>
        <v>200000</v>
      </c>
      <c r="G17" s="500"/>
      <c r="H17" s="500"/>
      <c r="I17" s="500">
        <f>+W17</f>
        <v>200000</v>
      </c>
      <c r="J17" s="500"/>
      <c r="K17" s="500"/>
      <c r="L17" s="500">
        <f>I17-J17+K17</f>
        <v>200000</v>
      </c>
      <c r="M17" s="500"/>
      <c r="N17" s="500"/>
      <c r="O17" s="511">
        <v>1</v>
      </c>
      <c r="P17" s="500">
        <v>200000</v>
      </c>
      <c r="Q17" s="500">
        <v>0.5</v>
      </c>
      <c r="R17" s="502">
        <v>200000</v>
      </c>
      <c r="S17" s="502">
        <f>+P17-R17</f>
        <v>0</v>
      </c>
      <c r="T17" s="502">
        <f t="shared" ref="T17:T49" si="0">W17-L17</f>
        <v>0</v>
      </c>
      <c r="U17" s="502">
        <f>D17</f>
        <v>200000</v>
      </c>
      <c r="V17" s="511">
        <v>1</v>
      </c>
      <c r="W17" s="500">
        <f>U17*V17</f>
        <v>200000</v>
      </c>
      <c r="X17" s="500">
        <v>200000</v>
      </c>
      <c r="Y17" s="500"/>
      <c r="Z17" s="500">
        <v>200000</v>
      </c>
      <c r="AA17" s="502">
        <v>100000</v>
      </c>
      <c r="AB17" s="500">
        <v>200000</v>
      </c>
      <c r="AC17" s="788"/>
      <c r="AD17" s="788"/>
      <c r="AE17" s="788"/>
      <c r="AF17" s="788"/>
      <c r="AG17" s="788"/>
      <c r="AH17" s="787"/>
    </row>
    <row r="18" spans="1:34" s="12" customFormat="1" ht="33.75">
      <c r="A18" s="815">
        <v>2</v>
      </c>
      <c r="B18" s="887" t="s">
        <v>360</v>
      </c>
      <c r="C18" s="500">
        <v>400000</v>
      </c>
      <c r="D18" s="500">
        <v>400000</v>
      </c>
      <c r="E18" s="511">
        <v>1</v>
      </c>
      <c r="F18" s="500">
        <f>D18*E18</f>
        <v>400000</v>
      </c>
      <c r="G18" s="500"/>
      <c r="H18" s="500"/>
      <c r="I18" s="500">
        <f>+W18</f>
        <v>400000</v>
      </c>
      <c r="J18" s="500"/>
      <c r="K18" s="500"/>
      <c r="L18" s="500">
        <f>I18-J18+K18</f>
        <v>400000</v>
      </c>
      <c r="M18" s="500"/>
      <c r="N18" s="500"/>
      <c r="O18" s="511">
        <v>1</v>
      </c>
      <c r="P18" s="500">
        <v>400000</v>
      </c>
      <c r="Q18" s="500">
        <v>0.5</v>
      </c>
      <c r="R18" s="502">
        <v>400000</v>
      </c>
      <c r="S18" s="502">
        <f>+P18-R18</f>
        <v>0</v>
      </c>
      <c r="T18" s="502">
        <f t="shared" si="0"/>
        <v>0</v>
      </c>
      <c r="U18" s="500">
        <f>D18</f>
        <v>400000</v>
      </c>
      <c r="V18" s="511">
        <v>1</v>
      </c>
      <c r="W18" s="500">
        <f>U18*V18</f>
        <v>400000</v>
      </c>
      <c r="X18" s="500">
        <v>400000</v>
      </c>
      <c r="Y18" s="500"/>
      <c r="Z18" s="500">
        <v>400000</v>
      </c>
      <c r="AA18" s="502">
        <v>200000</v>
      </c>
      <c r="AB18" s="500">
        <v>400000</v>
      </c>
      <c r="AC18" s="788"/>
      <c r="AD18" s="788"/>
      <c r="AE18" s="788"/>
      <c r="AF18" s="788"/>
      <c r="AG18" s="788"/>
      <c r="AH18" s="787"/>
    </row>
    <row r="19" spans="1:34" s="12" customFormat="1" ht="12.75">
      <c r="A19" s="815"/>
      <c r="B19" s="816"/>
      <c r="C19" s="502"/>
      <c r="D19" s="797"/>
      <c r="E19" s="511"/>
      <c r="F19" s="500"/>
      <c r="G19" s="500"/>
      <c r="H19" s="500"/>
      <c r="I19" s="500"/>
      <c r="J19" s="500"/>
      <c r="K19" s="500"/>
      <c r="L19" s="500"/>
      <c r="M19" s="500"/>
      <c r="N19" s="500"/>
      <c r="O19" s="511"/>
      <c r="P19" s="500"/>
      <c r="Q19" s="500"/>
      <c r="R19" s="502"/>
      <c r="S19" s="502"/>
      <c r="T19" s="502">
        <f t="shared" si="0"/>
        <v>0</v>
      </c>
      <c r="U19" s="797"/>
      <c r="V19" s="511"/>
      <c r="W19" s="500"/>
      <c r="X19" s="500"/>
      <c r="Y19" s="500"/>
      <c r="Z19" s="500"/>
      <c r="AA19" s="502"/>
      <c r="AB19" s="891"/>
      <c r="AC19" s="788"/>
      <c r="AD19" s="788"/>
      <c r="AE19" s="788"/>
      <c r="AF19" s="788"/>
      <c r="AG19" s="788"/>
      <c r="AH19" s="787"/>
    </row>
    <row r="20" spans="1:34" s="12" customFormat="1">
      <c r="A20" s="815"/>
      <c r="B20" s="817"/>
      <c r="C20" s="502"/>
      <c r="D20" s="797"/>
      <c r="E20" s="511"/>
      <c r="F20" s="500"/>
      <c r="G20" s="797"/>
      <c r="H20" s="797"/>
      <c r="I20" s="500"/>
      <c r="J20" s="797"/>
      <c r="K20" s="797"/>
      <c r="L20" s="500"/>
      <c r="M20" s="797"/>
      <c r="N20" s="797"/>
      <c r="O20" s="511"/>
      <c r="P20" s="500"/>
      <c r="Q20" s="797"/>
      <c r="R20" s="797"/>
      <c r="S20" s="502"/>
      <c r="T20" s="502">
        <f t="shared" si="0"/>
        <v>0</v>
      </c>
      <c r="U20" s="797"/>
      <c r="V20" s="511"/>
      <c r="W20" s="500"/>
      <c r="X20" s="500"/>
      <c r="Y20" s="797"/>
      <c r="Z20" s="500"/>
      <c r="AA20" s="797"/>
      <c r="AB20" s="891"/>
      <c r="AC20" s="788"/>
      <c r="AD20" s="788"/>
      <c r="AE20" s="788"/>
      <c r="AF20" s="788"/>
      <c r="AG20" s="788"/>
      <c r="AH20" s="787"/>
    </row>
    <row r="21" spans="1:34" s="12" customFormat="1" ht="12.75" customHeight="1">
      <c r="A21" s="815"/>
      <c r="B21" s="814"/>
      <c r="C21" s="502"/>
      <c r="D21" s="502"/>
      <c r="E21" s="511"/>
      <c r="F21" s="500"/>
      <c r="G21" s="797"/>
      <c r="H21" s="797"/>
      <c r="I21" s="797"/>
      <c r="J21" s="797"/>
      <c r="K21" s="797"/>
      <c r="L21" s="500"/>
      <c r="M21" s="797"/>
      <c r="N21" s="797"/>
      <c r="O21" s="511"/>
      <c r="P21" s="500"/>
      <c r="Q21" s="797"/>
      <c r="R21" s="797"/>
      <c r="S21" s="502"/>
      <c r="T21" s="502">
        <f t="shared" si="0"/>
        <v>0</v>
      </c>
      <c r="U21" s="502"/>
      <c r="V21" s="511"/>
      <c r="W21" s="500"/>
      <c r="X21" s="500"/>
      <c r="Y21" s="797"/>
      <c r="Z21" s="500"/>
      <c r="AA21" s="797"/>
      <c r="AB21" s="891"/>
      <c r="AC21" s="788"/>
      <c r="AD21" s="788"/>
      <c r="AE21" s="788"/>
      <c r="AF21" s="788"/>
      <c r="AG21" s="788"/>
      <c r="AH21" s="787"/>
    </row>
    <row r="22" spans="1:34" s="12" customFormat="1" ht="12.75">
      <c r="A22" s="815"/>
      <c r="B22" s="816"/>
      <c r="C22" s="502"/>
      <c r="D22" s="797"/>
      <c r="E22" s="511"/>
      <c r="F22" s="500"/>
      <c r="G22" s="797"/>
      <c r="H22" s="797"/>
      <c r="I22" s="797"/>
      <c r="J22" s="797"/>
      <c r="K22" s="797"/>
      <c r="L22" s="500"/>
      <c r="M22" s="797"/>
      <c r="N22" s="797"/>
      <c r="O22" s="511"/>
      <c r="P22" s="500"/>
      <c r="Q22" s="797"/>
      <c r="R22" s="797"/>
      <c r="S22" s="502"/>
      <c r="T22" s="502">
        <f t="shared" si="0"/>
        <v>0</v>
      </c>
      <c r="U22" s="797"/>
      <c r="V22" s="511"/>
      <c r="W22" s="500"/>
      <c r="X22" s="500"/>
      <c r="Y22" s="797"/>
      <c r="Z22" s="500"/>
      <c r="AA22" s="797"/>
      <c r="AB22" s="891"/>
      <c r="AC22" s="788"/>
      <c r="AD22" s="788"/>
      <c r="AE22" s="788"/>
      <c r="AF22" s="788"/>
      <c r="AG22" s="788"/>
      <c r="AH22" s="787"/>
    </row>
    <row r="23" spans="1:34" s="12" customFormat="1" ht="12.75">
      <c r="A23" s="815"/>
      <c r="B23" s="887"/>
      <c r="C23" s="502"/>
      <c r="D23" s="797"/>
      <c r="E23" s="511"/>
      <c r="F23" s="500"/>
      <c r="G23" s="797"/>
      <c r="H23" s="797"/>
      <c r="I23" s="797"/>
      <c r="J23" s="797"/>
      <c r="K23" s="797"/>
      <c r="L23" s="500"/>
      <c r="M23" s="797"/>
      <c r="N23" s="797"/>
      <c r="O23" s="797"/>
      <c r="P23" s="797"/>
      <c r="Q23" s="797"/>
      <c r="R23" s="797"/>
      <c r="S23" s="502"/>
      <c r="T23" s="502">
        <f t="shared" si="0"/>
        <v>0</v>
      </c>
      <c r="U23" s="797"/>
      <c r="V23" s="511"/>
      <c r="W23" s="500"/>
      <c r="X23" s="500"/>
      <c r="Y23" s="797"/>
      <c r="Z23" s="797"/>
      <c r="AA23" s="797"/>
      <c r="AB23" s="891"/>
      <c r="AC23" s="788"/>
      <c r="AD23" s="788"/>
      <c r="AE23" s="788"/>
      <c r="AF23" s="788"/>
      <c r="AG23" s="788"/>
      <c r="AH23" s="787"/>
    </row>
    <row r="24" spans="1:34" s="12" customFormat="1" ht="12.75">
      <c r="A24" s="815"/>
      <c r="B24" s="811"/>
      <c r="C24" s="502"/>
      <c r="D24" s="797"/>
      <c r="E24" s="511"/>
      <c r="F24" s="500"/>
      <c r="G24" s="797"/>
      <c r="H24" s="797"/>
      <c r="I24" s="797"/>
      <c r="J24" s="797"/>
      <c r="K24" s="797"/>
      <c r="L24" s="500"/>
      <c r="M24" s="797"/>
      <c r="N24" s="797"/>
      <c r="O24" s="797"/>
      <c r="P24" s="797"/>
      <c r="Q24" s="797"/>
      <c r="R24" s="797"/>
      <c r="S24" s="797"/>
      <c r="T24" s="502">
        <f t="shared" si="0"/>
        <v>0</v>
      </c>
      <c r="U24" s="797"/>
      <c r="V24" s="511"/>
      <c r="W24" s="500"/>
      <c r="X24" s="500"/>
      <c r="Y24" s="797"/>
      <c r="Z24" s="797"/>
      <c r="AA24" s="797"/>
      <c r="AB24" s="891"/>
      <c r="AC24" s="788"/>
      <c r="AD24" s="788"/>
      <c r="AE24" s="788"/>
      <c r="AF24" s="788"/>
      <c r="AG24" s="788"/>
      <c r="AH24" s="787"/>
    </row>
    <row r="25" spans="1:34" s="12" customFormat="1" ht="12.75">
      <c r="A25" s="815"/>
      <c r="B25" s="811"/>
      <c r="C25" s="502"/>
      <c r="D25" s="797"/>
      <c r="E25" s="511"/>
      <c r="F25" s="500"/>
      <c r="G25" s="797"/>
      <c r="H25" s="797"/>
      <c r="I25" s="797"/>
      <c r="J25" s="797"/>
      <c r="K25" s="797"/>
      <c r="L25" s="500"/>
      <c r="M25" s="797"/>
      <c r="N25" s="797"/>
      <c r="O25" s="797"/>
      <c r="P25" s="797"/>
      <c r="Q25" s="797"/>
      <c r="R25" s="797"/>
      <c r="S25" s="797"/>
      <c r="T25" s="502">
        <f t="shared" si="0"/>
        <v>0</v>
      </c>
      <c r="U25" s="797"/>
      <c r="V25" s="511"/>
      <c r="W25" s="500"/>
      <c r="X25" s="500"/>
      <c r="Y25" s="797"/>
      <c r="Z25" s="797"/>
      <c r="AA25" s="797"/>
      <c r="AB25" s="891"/>
      <c r="AC25" s="788"/>
      <c r="AD25" s="788"/>
      <c r="AE25" s="788"/>
      <c r="AF25" s="788"/>
      <c r="AG25" s="788"/>
      <c r="AH25" s="787"/>
    </row>
    <row r="26" spans="1:34" s="12" customFormat="1" ht="12.75">
      <c r="A26" s="815"/>
      <c r="B26" s="811"/>
      <c r="C26" s="502"/>
      <c r="D26" s="797"/>
      <c r="E26" s="511"/>
      <c r="F26" s="500"/>
      <c r="G26" s="797"/>
      <c r="H26" s="797"/>
      <c r="I26" s="797"/>
      <c r="J26" s="797"/>
      <c r="K26" s="797"/>
      <c r="L26" s="500"/>
      <c r="M26" s="797"/>
      <c r="N26" s="797"/>
      <c r="O26" s="797"/>
      <c r="P26" s="797"/>
      <c r="Q26" s="797"/>
      <c r="R26" s="797"/>
      <c r="S26" s="797"/>
      <c r="T26" s="502">
        <f t="shared" si="0"/>
        <v>0</v>
      </c>
      <c r="U26" s="797"/>
      <c r="V26" s="511"/>
      <c r="W26" s="500"/>
      <c r="X26" s="500"/>
      <c r="Y26" s="797"/>
      <c r="Z26" s="797"/>
      <c r="AA26" s="797"/>
      <c r="AB26" s="891"/>
      <c r="AC26" s="788"/>
      <c r="AD26" s="788"/>
      <c r="AE26" s="788"/>
      <c r="AF26" s="788"/>
      <c r="AG26" s="788"/>
      <c r="AH26" s="787"/>
    </row>
    <row r="27" spans="1:34" s="12" customFormat="1" ht="12.75">
      <c r="A27" s="815"/>
      <c r="B27" s="811"/>
      <c r="C27" s="502"/>
      <c r="D27" s="797"/>
      <c r="E27" s="511"/>
      <c r="F27" s="500"/>
      <c r="G27" s="797"/>
      <c r="H27" s="797"/>
      <c r="I27" s="797"/>
      <c r="J27" s="797"/>
      <c r="K27" s="797"/>
      <c r="L27" s="500"/>
      <c r="M27" s="797"/>
      <c r="N27" s="797"/>
      <c r="O27" s="797"/>
      <c r="P27" s="797"/>
      <c r="Q27" s="797"/>
      <c r="R27" s="797"/>
      <c r="S27" s="797"/>
      <c r="T27" s="502">
        <f t="shared" si="0"/>
        <v>0</v>
      </c>
      <c r="U27" s="797"/>
      <c r="V27" s="511"/>
      <c r="W27" s="500"/>
      <c r="X27" s="500"/>
      <c r="Y27" s="797"/>
      <c r="Z27" s="797"/>
      <c r="AA27" s="797"/>
      <c r="AB27" s="891"/>
      <c r="AC27" s="788"/>
      <c r="AD27" s="788"/>
      <c r="AE27" s="788"/>
      <c r="AF27" s="788"/>
      <c r="AG27" s="788"/>
      <c r="AH27" s="787"/>
    </row>
    <row r="28" spans="1:34" s="12" customFormat="1" ht="12.75">
      <c r="A28" s="815"/>
      <c r="B28" s="811"/>
      <c r="C28" s="797"/>
      <c r="D28" s="797"/>
      <c r="E28" s="511"/>
      <c r="F28" s="500"/>
      <c r="G28" s="797"/>
      <c r="H28" s="797"/>
      <c r="I28" s="797"/>
      <c r="J28" s="797"/>
      <c r="K28" s="797"/>
      <c r="L28" s="500"/>
      <c r="M28" s="797"/>
      <c r="N28" s="797"/>
      <c r="O28" s="797"/>
      <c r="P28" s="797"/>
      <c r="Q28" s="797"/>
      <c r="R28" s="797"/>
      <c r="S28" s="797"/>
      <c r="T28" s="502">
        <f t="shared" si="0"/>
        <v>0</v>
      </c>
      <c r="U28" s="797"/>
      <c r="V28" s="511"/>
      <c r="W28" s="500"/>
      <c r="X28" s="500"/>
      <c r="Y28" s="797"/>
      <c r="Z28" s="797"/>
      <c r="AA28" s="797"/>
      <c r="AB28" s="891"/>
      <c r="AC28" s="788"/>
      <c r="AD28" s="788"/>
      <c r="AE28" s="788"/>
      <c r="AF28" s="788"/>
      <c r="AG28" s="788"/>
      <c r="AH28" s="787"/>
    </row>
    <row r="29" spans="1:34" s="12" customFormat="1" ht="12.75">
      <c r="A29" s="815"/>
      <c r="B29" s="811"/>
      <c r="C29" s="797"/>
      <c r="D29" s="797"/>
      <c r="E29" s="511"/>
      <c r="F29" s="500"/>
      <c r="G29" s="797"/>
      <c r="H29" s="797"/>
      <c r="I29" s="797"/>
      <c r="J29" s="797"/>
      <c r="K29" s="797"/>
      <c r="L29" s="500"/>
      <c r="M29" s="797"/>
      <c r="N29" s="797"/>
      <c r="O29" s="797"/>
      <c r="P29" s="797"/>
      <c r="Q29" s="797"/>
      <c r="R29" s="797"/>
      <c r="S29" s="797"/>
      <c r="T29" s="502">
        <f t="shared" si="0"/>
        <v>0</v>
      </c>
      <c r="U29" s="797"/>
      <c r="V29" s="511"/>
      <c r="W29" s="500"/>
      <c r="X29" s="500"/>
      <c r="Y29" s="797"/>
      <c r="Z29" s="797"/>
      <c r="AA29" s="797"/>
      <c r="AB29" s="891"/>
      <c r="AC29" s="788"/>
      <c r="AD29" s="788"/>
      <c r="AE29" s="788"/>
      <c r="AF29" s="788"/>
      <c r="AG29" s="788"/>
      <c r="AH29" s="787"/>
    </row>
    <row r="30" spans="1:34" s="12" customFormat="1" ht="12.75">
      <c r="A30" s="815"/>
      <c r="B30" s="811"/>
      <c r="C30" s="797"/>
      <c r="D30" s="797"/>
      <c r="E30" s="511"/>
      <c r="F30" s="500"/>
      <c r="G30" s="797"/>
      <c r="H30" s="797"/>
      <c r="I30" s="797"/>
      <c r="J30" s="797"/>
      <c r="K30" s="797"/>
      <c r="L30" s="500"/>
      <c r="M30" s="797"/>
      <c r="N30" s="797"/>
      <c r="O30" s="797"/>
      <c r="P30" s="797"/>
      <c r="Q30" s="797"/>
      <c r="R30" s="797"/>
      <c r="S30" s="797"/>
      <c r="T30" s="502">
        <f t="shared" si="0"/>
        <v>0</v>
      </c>
      <c r="U30" s="797"/>
      <c r="V30" s="511"/>
      <c r="W30" s="500"/>
      <c r="X30" s="500"/>
      <c r="Y30" s="797"/>
      <c r="Z30" s="797"/>
      <c r="AA30" s="797"/>
      <c r="AB30" s="889"/>
      <c r="AC30" s="788"/>
      <c r="AD30" s="788"/>
      <c r="AE30" s="788"/>
      <c r="AF30" s="788"/>
      <c r="AG30" s="788"/>
      <c r="AH30" s="787"/>
    </row>
    <row r="31" spans="1:34" s="12" customFormat="1" ht="12.75">
      <c r="A31" s="815"/>
      <c r="B31" s="811"/>
      <c r="C31" s="797"/>
      <c r="D31" s="797"/>
      <c r="E31" s="511"/>
      <c r="F31" s="500"/>
      <c r="G31" s="797"/>
      <c r="H31" s="797"/>
      <c r="I31" s="797"/>
      <c r="J31" s="797"/>
      <c r="K31" s="797"/>
      <c r="L31" s="500"/>
      <c r="M31" s="797"/>
      <c r="N31" s="797"/>
      <c r="O31" s="797"/>
      <c r="P31" s="797"/>
      <c r="Q31" s="797"/>
      <c r="R31" s="797"/>
      <c r="S31" s="797"/>
      <c r="T31" s="502">
        <f t="shared" si="0"/>
        <v>0</v>
      </c>
      <c r="U31" s="797"/>
      <c r="V31" s="511"/>
      <c r="W31" s="500"/>
      <c r="X31" s="500"/>
      <c r="Y31" s="797"/>
      <c r="Z31" s="797"/>
      <c r="AA31" s="797"/>
      <c r="AB31" s="889"/>
      <c r="AC31" s="788"/>
      <c r="AD31" s="788"/>
      <c r="AE31" s="788"/>
      <c r="AF31" s="788"/>
      <c r="AG31" s="788"/>
      <c r="AH31" s="787"/>
    </row>
    <row r="32" spans="1:34" s="12" customFormat="1" ht="12.75">
      <c r="A32" s="815"/>
      <c r="B32" s="811"/>
      <c r="C32" s="797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502">
        <f t="shared" si="0"/>
        <v>0</v>
      </c>
      <c r="U32" s="797"/>
      <c r="V32" s="511"/>
      <c r="W32" s="500"/>
      <c r="X32" s="500"/>
      <c r="Y32" s="797"/>
      <c r="Z32" s="797"/>
      <c r="AA32" s="797"/>
      <c r="AB32" s="891"/>
      <c r="AC32" s="788"/>
      <c r="AD32" s="788"/>
      <c r="AE32" s="788"/>
      <c r="AF32" s="788"/>
      <c r="AG32" s="788"/>
      <c r="AH32" s="787"/>
    </row>
    <row r="33" spans="1:34" s="12" customFormat="1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502">
        <f t="shared" si="0"/>
        <v>0</v>
      </c>
      <c r="U33" s="797"/>
      <c r="V33" s="511"/>
      <c r="W33" s="500"/>
      <c r="X33" s="500"/>
      <c r="Y33" s="797"/>
      <c r="Z33" s="797"/>
      <c r="AA33" s="797"/>
      <c r="AB33" s="891"/>
      <c r="AC33" s="788"/>
      <c r="AD33" s="788"/>
      <c r="AE33" s="788"/>
      <c r="AF33" s="788"/>
      <c r="AG33" s="788"/>
      <c r="AH33" s="787"/>
    </row>
    <row r="34" spans="1:34" s="12" customFormat="1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502">
        <f t="shared" si="0"/>
        <v>0</v>
      </c>
      <c r="U34" s="797"/>
      <c r="V34" s="511"/>
      <c r="W34" s="500"/>
      <c r="X34" s="500"/>
      <c r="Y34" s="797"/>
      <c r="Z34" s="797"/>
      <c r="AA34" s="797"/>
      <c r="AB34" s="891"/>
      <c r="AC34" s="788"/>
      <c r="AD34" s="788"/>
      <c r="AE34" s="788"/>
      <c r="AF34" s="788"/>
      <c r="AG34" s="788"/>
      <c r="AH34" s="787"/>
    </row>
    <row r="35" spans="1:34" s="12" customFormat="1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502">
        <f t="shared" si="0"/>
        <v>0</v>
      </c>
      <c r="U35" s="797"/>
      <c r="V35" s="511"/>
      <c r="W35" s="500"/>
      <c r="X35" s="500"/>
      <c r="Y35" s="797"/>
      <c r="Z35" s="797"/>
      <c r="AA35" s="797"/>
      <c r="AB35" s="891"/>
      <c r="AC35" s="788"/>
      <c r="AD35" s="788"/>
      <c r="AE35" s="788"/>
      <c r="AF35" s="788"/>
      <c r="AG35" s="788"/>
      <c r="AH35" s="787"/>
    </row>
    <row r="36" spans="1:34" s="12" customFormat="1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502">
        <f t="shared" si="0"/>
        <v>0</v>
      </c>
      <c r="U36" s="797"/>
      <c r="V36" s="511"/>
      <c r="W36" s="500"/>
      <c r="X36" s="500"/>
      <c r="Y36" s="797"/>
      <c r="Z36" s="797"/>
      <c r="AA36" s="797"/>
      <c r="AB36" s="891"/>
      <c r="AC36" s="788"/>
      <c r="AD36" s="788"/>
      <c r="AE36" s="788"/>
      <c r="AF36" s="788"/>
      <c r="AG36" s="788"/>
      <c r="AH36" s="787"/>
    </row>
    <row r="37" spans="1:34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797"/>
      <c r="T37" s="502">
        <f t="shared" si="0"/>
        <v>0</v>
      </c>
      <c r="U37" s="797"/>
      <c r="V37" s="511"/>
      <c r="W37" s="500"/>
      <c r="X37" s="500"/>
      <c r="Y37" s="797"/>
      <c r="Z37" s="797"/>
      <c r="AA37" s="797"/>
      <c r="AB37" s="891"/>
      <c r="AC37" s="788"/>
      <c r="AD37" s="788"/>
      <c r="AE37" s="788"/>
      <c r="AF37" s="788"/>
      <c r="AG37" s="788"/>
      <c r="AH37" s="787"/>
    </row>
    <row r="38" spans="1:34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502">
        <f t="shared" si="0"/>
        <v>0</v>
      </c>
      <c r="U38" s="797"/>
      <c r="V38" s="511"/>
      <c r="W38" s="500"/>
      <c r="X38" s="500"/>
      <c r="Y38" s="797"/>
      <c r="Z38" s="797"/>
      <c r="AA38" s="797"/>
      <c r="AB38" s="891"/>
      <c r="AC38" s="788"/>
      <c r="AD38" s="788"/>
      <c r="AE38" s="788"/>
      <c r="AF38" s="788"/>
      <c r="AG38" s="788"/>
      <c r="AH38" s="787"/>
    </row>
    <row r="39" spans="1:34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502">
        <f t="shared" si="0"/>
        <v>0</v>
      </c>
      <c r="U39" s="797"/>
      <c r="V39" s="511"/>
      <c r="W39" s="500"/>
      <c r="X39" s="500"/>
      <c r="Y39" s="797"/>
      <c r="Z39" s="797"/>
      <c r="AA39" s="797"/>
      <c r="AB39" s="891"/>
      <c r="AC39" s="788"/>
      <c r="AD39" s="788"/>
      <c r="AE39" s="788"/>
      <c r="AF39" s="788"/>
      <c r="AG39" s="788"/>
      <c r="AH39" s="787"/>
    </row>
    <row r="40" spans="1:34" s="12" customFormat="1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502">
        <f t="shared" si="0"/>
        <v>0</v>
      </c>
      <c r="U40" s="797"/>
      <c r="V40" s="511"/>
      <c r="W40" s="500"/>
      <c r="X40" s="500"/>
      <c r="Y40" s="797"/>
      <c r="Z40" s="797"/>
      <c r="AA40" s="797"/>
      <c r="AB40" s="891"/>
      <c r="AC40" s="788"/>
      <c r="AD40" s="788"/>
      <c r="AE40" s="788"/>
      <c r="AF40" s="788"/>
      <c r="AG40" s="788"/>
      <c r="AH40" s="787"/>
    </row>
    <row r="41" spans="1:34" s="12" customFormat="1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502">
        <f t="shared" si="0"/>
        <v>0</v>
      </c>
      <c r="U41" s="797"/>
      <c r="V41" s="511"/>
      <c r="W41" s="500"/>
      <c r="X41" s="500"/>
      <c r="Y41" s="797"/>
      <c r="Z41" s="797"/>
      <c r="AA41" s="797"/>
      <c r="AB41" s="891"/>
      <c r="AC41" s="788"/>
      <c r="AD41" s="788"/>
      <c r="AE41" s="788"/>
      <c r="AF41" s="788"/>
      <c r="AG41" s="788"/>
      <c r="AH41" s="787"/>
    </row>
    <row r="42" spans="1:34" s="12" customFormat="1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502">
        <f t="shared" si="0"/>
        <v>0</v>
      </c>
      <c r="U42" s="797"/>
      <c r="V42" s="511"/>
      <c r="W42" s="500"/>
      <c r="X42" s="500"/>
      <c r="Y42" s="797"/>
      <c r="Z42" s="797"/>
      <c r="AA42" s="797"/>
      <c r="AB42" s="891"/>
      <c r="AC42" s="788"/>
      <c r="AD42" s="788"/>
      <c r="AE42" s="788"/>
      <c r="AF42" s="788"/>
      <c r="AG42" s="788"/>
      <c r="AH42" s="787"/>
    </row>
    <row r="43" spans="1:34" s="12" customFormat="1">
      <c r="A43" s="815"/>
      <c r="B43" s="814"/>
      <c r="C43" s="797"/>
      <c r="D43" s="797"/>
      <c r="E43" s="511"/>
      <c r="F43" s="797"/>
      <c r="G43" s="797"/>
      <c r="H43" s="797"/>
      <c r="I43" s="797"/>
      <c r="J43" s="797"/>
      <c r="K43" s="797"/>
      <c r="L43" s="797"/>
      <c r="M43" s="797"/>
      <c r="N43" s="797"/>
      <c r="O43" s="797"/>
      <c r="P43" s="797">
        <v>0</v>
      </c>
      <c r="Q43" s="797"/>
      <c r="R43" s="797">
        <v>0</v>
      </c>
      <c r="S43" s="797">
        <f>R43-P43</f>
        <v>0</v>
      </c>
      <c r="T43" s="502">
        <f t="shared" si="0"/>
        <v>0</v>
      </c>
      <c r="U43" s="797"/>
      <c r="V43" s="511"/>
      <c r="W43" s="797"/>
      <c r="X43" s="797"/>
      <c r="Y43" s="797"/>
      <c r="Z43" s="797">
        <v>0</v>
      </c>
      <c r="AA43" s="797">
        <v>0</v>
      </c>
      <c r="AB43" s="891"/>
      <c r="AC43" s="788"/>
      <c r="AD43" s="788"/>
      <c r="AE43" s="788"/>
      <c r="AF43" s="788"/>
      <c r="AG43" s="788"/>
      <c r="AH43" s="787"/>
    </row>
    <row r="44" spans="1:34" s="12" customFormat="1">
      <c r="A44" s="815"/>
      <c r="B44" s="814"/>
      <c r="C44" s="797"/>
      <c r="D44" s="797"/>
      <c r="E44" s="511"/>
      <c r="F44" s="797"/>
      <c r="G44" s="797"/>
      <c r="H44" s="797"/>
      <c r="I44" s="797"/>
      <c r="J44" s="797"/>
      <c r="K44" s="797"/>
      <c r="L44" s="797"/>
      <c r="M44" s="797"/>
      <c r="N44" s="797"/>
      <c r="O44" s="797"/>
      <c r="P44" s="797">
        <v>0</v>
      </c>
      <c r="Q44" s="797"/>
      <c r="R44" s="797">
        <v>0</v>
      </c>
      <c r="S44" s="797">
        <f>R44-P44</f>
        <v>0</v>
      </c>
      <c r="T44" s="502">
        <f t="shared" si="0"/>
        <v>0</v>
      </c>
      <c r="U44" s="797"/>
      <c r="V44" s="511"/>
      <c r="W44" s="797"/>
      <c r="X44" s="797"/>
      <c r="Y44" s="797"/>
      <c r="Z44" s="797">
        <v>0</v>
      </c>
      <c r="AA44" s="797">
        <v>0</v>
      </c>
      <c r="AB44" s="891"/>
      <c r="AC44" s="788"/>
      <c r="AD44" s="788"/>
      <c r="AE44" s="788"/>
      <c r="AF44" s="788"/>
      <c r="AG44" s="788"/>
      <c r="AH44" s="787"/>
    </row>
    <row r="45" spans="1:34" s="12" customFormat="1">
      <c r="A45" s="821"/>
      <c r="B45" s="817"/>
      <c r="C45" s="797"/>
      <c r="D45" s="797"/>
      <c r="E45" s="511"/>
      <c r="F45" s="797"/>
      <c r="G45" s="797"/>
      <c r="H45" s="797"/>
      <c r="I45" s="797"/>
      <c r="J45" s="797"/>
      <c r="K45" s="797"/>
      <c r="L45" s="797"/>
      <c r="M45" s="797"/>
      <c r="N45" s="797"/>
      <c r="O45" s="797"/>
      <c r="P45" s="797"/>
      <c r="Q45" s="797"/>
      <c r="R45" s="797"/>
      <c r="S45" s="797"/>
      <c r="T45" s="502">
        <f t="shared" si="0"/>
        <v>0</v>
      </c>
      <c r="U45" s="797"/>
      <c r="V45" s="511"/>
      <c r="W45" s="797"/>
      <c r="X45" s="797"/>
      <c r="Y45" s="797"/>
      <c r="Z45" s="797"/>
      <c r="AA45" s="797"/>
      <c r="AB45" s="891"/>
      <c r="AC45" s="788"/>
      <c r="AD45" s="788"/>
      <c r="AE45" s="788"/>
      <c r="AF45" s="788"/>
      <c r="AG45" s="788"/>
      <c r="AH45" s="787"/>
    </row>
    <row r="46" spans="1:34" s="12" customFormat="1">
      <c r="A46" s="821"/>
      <c r="B46" s="817"/>
      <c r="C46" s="797"/>
      <c r="D46" s="797"/>
      <c r="E46" s="511"/>
      <c r="F46" s="797"/>
      <c r="G46" s="797"/>
      <c r="H46" s="797"/>
      <c r="I46" s="797"/>
      <c r="J46" s="797"/>
      <c r="K46" s="797"/>
      <c r="L46" s="797"/>
      <c r="M46" s="797"/>
      <c r="N46" s="797"/>
      <c r="O46" s="797"/>
      <c r="P46" s="797"/>
      <c r="Q46" s="797"/>
      <c r="R46" s="797"/>
      <c r="S46" s="797"/>
      <c r="T46" s="502">
        <f t="shared" si="0"/>
        <v>0</v>
      </c>
      <c r="U46" s="797"/>
      <c r="V46" s="511"/>
      <c r="W46" s="797"/>
      <c r="X46" s="797"/>
      <c r="Y46" s="797"/>
      <c r="Z46" s="797"/>
      <c r="AA46" s="797"/>
      <c r="AB46" s="891"/>
      <c r="AC46" s="788"/>
      <c r="AD46" s="788"/>
      <c r="AE46" s="788"/>
      <c r="AF46" s="788"/>
      <c r="AG46" s="788"/>
      <c r="AH46" s="787"/>
    </row>
    <row r="47" spans="1:34" s="12" customFormat="1">
      <c r="A47" s="821"/>
      <c r="B47" s="817"/>
      <c r="C47" s="797"/>
      <c r="D47" s="797"/>
      <c r="E47" s="511"/>
      <c r="F47" s="797"/>
      <c r="G47" s="797"/>
      <c r="H47" s="797"/>
      <c r="I47" s="797"/>
      <c r="J47" s="797"/>
      <c r="K47" s="797"/>
      <c r="L47" s="797"/>
      <c r="M47" s="797"/>
      <c r="N47" s="797"/>
      <c r="O47" s="797"/>
      <c r="P47" s="797"/>
      <c r="Q47" s="797"/>
      <c r="R47" s="797"/>
      <c r="S47" s="797"/>
      <c r="T47" s="502">
        <f t="shared" si="0"/>
        <v>0</v>
      </c>
      <c r="U47" s="797"/>
      <c r="V47" s="511"/>
      <c r="W47" s="797"/>
      <c r="X47" s="797"/>
      <c r="Y47" s="797"/>
      <c r="Z47" s="797"/>
      <c r="AA47" s="797"/>
      <c r="AB47" s="891"/>
      <c r="AC47" s="788"/>
      <c r="AD47" s="788"/>
      <c r="AE47" s="788"/>
      <c r="AF47" s="788"/>
      <c r="AG47" s="788"/>
      <c r="AH47" s="787"/>
    </row>
    <row r="48" spans="1:34" s="12" customFormat="1">
      <c r="A48" s="815"/>
      <c r="B48" s="814"/>
      <c r="C48" s="797"/>
      <c r="D48" s="797"/>
      <c r="E48" s="511"/>
      <c r="F48" s="797"/>
      <c r="G48" s="797"/>
      <c r="H48" s="797"/>
      <c r="I48" s="797"/>
      <c r="J48" s="797"/>
      <c r="K48" s="797"/>
      <c r="L48" s="797"/>
      <c r="M48" s="797"/>
      <c r="N48" s="797"/>
      <c r="O48" s="797"/>
      <c r="P48" s="797"/>
      <c r="Q48" s="797"/>
      <c r="R48" s="797"/>
      <c r="S48" s="797"/>
      <c r="T48" s="502">
        <f t="shared" si="0"/>
        <v>0</v>
      </c>
      <c r="U48" s="797"/>
      <c r="V48" s="511"/>
      <c r="W48" s="797"/>
      <c r="X48" s="797"/>
      <c r="Y48" s="797"/>
      <c r="Z48" s="797"/>
      <c r="AA48" s="797"/>
      <c r="AB48" s="891"/>
      <c r="AC48" s="788"/>
      <c r="AD48" s="788"/>
      <c r="AE48" s="788"/>
      <c r="AF48" s="788"/>
      <c r="AG48" s="788"/>
      <c r="AH48" s="787"/>
    </row>
    <row r="49" spans="1:34" s="12" customFormat="1">
      <c r="A49" s="821"/>
      <c r="B49" s="814"/>
      <c r="C49" s="797"/>
      <c r="D49" s="797"/>
      <c r="E49" s="511"/>
      <c r="F49" s="797"/>
      <c r="G49" s="797"/>
      <c r="H49" s="797"/>
      <c r="I49" s="797"/>
      <c r="J49" s="797"/>
      <c r="K49" s="797"/>
      <c r="L49" s="797"/>
      <c r="M49" s="797"/>
      <c r="N49" s="797"/>
      <c r="O49" s="797"/>
      <c r="P49" s="797"/>
      <c r="Q49" s="797"/>
      <c r="R49" s="797"/>
      <c r="S49" s="797"/>
      <c r="T49" s="502">
        <f t="shared" si="0"/>
        <v>0</v>
      </c>
      <c r="U49" s="797"/>
      <c r="V49" s="511"/>
      <c r="W49" s="797"/>
      <c r="X49" s="797"/>
      <c r="Y49" s="797"/>
      <c r="Z49" s="797"/>
      <c r="AA49" s="797"/>
      <c r="AB49" s="891"/>
      <c r="AC49" s="788"/>
      <c r="AD49" s="788"/>
      <c r="AE49" s="788"/>
      <c r="AF49" s="788"/>
      <c r="AG49" s="788"/>
      <c r="AH49" s="787"/>
    </row>
    <row r="50" spans="1:34" s="12" customFormat="1">
      <c r="A50" s="821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797"/>
      <c r="M50" s="797"/>
      <c r="N50" s="797"/>
      <c r="O50" s="797"/>
      <c r="P50" s="797"/>
      <c r="Q50" s="797"/>
      <c r="R50" s="797"/>
      <c r="S50" s="797"/>
      <c r="T50" s="502"/>
      <c r="U50" s="797"/>
      <c r="V50" s="511"/>
      <c r="W50" s="797"/>
      <c r="X50" s="797"/>
      <c r="Y50" s="797"/>
      <c r="Z50" s="797"/>
      <c r="AA50" s="797"/>
      <c r="AB50" s="891"/>
      <c r="AC50" s="788"/>
      <c r="AD50" s="788"/>
      <c r="AE50" s="788"/>
      <c r="AF50" s="788"/>
      <c r="AG50" s="788"/>
      <c r="AH50" s="787"/>
    </row>
    <row r="51" spans="1:34" s="12" customFormat="1">
      <c r="A51" s="821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/>
      <c r="T51" s="502"/>
      <c r="U51" s="797"/>
      <c r="V51" s="511"/>
      <c r="W51" s="797"/>
      <c r="X51" s="797"/>
      <c r="Y51" s="797"/>
      <c r="Z51" s="797"/>
      <c r="AA51" s="797"/>
      <c r="AB51" s="891"/>
      <c r="AC51" s="788"/>
      <c r="AD51" s="788"/>
      <c r="AE51" s="788"/>
      <c r="AF51" s="788"/>
      <c r="AG51" s="788"/>
      <c r="AH51" s="787"/>
    </row>
    <row r="52" spans="1:34" s="12" customFormat="1">
      <c r="A52" s="815"/>
      <c r="B52" s="817"/>
      <c r="C52" s="797"/>
      <c r="D52" s="797"/>
      <c r="E52" s="797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/>
      <c r="T52" s="502">
        <f t="shared" ref="T52:T57" si="1">W52-L52</f>
        <v>0</v>
      </c>
      <c r="U52" s="797"/>
      <c r="V52" s="797"/>
      <c r="W52" s="797"/>
      <c r="X52" s="797"/>
      <c r="Y52" s="797"/>
      <c r="Z52" s="797"/>
      <c r="AA52" s="797"/>
      <c r="AB52" s="891"/>
      <c r="AC52" s="788"/>
      <c r="AD52" s="788"/>
      <c r="AE52" s="788"/>
      <c r="AF52" s="788"/>
      <c r="AG52" s="788"/>
      <c r="AH52" s="787"/>
    </row>
    <row r="53" spans="1:34" s="12" customFormat="1">
      <c r="A53" s="815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797"/>
      <c r="M53" s="797"/>
      <c r="N53" s="797"/>
      <c r="O53" s="797"/>
      <c r="P53" s="797"/>
      <c r="Q53" s="797"/>
      <c r="R53" s="797"/>
      <c r="S53" s="797"/>
      <c r="T53" s="502">
        <f t="shared" si="1"/>
        <v>0</v>
      </c>
      <c r="U53" s="797"/>
      <c r="V53" s="511"/>
      <c r="W53" s="797"/>
      <c r="X53" s="797"/>
      <c r="Y53" s="797"/>
      <c r="Z53" s="797"/>
      <c r="AA53" s="797"/>
      <c r="AB53" s="891"/>
      <c r="AC53" s="788"/>
      <c r="AD53" s="788"/>
      <c r="AE53" s="788"/>
      <c r="AF53" s="788"/>
      <c r="AG53" s="788"/>
      <c r="AH53" s="787"/>
    </row>
    <row r="54" spans="1:34" s="12" customFormat="1">
      <c r="A54" s="815"/>
      <c r="B54" s="814"/>
      <c r="C54" s="797"/>
      <c r="D54" s="500"/>
      <c r="E54" s="511"/>
      <c r="F54" s="797"/>
      <c r="G54" s="500"/>
      <c r="H54" s="500"/>
      <c r="I54" s="500"/>
      <c r="J54" s="500"/>
      <c r="K54" s="500"/>
      <c r="L54" s="500"/>
      <c r="M54" s="500"/>
      <c r="N54" s="500"/>
      <c r="O54" s="797"/>
      <c r="P54" s="797"/>
      <c r="Q54" s="797"/>
      <c r="R54" s="797"/>
      <c r="S54" s="797"/>
      <c r="T54" s="502">
        <f t="shared" si="1"/>
        <v>0</v>
      </c>
      <c r="U54" s="500"/>
      <c r="V54" s="511"/>
      <c r="W54" s="797"/>
      <c r="X54" s="500"/>
      <c r="Y54" s="500"/>
      <c r="Z54" s="797"/>
      <c r="AA54" s="797"/>
      <c r="AB54" s="891"/>
      <c r="AC54" s="788"/>
      <c r="AD54" s="788"/>
      <c r="AE54" s="788"/>
      <c r="AF54" s="788"/>
      <c r="AG54" s="788"/>
      <c r="AH54" s="787"/>
    </row>
    <row r="55" spans="1:34" s="12" customFormat="1">
      <c r="A55" s="821"/>
      <c r="B55" s="822"/>
      <c r="C55" s="797"/>
      <c r="D55" s="500"/>
      <c r="E55" s="500"/>
      <c r="F55" s="797"/>
      <c r="G55" s="500"/>
      <c r="H55" s="500"/>
      <c r="I55" s="500"/>
      <c r="J55" s="500"/>
      <c r="K55" s="500"/>
      <c r="L55" s="500"/>
      <c r="M55" s="500"/>
      <c r="N55" s="500"/>
      <c r="O55" s="797"/>
      <c r="P55" s="797"/>
      <c r="Q55" s="797"/>
      <c r="R55" s="797"/>
      <c r="S55" s="797"/>
      <c r="T55" s="502">
        <f t="shared" si="1"/>
        <v>0</v>
      </c>
      <c r="U55" s="500"/>
      <c r="V55" s="500"/>
      <c r="W55" s="797"/>
      <c r="X55" s="500"/>
      <c r="Y55" s="500"/>
      <c r="Z55" s="797"/>
      <c r="AA55" s="797"/>
      <c r="AB55" s="891"/>
      <c r="AC55" s="788"/>
      <c r="AD55" s="788"/>
      <c r="AE55" s="788"/>
      <c r="AF55" s="788"/>
      <c r="AG55" s="788"/>
      <c r="AH55" s="787"/>
    </row>
    <row r="56" spans="1:34" s="12" customFormat="1" ht="12.75">
      <c r="A56" s="39"/>
      <c r="B56" s="40"/>
      <c r="C56" s="797"/>
      <c r="D56" s="500"/>
      <c r="E56" s="500"/>
      <c r="F56" s="797"/>
      <c r="G56" s="500"/>
      <c r="H56" s="500"/>
      <c r="I56" s="500"/>
      <c r="J56" s="500"/>
      <c r="K56" s="500"/>
      <c r="L56" s="500">
        <f>I56-J56+K56</f>
        <v>0</v>
      </c>
      <c r="M56" s="500"/>
      <c r="N56" s="500"/>
      <c r="O56" s="500"/>
      <c r="P56" s="797"/>
      <c r="Q56" s="500"/>
      <c r="R56" s="797"/>
      <c r="S56" s="502"/>
      <c r="T56" s="502">
        <f t="shared" si="1"/>
        <v>0</v>
      </c>
      <c r="U56" s="500"/>
      <c r="V56" s="500"/>
      <c r="W56" s="797"/>
      <c r="X56" s="500">
        <v>0</v>
      </c>
      <c r="Y56" s="500"/>
      <c r="Z56" s="797"/>
      <c r="AA56" s="797"/>
      <c r="AB56" s="891"/>
      <c r="AC56" s="788"/>
      <c r="AD56" s="788"/>
      <c r="AE56" s="788"/>
      <c r="AF56" s="788"/>
      <c r="AG56" s="788"/>
      <c r="AH56" s="787"/>
    </row>
    <row r="57" spans="1:34" s="12" customFormat="1" ht="12.75">
      <c r="A57" s="41"/>
      <c r="B57" s="42" t="s">
        <v>17</v>
      </c>
      <c r="C57" s="892">
        <f t="shared" ref="C57:AB57" si="2">SUM(C15:C56)</f>
        <v>600000</v>
      </c>
      <c r="D57" s="892">
        <f t="shared" si="2"/>
        <v>600000</v>
      </c>
      <c r="E57" s="892">
        <f t="shared" si="2"/>
        <v>2</v>
      </c>
      <c r="F57" s="892">
        <f t="shared" si="2"/>
        <v>600000</v>
      </c>
      <c r="G57" s="892">
        <f t="shared" si="2"/>
        <v>0</v>
      </c>
      <c r="H57" s="892">
        <f t="shared" si="2"/>
        <v>0</v>
      </c>
      <c r="I57" s="892">
        <f t="shared" si="2"/>
        <v>600000</v>
      </c>
      <c r="J57" s="892">
        <f t="shared" si="2"/>
        <v>0</v>
      </c>
      <c r="K57" s="892">
        <f t="shared" si="2"/>
        <v>0</v>
      </c>
      <c r="L57" s="892">
        <f t="shared" si="2"/>
        <v>600000</v>
      </c>
      <c r="M57" s="892">
        <f t="shared" si="2"/>
        <v>0</v>
      </c>
      <c r="N57" s="892">
        <f t="shared" si="2"/>
        <v>0</v>
      </c>
      <c r="O57" s="892">
        <f t="shared" si="2"/>
        <v>2</v>
      </c>
      <c r="P57" s="892">
        <f t="shared" si="2"/>
        <v>600000</v>
      </c>
      <c r="Q57" s="892">
        <f t="shared" si="2"/>
        <v>1</v>
      </c>
      <c r="R57" s="892">
        <f t="shared" si="2"/>
        <v>600000</v>
      </c>
      <c r="S57" s="892">
        <f t="shared" si="2"/>
        <v>0</v>
      </c>
      <c r="T57" s="893">
        <f t="shared" si="1"/>
        <v>0</v>
      </c>
      <c r="U57" s="892">
        <f t="shared" si="2"/>
        <v>600000</v>
      </c>
      <c r="V57" s="892">
        <f t="shared" si="2"/>
        <v>2</v>
      </c>
      <c r="W57" s="892">
        <f t="shared" si="2"/>
        <v>600000</v>
      </c>
      <c r="X57" s="892">
        <f t="shared" si="2"/>
        <v>600000</v>
      </c>
      <c r="Y57" s="892">
        <f t="shared" si="2"/>
        <v>0</v>
      </c>
      <c r="Z57" s="892">
        <f t="shared" si="2"/>
        <v>600000</v>
      </c>
      <c r="AA57" s="892">
        <f t="shared" si="2"/>
        <v>300000</v>
      </c>
      <c r="AB57" s="892">
        <f t="shared" si="2"/>
        <v>600000</v>
      </c>
      <c r="AC57" s="788"/>
      <c r="AD57" s="788"/>
      <c r="AE57" s="788"/>
      <c r="AF57" s="788"/>
      <c r="AG57" s="788"/>
      <c r="AH57" s="787"/>
    </row>
    <row r="58" spans="1:34" s="12" customFormat="1" ht="12.75">
      <c r="A58" s="1390"/>
      <c r="B58" s="1391"/>
      <c r="C58" s="1766"/>
      <c r="D58" s="1766"/>
      <c r="E58" s="1766"/>
      <c r="F58" s="1767"/>
      <c r="G58" s="1767"/>
      <c r="H58" s="1767"/>
      <c r="I58" s="1767"/>
      <c r="J58" s="1767"/>
      <c r="K58" s="1767"/>
      <c r="L58" s="1767"/>
      <c r="M58" s="1767"/>
      <c r="N58" s="1767"/>
      <c r="O58" s="1929"/>
      <c r="P58" s="1930">
        <v>0</v>
      </c>
      <c r="Q58" s="1931"/>
      <c r="R58" s="1932">
        <v>0</v>
      </c>
      <c r="S58" s="1933"/>
      <c r="T58" s="1768"/>
      <c r="U58" s="1766"/>
      <c r="V58" s="1766"/>
      <c r="W58" s="1767"/>
      <c r="X58" s="1195"/>
      <c r="Y58" s="1195"/>
      <c r="Z58" s="1195">
        <v>0</v>
      </c>
      <c r="AA58" s="1195">
        <v>0</v>
      </c>
      <c r="AB58" s="1195"/>
      <c r="AC58" s="788"/>
      <c r="AD58" s="788"/>
      <c r="AE58" s="788"/>
      <c r="AF58" s="788"/>
      <c r="AG58" s="788"/>
      <c r="AH58" s="787"/>
    </row>
    <row r="59" spans="1:34" s="12" customFormat="1">
      <c r="A59" s="43"/>
      <c r="B59" s="44"/>
      <c r="C59" s="213"/>
      <c r="D59" s="213"/>
      <c r="E59" s="213"/>
      <c r="F59" s="1769"/>
      <c r="G59" s="1769"/>
      <c r="H59" s="1769"/>
      <c r="I59" s="1769"/>
      <c r="J59" s="1769"/>
      <c r="K59" s="1769"/>
      <c r="L59" s="1769"/>
      <c r="M59" s="1769"/>
      <c r="N59" s="1769"/>
      <c r="O59" s="213"/>
      <c r="P59" s="1769"/>
      <c r="Q59" s="213"/>
      <c r="R59" s="213"/>
      <c r="S59" s="788"/>
      <c r="T59" s="788"/>
      <c r="U59" s="213"/>
      <c r="V59" s="213"/>
      <c r="W59" s="1769"/>
      <c r="X59" s="212"/>
      <c r="Y59" s="212"/>
      <c r="Z59" s="212"/>
      <c r="AA59" s="212"/>
      <c r="AB59" s="212"/>
      <c r="AC59" s="788"/>
      <c r="AD59" s="788"/>
      <c r="AE59" s="788"/>
      <c r="AF59" s="788"/>
      <c r="AG59" s="788"/>
      <c r="AH59" s="787"/>
    </row>
    <row r="60" spans="1:34" s="12" customFormat="1">
      <c r="A60" s="10"/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8"/>
      <c r="AF60" s="788"/>
      <c r="AG60" s="788"/>
      <c r="AH60" s="787"/>
    </row>
    <row r="61" spans="1:34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8"/>
      <c r="AF61" s="788"/>
      <c r="AG61" s="788"/>
      <c r="AH61" s="787"/>
    </row>
    <row r="62" spans="1:34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788"/>
      <c r="AF62" s="788"/>
      <c r="AG62" s="788"/>
      <c r="AH62" s="787"/>
    </row>
    <row r="63" spans="1:34" s="12" customFormat="1">
      <c r="A63" s="10" t="s">
        <v>59</v>
      </c>
      <c r="B63" s="454"/>
      <c r="C63" s="213"/>
      <c r="D63" s="213"/>
      <c r="E63" s="213"/>
      <c r="F63" s="1769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1769"/>
      <c r="X63" s="212"/>
      <c r="Y63" s="212"/>
      <c r="Z63" s="212"/>
      <c r="AA63" s="212"/>
      <c r="AB63" s="212"/>
      <c r="AC63" s="788"/>
      <c r="AD63" s="788"/>
      <c r="AE63" s="788"/>
      <c r="AF63" s="788"/>
      <c r="AG63" s="788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8"/>
      <c r="AF64" s="788"/>
      <c r="AG64" s="788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8"/>
      <c r="AF65" s="788"/>
      <c r="AG65" s="788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8"/>
      <c r="AF66" s="788"/>
      <c r="AG66" s="788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8"/>
      <c r="AF67" s="788"/>
      <c r="AG67" s="788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8"/>
      <c r="AF68" s="788"/>
      <c r="AG68" s="788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8"/>
      <c r="AF69" s="788"/>
      <c r="AG69" s="788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8"/>
      <c r="AF70" s="788"/>
      <c r="AG70" s="788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8"/>
      <c r="AF71" s="788"/>
      <c r="AG71" s="788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8"/>
      <c r="AF72" s="788"/>
      <c r="AG72" s="788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8"/>
      <c r="AF73" s="788"/>
      <c r="AG73" s="788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8"/>
      <c r="AF74" s="788"/>
      <c r="AG74" s="788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8"/>
      <c r="AF75" s="788"/>
      <c r="AG75" s="788"/>
      <c r="AH75" s="787"/>
    </row>
    <row r="76" spans="1:34" s="12" customFormat="1">
      <c r="A76" s="10"/>
      <c r="B76" s="454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788"/>
      <c r="R76" s="788"/>
      <c r="S76" s="788"/>
      <c r="T76" s="788"/>
      <c r="U76" s="213"/>
      <c r="V76" s="213"/>
      <c r="W76" s="213"/>
      <c r="X76" s="212"/>
      <c r="Y76" s="212"/>
      <c r="Z76" s="212"/>
      <c r="AA76" s="212"/>
      <c r="AB76" s="212"/>
      <c r="AC76" s="788"/>
      <c r="AD76" s="788"/>
      <c r="AE76" s="788"/>
      <c r="AF76" s="788"/>
      <c r="AG76" s="788"/>
      <c r="AH76" s="787"/>
    </row>
    <row r="77" spans="1:34" s="12" customFormat="1">
      <c r="A77" s="10"/>
      <c r="B77" s="454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788"/>
      <c r="R77" s="788"/>
      <c r="S77" s="788"/>
      <c r="T77" s="788"/>
      <c r="U77" s="213"/>
      <c r="V77" s="213"/>
      <c r="W77" s="213"/>
      <c r="X77" s="212"/>
      <c r="Y77" s="212"/>
      <c r="Z77" s="212"/>
      <c r="AA77" s="212"/>
      <c r="AB77" s="212"/>
      <c r="AC77" s="788"/>
      <c r="AD77" s="788"/>
      <c r="AE77" s="788"/>
      <c r="AF77" s="788"/>
      <c r="AG77" s="788"/>
      <c r="AH77" s="787"/>
    </row>
  </sheetData>
  <mergeCells count="10">
    <mergeCell ref="E1:F1"/>
    <mergeCell ref="B2:I2"/>
    <mergeCell ref="I5:N5"/>
    <mergeCell ref="O5:T5"/>
    <mergeCell ref="AB8:AB12"/>
    <mergeCell ref="U8:W9"/>
    <mergeCell ref="AA8:AA12"/>
    <mergeCell ref="Z8:Z12"/>
    <mergeCell ref="X8:X12"/>
    <mergeCell ref="Y8:Y12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/>
  <dimension ref="A1:BP89"/>
  <sheetViews>
    <sheetView showGridLines="0" showZeros="0" topLeftCell="N1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6" width="11" style="792"/>
    <col min="7" max="7" width="11.5" style="792" bestFit="1" customWidth="1"/>
    <col min="8" max="34" width="11" style="792"/>
  </cols>
  <sheetData>
    <row r="1" spans="1:68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68" s="536" customFormat="1" ht="12.75">
      <c r="A2" s="533" t="s">
        <v>65</v>
      </c>
      <c r="B2" s="678" t="s">
        <v>720</v>
      </c>
      <c r="C2" s="1653"/>
      <c r="D2" s="1653"/>
      <c r="E2" s="1653"/>
      <c r="F2" s="1653"/>
      <c r="G2" s="1653"/>
      <c r="H2" s="1653"/>
      <c r="I2" s="1654"/>
      <c r="J2" s="1654"/>
      <c r="K2" s="1654"/>
      <c r="L2" s="1654"/>
      <c r="M2" s="1654"/>
      <c r="N2" s="1654"/>
      <c r="O2" s="1654"/>
      <c r="P2" s="1654"/>
      <c r="Q2" s="1654"/>
      <c r="R2" s="1654"/>
      <c r="S2" s="1655"/>
      <c r="T2" s="1655"/>
      <c r="U2" s="1654"/>
      <c r="V2" s="1654"/>
      <c r="W2" s="1654"/>
      <c r="X2" s="212"/>
      <c r="Y2" s="212"/>
      <c r="Z2" s="212"/>
      <c r="AA2" s="212"/>
      <c r="AB2" s="212"/>
      <c r="AC2" s="212"/>
      <c r="AD2" s="212"/>
      <c r="AE2" s="212"/>
      <c r="AF2" s="212"/>
      <c r="AG2" s="1655"/>
      <c r="AH2" s="1655"/>
      <c r="AI2" s="535"/>
      <c r="AJ2" s="535"/>
      <c r="AK2" s="535"/>
      <c r="AL2" s="535"/>
    </row>
    <row r="3" spans="1:68" s="536" customFormat="1" ht="12.75">
      <c r="A3" s="537" t="s">
        <v>310</v>
      </c>
      <c r="B3" s="538" t="s">
        <v>311</v>
      </c>
      <c r="C3" s="1656" t="s">
        <v>66</v>
      </c>
      <c r="D3" s="1653" t="s">
        <v>52</v>
      </c>
      <c r="E3" s="1653"/>
      <c r="F3" s="65" t="s">
        <v>84</v>
      </c>
      <c r="G3" s="65" t="s">
        <v>106</v>
      </c>
      <c r="H3" s="1653"/>
      <c r="I3" s="1653"/>
      <c r="J3" s="1653"/>
      <c r="K3" s="1653"/>
      <c r="L3" s="1653"/>
      <c r="M3" s="1653"/>
      <c r="N3" s="1653"/>
      <c r="O3" s="1653"/>
      <c r="P3" s="1653"/>
      <c r="Q3" s="1653"/>
      <c r="R3" s="1653"/>
      <c r="S3" s="1657"/>
      <c r="T3" s="1657"/>
      <c r="U3" s="1653"/>
      <c r="V3" s="1653"/>
      <c r="W3" s="1653"/>
      <c r="X3" s="212"/>
      <c r="Y3" s="212"/>
      <c r="Z3" s="212"/>
      <c r="AA3" s="212"/>
      <c r="AB3" s="212"/>
      <c r="AC3" s="212"/>
      <c r="AD3" s="212"/>
      <c r="AE3" s="212"/>
      <c r="AF3" s="212"/>
      <c r="AG3" s="1655"/>
      <c r="AH3" s="1655"/>
      <c r="AI3" s="535"/>
      <c r="AJ3" s="535"/>
      <c r="AK3" s="535"/>
      <c r="AL3" s="535"/>
    </row>
    <row r="4" spans="1:68" s="536" customFormat="1" ht="12.75">
      <c r="A4" s="540" t="s">
        <v>312</v>
      </c>
      <c r="B4" s="539" t="s">
        <v>297</v>
      </c>
      <c r="C4" s="1653" t="s">
        <v>81</v>
      </c>
      <c r="D4" s="1653" t="s">
        <v>263</v>
      </c>
      <c r="E4" s="1653"/>
      <c r="F4" s="1658"/>
      <c r="G4" s="1658"/>
      <c r="H4" s="1658"/>
      <c r="I4" s="1658"/>
      <c r="J4" s="1658"/>
      <c r="K4" s="1658"/>
      <c r="L4" s="1658"/>
      <c r="M4" s="1658"/>
      <c r="N4" s="1658"/>
      <c r="O4" s="1653"/>
      <c r="P4" s="1658"/>
      <c r="Q4" s="1653"/>
      <c r="R4" s="1653"/>
      <c r="S4" s="1657"/>
      <c r="T4" s="1657"/>
      <c r="U4" s="1653"/>
      <c r="V4" s="1653"/>
      <c r="W4" s="1658"/>
      <c r="X4" s="212"/>
      <c r="Y4" s="212"/>
      <c r="Z4" s="212"/>
      <c r="AA4" s="212"/>
      <c r="AB4" s="212"/>
      <c r="AC4" s="212"/>
      <c r="AD4" s="212"/>
      <c r="AE4" s="212"/>
      <c r="AF4" s="212"/>
      <c r="AG4" s="1655"/>
      <c r="AH4" s="1655"/>
      <c r="AI4" s="535"/>
      <c r="AJ4" s="535"/>
      <c r="AK4" s="535"/>
      <c r="AL4" s="535"/>
    </row>
    <row r="5" spans="1:68" s="536" customFormat="1" ht="12.75">
      <c r="A5" s="540" t="s">
        <v>313</v>
      </c>
      <c r="B5" s="541">
        <v>200900179</v>
      </c>
      <c r="C5" s="1653"/>
      <c r="D5" s="1653"/>
      <c r="E5" s="1653"/>
      <c r="F5" s="1658"/>
      <c r="G5" s="1658"/>
      <c r="H5" s="1653"/>
      <c r="I5" s="1654"/>
      <c r="J5" s="1658"/>
      <c r="K5" s="1659"/>
      <c r="L5" s="1658"/>
      <c r="M5" s="1658"/>
      <c r="N5" s="1658"/>
      <c r="O5" s="1653"/>
      <c r="P5" s="1658"/>
      <c r="Q5" s="1653"/>
      <c r="R5" s="1653"/>
      <c r="S5" s="1658"/>
      <c r="T5" s="1657"/>
      <c r="U5" s="1653"/>
      <c r="V5" s="1653"/>
      <c r="W5" s="1658"/>
      <c r="X5" s="212"/>
      <c r="Y5" s="212"/>
      <c r="Z5" s="212"/>
      <c r="AA5" s="212"/>
      <c r="AB5" s="212"/>
      <c r="AC5" s="212"/>
      <c r="AD5" s="212"/>
      <c r="AE5" s="212"/>
      <c r="AF5" s="212"/>
      <c r="AG5" s="1655"/>
      <c r="AH5" s="1655"/>
      <c r="AI5" s="535"/>
      <c r="AJ5" s="535"/>
      <c r="AK5" s="535"/>
      <c r="AL5" s="535"/>
    </row>
    <row r="6" spans="1:68" s="536" customFormat="1" ht="12.75">
      <c r="A6" s="540" t="s">
        <v>314</v>
      </c>
      <c r="B6" s="539" t="s">
        <v>315</v>
      </c>
      <c r="C6" s="1653"/>
      <c r="D6" s="1653"/>
      <c r="E6" s="1653"/>
      <c r="F6" s="1658"/>
      <c r="G6" s="1658"/>
      <c r="H6" s="1660"/>
      <c r="I6" s="1661" t="s">
        <v>76</v>
      </c>
      <c r="J6" s="1662"/>
      <c r="K6" s="1663"/>
      <c r="L6" s="1663"/>
      <c r="M6" s="1657"/>
      <c r="N6" s="1655"/>
      <c r="O6" s="1655"/>
      <c r="P6" s="1655"/>
      <c r="Q6" s="1657"/>
      <c r="R6" s="1653"/>
      <c r="S6" s="1657"/>
      <c r="T6" s="1657"/>
      <c r="U6" s="1653"/>
      <c r="V6" s="1653"/>
      <c r="W6" s="1658"/>
      <c r="X6" s="212"/>
      <c r="Y6" s="212"/>
      <c r="Z6" s="212"/>
      <c r="AA6" s="212"/>
      <c r="AB6" s="212"/>
      <c r="AC6" s="212"/>
      <c r="AD6" s="212"/>
      <c r="AE6" s="212"/>
      <c r="AF6" s="212"/>
      <c r="AG6" s="1655"/>
      <c r="AH6" s="1655"/>
      <c r="AI6" s="535"/>
      <c r="AJ6" s="535"/>
      <c r="AK6" s="535"/>
      <c r="AL6" s="535"/>
    </row>
    <row r="7" spans="1:68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1"/>
      <c r="AK7" s="212"/>
      <c r="AL7" s="212"/>
      <c r="AM7" s="212"/>
      <c r="AN7" s="212"/>
      <c r="AO7" s="212"/>
      <c r="AP7" s="1"/>
      <c r="AQ7" s="212"/>
      <c r="AR7" s="212"/>
      <c r="AS7" s="212"/>
      <c r="AT7" s="212"/>
      <c r="AU7" s="212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536" customFormat="1" ht="16.5" customHeight="1">
      <c r="A8" s="542" t="s">
        <v>0</v>
      </c>
      <c r="B8" s="542" t="s">
        <v>1</v>
      </c>
      <c r="C8" s="1665" t="s">
        <v>2</v>
      </c>
      <c r="D8" s="1666" t="s">
        <v>3</v>
      </c>
      <c r="E8" s="1667"/>
      <c r="F8" s="1668"/>
      <c r="G8" s="1669" t="s">
        <v>4</v>
      </c>
      <c r="H8" s="1670"/>
      <c r="I8" s="1669" t="s">
        <v>5</v>
      </c>
      <c r="J8" s="1670"/>
      <c r="K8" s="1671" t="s">
        <v>6</v>
      </c>
      <c r="L8" s="1671"/>
      <c r="M8" s="1671"/>
      <c r="N8" s="1671"/>
      <c r="O8" s="1667" t="s">
        <v>7</v>
      </c>
      <c r="P8" s="1668"/>
      <c r="Q8" s="1667" t="s">
        <v>8</v>
      </c>
      <c r="R8" s="1668"/>
      <c r="S8" s="1672"/>
      <c r="T8" s="1673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212"/>
      <c r="AD8" s="212"/>
      <c r="AE8" s="2506" t="s">
        <v>67</v>
      </c>
      <c r="AF8" s="2509" t="s">
        <v>68</v>
      </c>
      <c r="AG8" s="1655"/>
      <c r="AH8" s="1655"/>
      <c r="AI8" s="535"/>
      <c r="AJ8" s="535"/>
      <c r="AK8" s="535"/>
      <c r="AL8" s="535"/>
    </row>
    <row r="9" spans="1:68" s="536" customFormat="1" ht="7.5" customHeight="1">
      <c r="A9" s="543" t="s">
        <v>9</v>
      </c>
      <c r="B9" s="544"/>
      <c r="C9" s="1674"/>
      <c r="D9" s="1675"/>
      <c r="E9" s="1676"/>
      <c r="F9" s="1677"/>
      <c r="G9" s="1678"/>
      <c r="H9" s="1679"/>
      <c r="I9" s="1678" t="s">
        <v>10</v>
      </c>
      <c r="J9" s="1678"/>
      <c r="K9" s="1680" t="s">
        <v>11</v>
      </c>
      <c r="L9" s="1680"/>
      <c r="M9" s="1680"/>
      <c r="N9" s="1680" t="s">
        <v>12</v>
      </c>
      <c r="O9" s="1676"/>
      <c r="P9" s="1677"/>
      <c r="Q9" s="1676"/>
      <c r="R9" s="1681"/>
      <c r="S9" s="1682" t="s">
        <v>13</v>
      </c>
      <c r="T9" s="1683" t="s">
        <v>14</v>
      </c>
      <c r="U9" s="2402"/>
      <c r="V9" s="2403"/>
      <c r="W9" s="2404"/>
      <c r="X9" s="2397"/>
      <c r="Y9" s="2397"/>
      <c r="Z9" s="2397"/>
      <c r="AA9" s="2397"/>
      <c r="AB9" s="2397"/>
      <c r="AC9" s="212"/>
      <c r="AD9" s="212"/>
      <c r="AE9" s="2507"/>
      <c r="AF9" s="2507"/>
      <c r="AG9" s="1655"/>
      <c r="AH9" s="1655"/>
      <c r="AI9" s="535"/>
      <c r="AJ9" s="535"/>
      <c r="AK9" s="535"/>
      <c r="AL9" s="535"/>
    </row>
    <row r="10" spans="1:68" s="536" customFormat="1" ht="7.5" customHeight="1">
      <c r="A10" s="544"/>
      <c r="B10" s="544"/>
      <c r="C10" s="1674"/>
      <c r="D10" s="1684" t="s">
        <v>15</v>
      </c>
      <c r="E10" s="1684" t="s">
        <v>16</v>
      </c>
      <c r="F10" s="1671" t="s">
        <v>17</v>
      </c>
      <c r="G10" s="1678"/>
      <c r="H10" s="1679"/>
      <c r="I10" s="1678"/>
      <c r="J10" s="1678"/>
      <c r="K10" s="1685" t="s">
        <v>18</v>
      </c>
      <c r="L10" s="1685" t="s">
        <v>17</v>
      </c>
      <c r="M10" s="1685" t="s">
        <v>19</v>
      </c>
      <c r="N10" s="1685" t="s">
        <v>20</v>
      </c>
      <c r="O10" s="1684" t="s">
        <v>16</v>
      </c>
      <c r="P10" s="1671" t="s">
        <v>17</v>
      </c>
      <c r="Q10" s="1684" t="s">
        <v>16</v>
      </c>
      <c r="R10" s="1671" t="s">
        <v>17</v>
      </c>
      <c r="S10" s="1682" t="s">
        <v>21</v>
      </c>
      <c r="T10" s="1683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212"/>
      <c r="AD10" s="212"/>
      <c r="AE10" s="2507"/>
      <c r="AF10" s="2507" t="s">
        <v>68</v>
      </c>
      <c r="AG10" s="1655"/>
      <c r="AH10" s="1655"/>
      <c r="AI10" s="535"/>
      <c r="AJ10" s="535"/>
      <c r="AK10" s="535"/>
      <c r="AL10" s="535"/>
    </row>
    <row r="11" spans="1:68" s="536" customFormat="1" ht="7.5" customHeight="1">
      <c r="A11" s="544"/>
      <c r="B11" s="544"/>
      <c r="C11" s="1674"/>
      <c r="D11" s="1682" t="s">
        <v>23</v>
      </c>
      <c r="E11" s="1682"/>
      <c r="F11" s="1680" t="s">
        <v>23</v>
      </c>
      <c r="G11" s="1671" t="s">
        <v>24</v>
      </c>
      <c r="H11" s="1671" t="s">
        <v>25</v>
      </c>
      <c r="I11" s="1671" t="s">
        <v>26</v>
      </c>
      <c r="J11" s="1671" t="s">
        <v>27</v>
      </c>
      <c r="K11" s="1680" t="s">
        <v>28</v>
      </c>
      <c r="L11" s="1680" t="s">
        <v>29</v>
      </c>
      <c r="M11" s="1680" t="s">
        <v>30</v>
      </c>
      <c r="N11" s="1680" t="s">
        <v>31</v>
      </c>
      <c r="O11" s="1682"/>
      <c r="P11" s="1680" t="s">
        <v>23</v>
      </c>
      <c r="Q11" s="1682"/>
      <c r="R11" s="1680" t="s">
        <v>23</v>
      </c>
      <c r="S11" s="1674"/>
      <c r="T11" s="1683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212"/>
      <c r="AD11" s="212"/>
      <c r="AE11" s="2507"/>
      <c r="AF11" s="2507"/>
      <c r="AG11" s="1655"/>
      <c r="AH11" s="1655"/>
      <c r="AI11" s="535"/>
      <c r="AJ11" s="535"/>
      <c r="AK11" s="535"/>
      <c r="AL11" s="535"/>
    </row>
    <row r="12" spans="1:68" s="536" customFormat="1" ht="7.5" customHeight="1">
      <c r="A12" s="544"/>
      <c r="B12" s="544"/>
      <c r="C12" s="1674"/>
      <c r="D12" s="1674"/>
      <c r="E12" s="1674"/>
      <c r="F12" s="1690"/>
      <c r="G12" s="1690"/>
      <c r="H12" s="1690"/>
      <c r="I12" s="1690"/>
      <c r="J12" s="1680" t="s">
        <v>33</v>
      </c>
      <c r="K12" s="1680" t="s">
        <v>34</v>
      </c>
      <c r="L12" s="1680"/>
      <c r="M12" s="1680"/>
      <c r="N12" s="1680"/>
      <c r="O12" s="1674"/>
      <c r="P12" s="1690"/>
      <c r="Q12" s="1674"/>
      <c r="R12" s="1690"/>
      <c r="S12" s="1691"/>
      <c r="T12" s="1692"/>
      <c r="U12" s="1693"/>
      <c r="V12" s="1693"/>
      <c r="W12" s="1694"/>
      <c r="X12" s="2397"/>
      <c r="Y12" s="2397"/>
      <c r="Z12" s="2397"/>
      <c r="AA12" s="2397"/>
      <c r="AB12" s="2397"/>
      <c r="AC12" s="212"/>
      <c r="AD12" s="212"/>
      <c r="AE12" s="2508"/>
      <c r="AF12" s="2508"/>
      <c r="AG12" s="1655"/>
      <c r="AH12" s="1655"/>
      <c r="AI12" s="535"/>
      <c r="AJ12" s="535"/>
      <c r="AK12" s="535"/>
      <c r="AL12" s="535"/>
    </row>
    <row r="13" spans="1:68" s="536" customFormat="1" ht="12.75">
      <c r="A13" s="545"/>
      <c r="B13" s="545" t="s">
        <v>35</v>
      </c>
      <c r="C13" s="1695" t="s">
        <v>36</v>
      </c>
      <c r="D13" s="1695"/>
      <c r="E13" s="1695"/>
      <c r="F13" s="1696" t="s">
        <v>37</v>
      </c>
      <c r="G13" s="1696" t="s">
        <v>38</v>
      </c>
      <c r="H13" s="1696" t="s">
        <v>39</v>
      </c>
      <c r="I13" s="1696" t="s">
        <v>40</v>
      </c>
      <c r="J13" s="1696" t="s">
        <v>41</v>
      </c>
      <c r="K13" s="1696" t="s">
        <v>42</v>
      </c>
      <c r="L13" s="1696" t="s">
        <v>43</v>
      </c>
      <c r="M13" s="1696" t="s">
        <v>44</v>
      </c>
      <c r="N13" s="1696" t="s">
        <v>45</v>
      </c>
      <c r="O13" s="1695"/>
      <c r="P13" s="1696" t="s">
        <v>37</v>
      </c>
      <c r="Q13" s="1695" t="s">
        <v>46</v>
      </c>
      <c r="R13" s="1695"/>
      <c r="S13" s="1697" t="s">
        <v>47</v>
      </c>
      <c r="T13" s="1698" t="s">
        <v>48</v>
      </c>
      <c r="U13" s="1695"/>
      <c r="V13" s="1695"/>
      <c r="W13" s="1696" t="s">
        <v>37</v>
      </c>
      <c r="X13" s="1354"/>
      <c r="Y13" s="1354"/>
      <c r="Z13" s="1354"/>
      <c r="AA13" s="1354"/>
      <c r="AB13" s="1354"/>
      <c r="AC13" s="212"/>
      <c r="AD13" s="212"/>
      <c r="AE13" s="1750"/>
      <c r="AF13" s="1750"/>
      <c r="AG13" s="1655"/>
      <c r="AH13" s="1655"/>
      <c r="AI13" s="535"/>
      <c r="AJ13" s="535"/>
      <c r="AK13" s="535"/>
      <c r="AL13" s="535"/>
    </row>
    <row r="14" spans="1:68" s="536" customFormat="1" ht="12.75">
      <c r="A14" s="1392"/>
      <c r="B14" s="1393"/>
      <c r="C14" s="1706"/>
      <c r="D14" s="1706"/>
      <c r="E14" s="1706"/>
      <c r="F14" s="1705"/>
      <c r="G14" s="1705"/>
      <c r="H14" s="1705"/>
      <c r="I14" s="1705"/>
      <c r="J14" s="1705"/>
      <c r="K14" s="1705"/>
      <c r="L14" s="1705"/>
      <c r="M14" s="1705"/>
      <c r="N14" s="1705"/>
      <c r="O14" s="1706"/>
      <c r="P14" s="1705">
        <v>0</v>
      </c>
      <c r="Q14" s="1706"/>
      <c r="R14" s="1706">
        <v>0</v>
      </c>
      <c r="S14" s="1706"/>
      <c r="T14" s="1709">
        <f t="shared" ref="T14:T23" si="0">W14-L14</f>
        <v>0</v>
      </c>
      <c r="U14" s="1706"/>
      <c r="V14" s="1706"/>
      <c r="W14" s="1705"/>
      <c r="X14" s="1705"/>
      <c r="Y14" s="1705"/>
      <c r="Z14" s="1705">
        <v>0</v>
      </c>
      <c r="AA14" s="1706">
        <v>0</v>
      </c>
      <c r="AB14" s="824"/>
      <c r="AC14" s="1195"/>
      <c r="AD14" s="1195"/>
      <c r="AE14" s="1780"/>
      <c r="AF14" s="1780"/>
      <c r="AG14" s="1655"/>
      <c r="AH14" s="1655"/>
      <c r="AI14" s="535"/>
      <c r="AJ14" s="535"/>
      <c r="AK14" s="535"/>
      <c r="AL14" s="535"/>
    </row>
    <row r="15" spans="1:68" s="536" customFormat="1" ht="12.75">
      <c r="A15" s="548"/>
      <c r="B15" s="549"/>
      <c r="C15" s="1704"/>
      <c r="D15" s="1704"/>
      <c r="E15" s="1704"/>
      <c r="F15" s="1704"/>
      <c r="G15" s="1704"/>
      <c r="H15" s="1704"/>
      <c r="I15" s="1704"/>
      <c r="J15" s="1704"/>
      <c r="K15" s="1704"/>
      <c r="L15" s="1704"/>
      <c r="M15" s="1704"/>
      <c r="N15" s="1704"/>
      <c r="O15" s="1704"/>
      <c r="P15" s="1705"/>
      <c r="Q15" s="1704"/>
      <c r="R15" s="1706"/>
      <c r="S15" s="1706"/>
      <c r="T15" s="1709">
        <f t="shared" si="0"/>
        <v>0</v>
      </c>
      <c r="U15" s="1704"/>
      <c r="V15" s="1704"/>
      <c r="W15" s="1704"/>
      <c r="X15" s="1704"/>
      <c r="Y15" s="1704"/>
      <c r="Z15" s="1705"/>
      <c r="AA15" s="1706"/>
      <c r="AB15" s="824"/>
      <c r="AC15" s="1195"/>
      <c r="AD15" s="1195"/>
      <c r="AE15" s="1781"/>
      <c r="AF15" s="1781"/>
      <c r="AG15" s="1655"/>
      <c r="AH15" s="1655"/>
      <c r="AI15" s="535"/>
      <c r="AJ15" s="535"/>
      <c r="AK15" s="535"/>
      <c r="AL15" s="535"/>
    </row>
    <row r="16" spans="1:68" s="536" customFormat="1" ht="12.75">
      <c r="A16" s="550"/>
      <c r="B16" s="451"/>
      <c r="C16" s="1915"/>
      <c r="D16" s="1915"/>
      <c r="E16" s="1915"/>
      <c r="F16" s="1915"/>
      <c r="G16" s="1915"/>
      <c r="H16" s="1915"/>
      <c r="I16" s="1915"/>
      <c r="J16" s="1915"/>
      <c r="K16" s="1915"/>
      <c r="L16" s="1385"/>
      <c r="M16" s="1915"/>
      <c r="N16" s="1915"/>
      <c r="O16" s="1915"/>
      <c r="P16" s="1915"/>
      <c r="Q16" s="1915"/>
      <c r="R16" s="1916"/>
      <c r="S16" s="1916"/>
      <c r="T16" s="1917">
        <f t="shared" si="0"/>
        <v>0</v>
      </c>
      <c r="U16" s="1915"/>
      <c r="V16" s="1915"/>
      <c r="W16" s="1915"/>
      <c r="X16" s="1385"/>
      <c r="Y16" s="1915"/>
      <c r="Z16" s="1915"/>
      <c r="AA16" s="1916"/>
      <c r="AB16" s="891"/>
      <c r="AC16" s="1394"/>
      <c r="AD16" s="1394"/>
      <c r="AE16" s="1918"/>
      <c r="AF16" s="1918"/>
      <c r="AG16" s="1655"/>
      <c r="AH16" s="1655"/>
      <c r="AI16" s="535"/>
      <c r="AJ16" s="535"/>
      <c r="AK16" s="535"/>
      <c r="AL16" s="535"/>
    </row>
    <row r="17" spans="1:38" s="536" customFormat="1" ht="12.75">
      <c r="A17" s="551">
        <v>1</v>
      </c>
      <c r="B17" s="552" t="s">
        <v>316</v>
      </c>
      <c r="C17" s="1919"/>
      <c r="D17" s="1919">
        <f>1015000*1.2</f>
        <v>1218000</v>
      </c>
      <c r="E17" s="1919">
        <v>1</v>
      </c>
      <c r="F17" s="1919">
        <f>E17*D17</f>
        <v>1218000</v>
      </c>
      <c r="G17" s="1385"/>
      <c r="H17" s="1385"/>
      <c r="I17" s="1385"/>
      <c r="J17" s="1385"/>
      <c r="K17" s="1920"/>
      <c r="L17" s="1385">
        <f>I17-J17+K17</f>
        <v>0</v>
      </c>
      <c r="M17" s="1385"/>
      <c r="N17" s="1385"/>
      <c r="O17" s="1385"/>
      <c r="P17" s="1385"/>
      <c r="Q17" s="1385"/>
      <c r="R17" s="1385"/>
      <c r="S17" s="1385"/>
      <c r="T17" s="1917">
        <f t="shared" si="0"/>
        <v>0</v>
      </c>
      <c r="U17" s="1385"/>
      <c r="V17" s="1385"/>
      <c r="W17" s="1385"/>
      <c r="X17" s="1385">
        <v>0</v>
      </c>
      <c r="Y17" s="1385"/>
      <c r="Z17" s="1385"/>
      <c r="AA17" s="1385"/>
      <c r="AB17" s="891"/>
      <c r="AC17" s="1394"/>
      <c r="AD17" s="1394"/>
      <c r="AE17" s="1918"/>
      <c r="AF17" s="1918"/>
      <c r="AG17" s="1655"/>
      <c r="AH17" s="1655"/>
      <c r="AI17" s="535"/>
      <c r="AJ17" s="535"/>
      <c r="AK17" s="535"/>
      <c r="AL17" s="535"/>
    </row>
    <row r="18" spans="1:38" s="536" customFormat="1" ht="12.75">
      <c r="A18" s="551">
        <v>2</v>
      </c>
      <c r="B18" s="552" t="s">
        <v>317</v>
      </c>
      <c r="C18" s="1919"/>
      <c r="D18" s="1919">
        <f>990000*1.2</f>
        <v>1188000</v>
      </c>
      <c r="E18" s="1919">
        <v>1</v>
      </c>
      <c r="F18" s="1919">
        <f>E18*D18</f>
        <v>1188000</v>
      </c>
      <c r="G18" s="1385"/>
      <c r="H18" s="1385"/>
      <c r="I18" s="1385"/>
      <c r="J18" s="1385"/>
      <c r="K18" s="1385"/>
      <c r="L18" s="1385">
        <f>I18-J18+K18</f>
        <v>0</v>
      </c>
      <c r="M18" s="1385"/>
      <c r="N18" s="1385"/>
      <c r="O18" s="1385"/>
      <c r="P18" s="1385"/>
      <c r="Q18" s="1385"/>
      <c r="R18" s="1385"/>
      <c r="S18" s="1385"/>
      <c r="T18" s="1917">
        <f t="shared" si="0"/>
        <v>0</v>
      </c>
      <c r="U18" s="1385"/>
      <c r="V18" s="1385"/>
      <c r="W18" s="1385"/>
      <c r="X18" s="1385">
        <v>0</v>
      </c>
      <c r="Y18" s="1385"/>
      <c r="Z18" s="1385"/>
      <c r="AA18" s="1385"/>
      <c r="AB18" s="891"/>
      <c r="AC18" s="1394"/>
      <c r="AD18" s="1394"/>
      <c r="AE18" s="1918"/>
      <c r="AF18" s="1918"/>
      <c r="AG18" s="1655"/>
      <c r="AH18" s="1655"/>
      <c r="AI18" s="535"/>
      <c r="AJ18" s="535"/>
      <c r="AK18" s="535"/>
      <c r="AL18" s="535"/>
    </row>
    <row r="19" spans="1:38" s="536" customFormat="1" ht="22.5">
      <c r="A19" s="553">
        <v>3</v>
      </c>
      <c r="B19" s="452" t="s">
        <v>318</v>
      </c>
      <c r="C19" s="1385"/>
      <c r="D19" s="1385">
        <f>580000*1.2</f>
        <v>696000</v>
      </c>
      <c r="E19" s="1385">
        <v>1</v>
      </c>
      <c r="F19" s="1385">
        <f>E19*D19</f>
        <v>696000</v>
      </c>
      <c r="G19" s="1385"/>
      <c r="H19" s="1385"/>
      <c r="I19" s="1385"/>
      <c r="J19" s="1385"/>
      <c r="K19" s="1385"/>
      <c r="L19" s="1385">
        <f>I19-J19+K19</f>
        <v>0</v>
      </c>
      <c r="M19" s="1385"/>
      <c r="N19" s="1385"/>
      <c r="O19" s="1385"/>
      <c r="P19" s="1385"/>
      <c r="Q19" s="1385"/>
      <c r="R19" s="1385">
        <v>0</v>
      </c>
      <c r="S19" s="1385">
        <f>+P19-R19</f>
        <v>0</v>
      </c>
      <c r="T19" s="1917">
        <f t="shared" si="0"/>
        <v>696000</v>
      </c>
      <c r="U19" s="1385">
        <f>D19</f>
        <v>696000</v>
      </c>
      <c r="V19" s="1385">
        <v>1</v>
      </c>
      <c r="W19" s="1385">
        <f>U19*V19</f>
        <v>696000</v>
      </c>
      <c r="X19" s="1385">
        <v>0</v>
      </c>
      <c r="Y19" s="1385"/>
      <c r="Z19" s="1385"/>
      <c r="AA19" s="1385">
        <v>0</v>
      </c>
      <c r="AB19" s="891">
        <f>F19</f>
        <v>696000</v>
      </c>
      <c r="AC19" s="1394"/>
      <c r="AD19" s="1394"/>
      <c r="AE19" s="1918">
        <v>1</v>
      </c>
      <c r="AF19" s="1918">
        <f>AE19*F19</f>
        <v>696000</v>
      </c>
      <c r="AG19" s="1655"/>
      <c r="AH19" s="1655"/>
      <c r="AI19" s="535"/>
      <c r="AJ19" s="535"/>
      <c r="AK19" s="535"/>
      <c r="AL19" s="535"/>
    </row>
    <row r="20" spans="1:38" s="536" customFormat="1" ht="12.75">
      <c r="A20" s="553"/>
      <c r="B20" s="452" t="s">
        <v>319</v>
      </c>
      <c r="C20" s="1385"/>
      <c r="D20" s="1385"/>
      <c r="E20" s="1385"/>
      <c r="F20" s="1385"/>
      <c r="G20" s="1385"/>
      <c r="H20" s="1385"/>
      <c r="I20" s="1385"/>
      <c r="J20" s="1385"/>
      <c r="K20" s="1385"/>
      <c r="L20" s="1385"/>
      <c r="M20" s="1385"/>
      <c r="N20" s="1385"/>
      <c r="O20" s="1385"/>
      <c r="P20" s="1385"/>
      <c r="Q20" s="1385"/>
      <c r="R20" s="1385"/>
      <c r="S20" s="1385"/>
      <c r="T20" s="1917">
        <f t="shared" si="0"/>
        <v>0</v>
      </c>
      <c r="U20" s="1385"/>
      <c r="V20" s="1385"/>
      <c r="W20" s="1385"/>
      <c r="X20" s="1385"/>
      <c r="Y20" s="1385"/>
      <c r="Z20" s="1385"/>
      <c r="AA20" s="1385"/>
      <c r="AB20" s="891"/>
      <c r="AC20" s="1394"/>
      <c r="AD20" s="1394"/>
      <c r="AE20" s="1918"/>
      <c r="AF20" s="1918"/>
      <c r="AG20" s="1655"/>
      <c r="AH20" s="1655"/>
      <c r="AI20" s="535"/>
      <c r="AJ20" s="535"/>
      <c r="AK20" s="535"/>
      <c r="AL20" s="535"/>
    </row>
    <row r="21" spans="1:38" s="536" customFormat="1" ht="22.5">
      <c r="A21" s="553"/>
      <c r="B21" s="1224" t="s">
        <v>301</v>
      </c>
      <c r="C21" s="1385"/>
      <c r="D21" s="1385">
        <f>$D$19*0.45</f>
        <v>313200</v>
      </c>
      <c r="E21" s="1385">
        <v>1</v>
      </c>
      <c r="F21" s="1385">
        <f>E21*D21</f>
        <v>313200</v>
      </c>
      <c r="G21" s="1385">
        <v>57277.85</v>
      </c>
      <c r="H21" s="1385" t="s">
        <v>142</v>
      </c>
      <c r="I21" s="1385">
        <f>W21</f>
        <v>313200</v>
      </c>
      <c r="J21" s="1385"/>
      <c r="K21" s="1385"/>
      <c r="L21" s="1385">
        <f>I21-J21+K21</f>
        <v>313200</v>
      </c>
      <c r="M21" s="1385"/>
      <c r="N21" s="1385">
        <f>G21</f>
        <v>57277.85</v>
      </c>
      <c r="O21" s="1385">
        <v>0.84</v>
      </c>
      <c r="P21" s="1921">
        <f>O21*W19</f>
        <v>584640</v>
      </c>
      <c r="Q21" s="1385"/>
      <c r="R21" s="1385"/>
      <c r="S21" s="1385"/>
      <c r="T21" s="1917">
        <f t="shared" si="0"/>
        <v>0</v>
      </c>
      <c r="U21" s="1385">
        <f>$D$19*0.45</f>
        <v>313200</v>
      </c>
      <c r="V21" s="1385">
        <v>1</v>
      </c>
      <c r="W21" s="1385">
        <f>U21*V21</f>
        <v>313200</v>
      </c>
      <c r="X21" s="1385">
        <v>313200</v>
      </c>
      <c r="Y21" s="1385">
        <v>57277.85</v>
      </c>
      <c r="Z21" s="1385">
        <v>584640</v>
      </c>
      <c r="AA21" s="1385"/>
      <c r="AB21" s="1385"/>
      <c r="AC21" s="1394"/>
      <c r="AD21" s="1394"/>
      <c r="AE21" s="1918"/>
      <c r="AF21" s="1918"/>
      <c r="AG21" s="1655"/>
      <c r="AH21" s="1655"/>
      <c r="AI21" s="535"/>
      <c r="AJ21" s="535"/>
      <c r="AK21" s="535"/>
      <c r="AL21" s="535"/>
    </row>
    <row r="22" spans="1:38" s="536" customFormat="1" ht="12.75">
      <c r="A22" s="553"/>
      <c r="B22" s="1224" t="s">
        <v>302</v>
      </c>
      <c r="C22" s="1385"/>
      <c r="D22" s="1385">
        <f>$D$19*0.35</f>
        <v>243599.99999999997</v>
      </c>
      <c r="E22" s="1385">
        <v>1</v>
      </c>
      <c r="F22" s="1385">
        <f>E22*D22</f>
        <v>243599.99999999997</v>
      </c>
      <c r="G22" s="1385"/>
      <c r="H22" s="1385"/>
      <c r="I22" s="1385">
        <f>W22</f>
        <v>243599.99999999997</v>
      </c>
      <c r="J22" s="1385"/>
      <c r="K22" s="1385"/>
      <c r="L22" s="1385">
        <f>I22-J22+K22</f>
        <v>243599.99999999997</v>
      </c>
      <c r="M22" s="1385"/>
      <c r="N22" s="1385"/>
      <c r="O22" s="1385">
        <v>0.16</v>
      </c>
      <c r="P22" s="1385">
        <f>O22*W19</f>
        <v>111360</v>
      </c>
      <c r="Q22" s="1385"/>
      <c r="R22" s="1385"/>
      <c r="S22" s="1385"/>
      <c r="T22" s="1917">
        <f t="shared" si="0"/>
        <v>0</v>
      </c>
      <c r="U22" s="1385">
        <f>$D$19*0.35</f>
        <v>243599.99999999997</v>
      </c>
      <c r="V22" s="1385">
        <v>1</v>
      </c>
      <c r="W22" s="1385">
        <f>U22*V22</f>
        <v>243599.99999999997</v>
      </c>
      <c r="X22" s="1385">
        <v>243600</v>
      </c>
      <c r="Y22" s="1385"/>
      <c r="Z22" s="1385">
        <v>111360</v>
      </c>
      <c r="AA22" s="1385"/>
      <c r="AB22" s="1385"/>
      <c r="AC22" s="1394"/>
      <c r="AD22" s="1394"/>
      <c r="AE22" s="1918"/>
      <c r="AF22" s="1918"/>
      <c r="AG22" s="1655"/>
      <c r="AH22" s="1655"/>
      <c r="AI22" s="535"/>
      <c r="AJ22" s="535"/>
      <c r="AK22" s="535"/>
      <c r="AL22" s="535"/>
    </row>
    <row r="23" spans="1:38" s="536" customFormat="1" ht="12.75">
      <c r="A23" s="553"/>
      <c r="B23" s="1224" t="s">
        <v>303</v>
      </c>
      <c r="C23" s="1385"/>
      <c r="D23" s="1385">
        <f>$D$19*0.2</f>
        <v>139200</v>
      </c>
      <c r="E23" s="1385">
        <v>1</v>
      </c>
      <c r="F23" s="1385">
        <f>E23*D23</f>
        <v>139200</v>
      </c>
      <c r="G23" s="1385"/>
      <c r="H23" s="1385"/>
      <c r="I23" s="1385">
        <f>W23</f>
        <v>139200</v>
      </c>
      <c r="J23" s="1385"/>
      <c r="K23" s="1385"/>
      <c r="L23" s="1385">
        <f>I23-J23+K23</f>
        <v>139200</v>
      </c>
      <c r="M23" s="1385"/>
      <c r="N23" s="1385"/>
      <c r="O23" s="1385"/>
      <c r="P23" s="1385"/>
      <c r="Q23" s="1385"/>
      <c r="R23" s="1385"/>
      <c r="S23" s="1385"/>
      <c r="T23" s="1917">
        <f t="shared" si="0"/>
        <v>0</v>
      </c>
      <c r="U23" s="1385">
        <f>$D$19*0.2</f>
        <v>139200</v>
      </c>
      <c r="V23" s="1385">
        <v>1</v>
      </c>
      <c r="W23" s="1385">
        <f>U23*V23</f>
        <v>139200</v>
      </c>
      <c r="X23" s="1385">
        <v>139200</v>
      </c>
      <c r="Y23" s="1385"/>
      <c r="Z23" s="1385"/>
      <c r="AA23" s="1385"/>
      <c r="AB23" s="1385"/>
      <c r="AC23" s="1394"/>
      <c r="AD23" s="1394"/>
      <c r="AE23" s="1918"/>
      <c r="AF23" s="1918"/>
      <c r="AG23" s="1655"/>
      <c r="AH23" s="1655"/>
      <c r="AI23" s="535"/>
      <c r="AJ23" s="535"/>
      <c r="AK23" s="535"/>
      <c r="AL23" s="535"/>
    </row>
    <row r="24" spans="1:38" s="536" customFormat="1" ht="12.75">
      <c r="A24" s="553"/>
      <c r="B24" s="452"/>
      <c r="C24" s="1385"/>
      <c r="D24" s="1385"/>
      <c r="E24" s="1385"/>
      <c r="F24" s="1385"/>
      <c r="G24" s="1385"/>
      <c r="H24" s="1385"/>
      <c r="I24" s="1385"/>
      <c r="J24" s="1385"/>
      <c r="K24" s="1385"/>
      <c r="L24" s="1385">
        <f>I24-J24+K24</f>
        <v>0</v>
      </c>
      <c r="M24" s="1385"/>
      <c r="N24" s="1385"/>
      <c r="O24" s="1385"/>
      <c r="P24" s="1385"/>
      <c r="Q24" s="1385"/>
      <c r="R24" s="1385"/>
      <c r="S24" s="1385"/>
      <c r="T24" s="1917"/>
      <c r="U24" s="1385"/>
      <c r="V24" s="1385"/>
      <c r="W24" s="1385"/>
      <c r="X24" s="1385">
        <v>0</v>
      </c>
      <c r="Y24" s="1385"/>
      <c r="Z24" s="1385"/>
      <c r="AA24" s="1385"/>
      <c r="AB24" s="889"/>
      <c r="AC24" s="1394"/>
      <c r="AD24" s="1394"/>
      <c r="AE24" s="1918"/>
      <c r="AF24" s="1918"/>
      <c r="AG24" s="1655"/>
      <c r="AH24" s="1655"/>
      <c r="AI24" s="535"/>
      <c r="AJ24" s="535"/>
      <c r="AK24" s="535"/>
      <c r="AL24" s="535"/>
    </row>
    <row r="25" spans="1:38" s="536" customFormat="1" ht="12.75">
      <c r="A25" s="553"/>
      <c r="B25" s="452"/>
      <c r="C25" s="1385"/>
      <c r="D25" s="1385"/>
      <c r="E25" s="1385"/>
      <c r="F25" s="1385"/>
      <c r="G25" s="1385"/>
      <c r="H25" s="1318"/>
      <c r="I25" s="1385"/>
      <c r="J25" s="1385"/>
      <c r="K25" s="1385"/>
      <c r="L25" s="1385"/>
      <c r="M25" s="1385"/>
      <c r="N25" s="1297">
        <v>0</v>
      </c>
      <c r="O25" s="1922"/>
      <c r="P25" s="1385"/>
      <c r="Q25" s="1385"/>
      <c r="R25" s="1385"/>
      <c r="S25" s="1385"/>
      <c r="T25" s="1917"/>
      <c r="U25" s="1385"/>
      <c r="V25" s="1385"/>
      <c r="W25" s="1385"/>
      <c r="X25" s="1385"/>
      <c r="Y25" s="1385">
        <v>0</v>
      </c>
      <c r="Z25" s="1385"/>
      <c r="AA25" s="1385"/>
      <c r="AB25" s="891"/>
      <c r="AC25" s="1394"/>
      <c r="AD25" s="1394"/>
      <c r="AE25" s="1918"/>
      <c r="AF25" s="1918"/>
      <c r="AG25" s="1655"/>
      <c r="AH25" s="1655"/>
      <c r="AI25" s="535"/>
      <c r="AJ25" s="535"/>
      <c r="AK25" s="535"/>
      <c r="AL25" s="535"/>
    </row>
    <row r="26" spans="1:38" s="536" customFormat="1" ht="12.75">
      <c r="A26" s="553"/>
      <c r="B26" s="452"/>
      <c r="C26" s="1385"/>
      <c r="D26" s="1385"/>
      <c r="E26" s="1385"/>
      <c r="F26" s="1385"/>
      <c r="G26" s="1385"/>
      <c r="H26" s="1318"/>
      <c r="I26" s="1385"/>
      <c r="J26" s="1385"/>
      <c r="K26" s="1385"/>
      <c r="L26" s="1385"/>
      <c r="M26" s="1385"/>
      <c r="N26" s="1297">
        <v>0</v>
      </c>
      <c r="O26" s="1922"/>
      <c r="P26" s="1385"/>
      <c r="Q26" s="1385"/>
      <c r="R26" s="1385"/>
      <c r="S26" s="1385"/>
      <c r="T26" s="1917"/>
      <c r="U26" s="1385"/>
      <c r="V26" s="1385"/>
      <c r="W26" s="1385"/>
      <c r="X26" s="1385"/>
      <c r="Y26" s="1385">
        <v>0</v>
      </c>
      <c r="Z26" s="1385"/>
      <c r="AA26" s="1385"/>
      <c r="AB26" s="891"/>
      <c r="AC26" s="1394"/>
      <c r="AD26" s="1394"/>
      <c r="AE26" s="1918"/>
      <c r="AF26" s="1918"/>
      <c r="AG26" s="1655"/>
      <c r="AH26" s="1655"/>
      <c r="AI26" s="535"/>
      <c r="AJ26" s="535"/>
      <c r="AK26" s="535"/>
      <c r="AL26" s="535"/>
    </row>
    <row r="27" spans="1:38" s="536" customFormat="1" ht="12.75">
      <c r="A27" s="553"/>
      <c r="B27" s="452"/>
      <c r="C27" s="1385"/>
      <c r="D27" s="1385"/>
      <c r="E27" s="1385"/>
      <c r="F27" s="1385"/>
      <c r="G27" s="1385"/>
      <c r="H27" s="1385"/>
      <c r="I27" s="1385"/>
      <c r="J27" s="1385"/>
      <c r="K27" s="1385"/>
      <c r="L27" s="1385"/>
      <c r="M27" s="1385"/>
      <c r="N27" s="1385"/>
      <c r="O27" s="1385"/>
      <c r="P27" s="1385"/>
      <c r="Q27" s="1385"/>
      <c r="R27" s="1385"/>
      <c r="S27" s="1385"/>
      <c r="T27" s="1917"/>
      <c r="U27" s="1385"/>
      <c r="V27" s="1385"/>
      <c r="W27" s="1385"/>
      <c r="X27" s="1385"/>
      <c r="Y27" s="1385"/>
      <c r="Z27" s="1385"/>
      <c r="AA27" s="1385"/>
      <c r="AB27" s="891"/>
      <c r="AC27" s="1394"/>
      <c r="AD27" s="1394"/>
      <c r="AE27" s="1918"/>
      <c r="AF27" s="1918"/>
      <c r="AG27" s="1655"/>
      <c r="AH27" s="1655"/>
      <c r="AI27" s="535"/>
      <c r="AJ27" s="535"/>
      <c r="AK27" s="535"/>
      <c r="AL27" s="535"/>
    </row>
    <row r="28" spans="1:38" s="536" customFormat="1" ht="12.75">
      <c r="A28" s="553"/>
      <c r="B28" s="452"/>
      <c r="C28" s="1385"/>
      <c r="D28" s="1385"/>
      <c r="E28" s="1385"/>
      <c r="F28" s="1385"/>
      <c r="G28" s="1385"/>
      <c r="H28" s="1385"/>
      <c r="I28" s="1385"/>
      <c r="J28" s="1385"/>
      <c r="K28" s="1385"/>
      <c r="L28" s="1385"/>
      <c r="M28" s="1385"/>
      <c r="N28" s="1385"/>
      <c r="O28" s="1385"/>
      <c r="P28" s="1385"/>
      <c r="Q28" s="1385"/>
      <c r="R28" s="1385"/>
      <c r="S28" s="1385"/>
      <c r="T28" s="1917"/>
      <c r="U28" s="1385"/>
      <c r="V28" s="1385"/>
      <c r="W28" s="1385"/>
      <c r="X28" s="1385"/>
      <c r="Y28" s="1385"/>
      <c r="Z28" s="1385"/>
      <c r="AA28" s="1385"/>
      <c r="AB28" s="891"/>
      <c r="AC28" s="1394"/>
      <c r="AD28" s="1394"/>
      <c r="AE28" s="1918"/>
      <c r="AF28" s="1918"/>
      <c r="AG28" s="1655"/>
      <c r="AH28" s="1655"/>
      <c r="AI28" s="535"/>
      <c r="AJ28" s="535"/>
      <c r="AK28" s="535"/>
      <c r="AL28" s="535"/>
    </row>
    <row r="29" spans="1:38" s="536" customFormat="1" ht="12.75">
      <c r="A29" s="553"/>
      <c r="B29" s="452"/>
      <c r="C29" s="1385"/>
      <c r="D29" s="1385"/>
      <c r="E29" s="1385"/>
      <c r="F29" s="1385"/>
      <c r="G29" s="1385"/>
      <c r="H29" s="1385"/>
      <c r="I29" s="1385"/>
      <c r="J29" s="1385"/>
      <c r="K29" s="1385"/>
      <c r="L29" s="1385"/>
      <c r="M29" s="1385"/>
      <c r="N29" s="1385"/>
      <c r="O29" s="1385"/>
      <c r="P29" s="1385"/>
      <c r="Q29" s="1385"/>
      <c r="R29" s="1385"/>
      <c r="S29" s="1385"/>
      <c r="T29" s="1917"/>
      <c r="U29" s="1385"/>
      <c r="V29" s="1385"/>
      <c r="W29" s="1385"/>
      <c r="X29" s="1385"/>
      <c r="Y29" s="1385"/>
      <c r="Z29" s="1385"/>
      <c r="AA29" s="1385"/>
      <c r="AB29" s="891"/>
      <c r="AC29" s="1394"/>
      <c r="AD29" s="1394"/>
      <c r="AE29" s="1918"/>
      <c r="AF29" s="1918"/>
      <c r="AG29" s="1655"/>
      <c r="AH29" s="1655"/>
      <c r="AI29" s="535"/>
      <c r="AJ29" s="535"/>
      <c r="AK29" s="535"/>
      <c r="AL29" s="535"/>
    </row>
    <row r="30" spans="1:38" s="536" customFormat="1" ht="12.75">
      <c r="A30" s="553"/>
      <c r="B30" s="452"/>
      <c r="C30" s="1385"/>
      <c r="D30" s="1385"/>
      <c r="E30" s="1385"/>
      <c r="F30" s="1385"/>
      <c r="G30" s="1385"/>
      <c r="H30" s="1385"/>
      <c r="I30" s="1385"/>
      <c r="J30" s="1385"/>
      <c r="K30" s="1385"/>
      <c r="L30" s="1385"/>
      <c r="M30" s="1385"/>
      <c r="N30" s="1385"/>
      <c r="O30" s="1385"/>
      <c r="P30" s="1385"/>
      <c r="Q30" s="1385"/>
      <c r="R30" s="1385"/>
      <c r="S30" s="1385"/>
      <c r="T30" s="1917"/>
      <c r="U30" s="1385"/>
      <c r="V30" s="1385"/>
      <c r="W30" s="1385"/>
      <c r="X30" s="1385"/>
      <c r="Y30" s="1385"/>
      <c r="Z30" s="1385"/>
      <c r="AA30" s="1385"/>
      <c r="AB30" s="891"/>
      <c r="AC30" s="1394"/>
      <c r="AD30" s="1394"/>
      <c r="AE30" s="1918"/>
      <c r="AF30" s="1918"/>
      <c r="AG30" s="1655"/>
      <c r="AH30" s="1655"/>
      <c r="AI30" s="535"/>
      <c r="AJ30" s="535"/>
      <c r="AK30" s="535"/>
      <c r="AL30" s="535"/>
    </row>
    <row r="31" spans="1:38" s="536" customFormat="1" ht="12.75">
      <c r="A31" s="553"/>
      <c r="B31" s="452"/>
      <c r="C31" s="1385"/>
      <c r="D31" s="1385"/>
      <c r="E31" s="1385"/>
      <c r="F31" s="1385"/>
      <c r="G31" s="1385"/>
      <c r="H31" s="1385"/>
      <c r="I31" s="1385"/>
      <c r="J31" s="1385"/>
      <c r="K31" s="1385"/>
      <c r="L31" s="1385"/>
      <c r="M31" s="1385"/>
      <c r="N31" s="1385"/>
      <c r="O31" s="1385"/>
      <c r="P31" s="1385"/>
      <c r="Q31" s="1385"/>
      <c r="R31" s="1385"/>
      <c r="S31" s="1385"/>
      <c r="T31" s="1917"/>
      <c r="U31" s="1385"/>
      <c r="V31" s="1385"/>
      <c r="W31" s="1385"/>
      <c r="X31" s="1385"/>
      <c r="Y31" s="1385"/>
      <c r="Z31" s="1385"/>
      <c r="AA31" s="1385"/>
      <c r="AB31" s="891"/>
      <c r="AC31" s="1394"/>
      <c r="AD31" s="1394"/>
      <c r="AE31" s="1918"/>
      <c r="AF31" s="1918"/>
      <c r="AG31" s="1655"/>
      <c r="AH31" s="1655"/>
      <c r="AI31" s="535"/>
      <c r="AJ31" s="535"/>
      <c r="AK31" s="535"/>
      <c r="AL31" s="535"/>
    </row>
    <row r="32" spans="1:38" s="536" customFormat="1" ht="12.75">
      <c r="A32" s="553"/>
      <c r="B32" s="452"/>
      <c r="C32" s="1385"/>
      <c r="D32" s="1385"/>
      <c r="E32" s="1385"/>
      <c r="F32" s="1385"/>
      <c r="G32" s="1385"/>
      <c r="H32" s="1385"/>
      <c r="I32" s="1385"/>
      <c r="J32" s="1385"/>
      <c r="K32" s="1385"/>
      <c r="L32" s="1385"/>
      <c r="M32" s="1385"/>
      <c r="N32" s="1385"/>
      <c r="O32" s="1385"/>
      <c r="P32" s="1385"/>
      <c r="Q32" s="1385"/>
      <c r="R32" s="1385"/>
      <c r="S32" s="1385"/>
      <c r="T32" s="1917"/>
      <c r="U32" s="1385"/>
      <c r="V32" s="1385"/>
      <c r="W32" s="1385"/>
      <c r="X32" s="1385"/>
      <c r="Y32" s="1385"/>
      <c r="Z32" s="1385"/>
      <c r="AA32" s="1385"/>
      <c r="AB32" s="891"/>
      <c r="AC32" s="1394"/>
      <c r="AD32" s="1394"/>
      <c r="AE32" s="1918"/>
      <c r="AF32" s="1918"/>
      <c r="AG32" s="1655"/>
      <c r="AH32" s="1655"/>
      <c r="AI32" s="535"/>
      <c r="AJ32" s="535"/>
      <c r="AK32" s="535"/>
      <c r="AL32" s="535"/>
    </row>
    <row r="33" spans="1:38" s="536" customFormat="1" ht="12.75">
      <c r="A33" s="553"/>
      <c r="B33" s="452"/>
      <c r="C33" s="1385"/>
      <c r="D33" s="1385"/>
      <c r="E33" s="1385"/>
      <c r="F33" s="1385"/>
      <c r="G33" s="1385"/>
      <c r="H33" s="1385"/>
      <c r="I33" s="1385"/>
      <c r="J33" s="1385"/>
      <c r="K33" s="1385"/>
      <c r="L33" s="1385"/>
      <c r="M33" s="1385"/>
      <c r="N33" s="1385"/>
      <c r="O33" s="1385"/>
      <c r="P33" s="1385"/>
      <c r="Q33" s="1385"/>
      <c r="R33" s="1385"/>
      <c r="S33" s="1385"/>
      <c r="T33" s="1917"/>
      <c r="U33" s="1385"/>
      <c r="V33" s="1385"/>
      <c r="W33" s="1385"/>
      <c r="X33" s="1385"/>
      <c r="Y33" s="1385"/>
      <c r="Z33" s="1385"/>
      <c r="AA33" s="1385"/>
      <c r="AB33" s="891"/>
      <c r="AC33" s="1394"/>
      <c r="AD33" s="1394"/>
      <c r="AE33" s="1918"/>
      <c r="AF33" s="1918"/>
      <c r="AG33" s="1655"/>
      <c r="AH33" s="1655"/>
      <c r="AI33" s="535"/>
      <c r="AJ33" s="535"/>
      <c r="AK33" s="535"/>
      <c r="AL33" s="535"/>
    </row>
    <row r="34" spans="1:38" s="536" customFormat="1" ht="12.75">
      <c r="A34" s="553"/>
      <c r="B34" s="452"/>
      <c r="C34" s="1385"/>
      <c r="D34" s="1385"/>
      <c r="E34" s="1385"/>
      <c r="F34" s="1385"/>
      <c r="G34" s="1385"/>
      <c r="H34" s="1385"/>
      <c r="I34" s="1385"/>
      <c r="J34" s="1385"/>
      <c r="K34" s="1385"/>
      <c r="L34" s="1385"/>
      <c r="M34" s="1385"/>
      <c r="N34" s="1385"/>
      <c r="O34" s="1385"/>
      <c r="P34" s="1385"/>
      <c r="Q34" s="1385"/>
      <c r="R34" s="1385"/>
      <c r="S34" s="1385"/>
      <c r="T34" s="1917"/>
      <c r="U34" s="1385"/>
      <c r="V34" s="1385"/>
      <c r="W34" s="1385"/>
      <c r="X34" s="1385"/>
      <c r="Y34" s="1385"/>
      <c r="Z34" s="1385"/>
      <c r="AA34" s="1385"/>
      <c r="AB34" s="891"/>
      <c r="AC34" s="1394"/>
      <c r="AD34" s="1394"/>
      <c r="AE34" s="1918"/>
      <c r="AF34" s="1918"/>
      <c r="AG34" s="1655"/>
      <c r="AH34" s="1655"/>
      <c r="AI34" s="535"/>
      <c r="AJ34" s="535"/>
      <c r="AK34" s="535"/>
      <c r="AL34" s="535"/>
    </row>
    <row r="35" spans="1:38" s="536" customFormat="1" ht="12.75">
      <c r="A35" s="553"/>
      <c r="B35" s="452"/>
      <c r="C35" s="1385"/>
      <c r="D35" s="1385"/>
      <c r="E35" s="1385"/>
      <c r="F35" s="1385"/>
      <c r="G35" s="1385"/>
      <c r="H35" s="1385"/>
      <c r="I35" s="1385"/>
      <c r="J35" s="1385"/>
      <c r="K35" s="1385"/>
      <c r="L35" s="1385"/>
      <c r="M35" s="1385"/>
      <c r="N35" s="1385"/>
      <c r="O35" s="1385"/>
      <c r="P35" s="1385"/>
      <c r="Q35" s="1385"/>
      <c r="R35" s="1385"/>
      <c r="S35" s="1385"/>
      <c r="T35" s="1917"/>
      <c r="U35" s="1385"/>
      <c r="V35" s="1385"/>
      <c r="W35" s="1385"/>
      <c r="X35" s="1385"/>
      <c r="Y35" s="1385"/>
      <c r="Z35" s="1385"/>
      <c r="AA35" s="1385"/>
      <c r="AB35" s="891"/>
      <c r="AC35" s="1394"/>
      <c r="AD35" s="1394"/>
      <c r="AE35" s="1918"/>
      <c r="AF35" s="1918"/>
      <c r="AG35" s="1655"/>
      <c r="AH35" s="1655"/>
      <c r="AI35" s="535"/>
      <c r="AJ35" s="535"/>
      <c r="AK35" s="535"/>
      <c r="AL35" s="535"/>
    </row>
    <row r="36" spans="1:38" s="536" customFormat="1" ht="12.75">
      <c r="A36" s="553"/>
      <c r="B36" s="452"/>
      <c r="C36" s="1385"/>
      <c r="D36" s="1915"/>
      <c r="E36" s="1915"/>
      <c r="F36" s="1915"/>
      <c r="G36" s="1915"/>
      <c r="H36" s="1915"/>
      <c r="I36" s="1916"/>
      <c r="J36" s="1915"/>
      <c r="K36" s="1915"/>
      <c r="L36" s="1915"/>
      <c r="M36" s="1915"/>
      <c r="N36" s="1915"/>
      <c r="O36" s="1915"/>
      <c r="P36" s="1385"/>
      <c r="Q36" s="1915"/>
      <c r="R36" s="1385"/>
      <c r="S36" s="1385"/>
      <c r="T36" s="1917"/>
      <c r="U36" s="1915"/>
      <c r="V36" s="1915"/>
      <c r="W36" s="1915"/>
      <c r="X36" s="1915"/>
      <c r="Y36" s="1915"/>
      <c r="Z36" s="1385"/>
      <c r="AA36" s="1385"/>
      <c r="AB36" s="891"/>
      <c r="AC36" s="1394"/>
      <c r="AD36" s="1394"/>
      <c r="AE36" s="1918"/>
      <c r="AF36" s="1918"/>
      <c r="AG36" s="1655"/>
      <c r="AH36" s="1655"/>
      <c r="AI36" s="535"/>
      <c r="AJ36" s="535"/>
      <c r="AK36" s="535"/>
      <c r="AL36" s="535"/>
    </row>
    <row r="37" spans="1:38" s="536" customFormat="1" ht="12.75">
      <c r="A37" s="554"/>
      <c r="B37" s="451"/>
      <c r="C37" s="1385"/>
      <c r="D37" s="1915"/>
      <c r="E37" s="1915"/>
      <c r="F37" s="1915"/>
      <c r="G37" s="1915"/>
      <c r="H37" s="1915"/>
      <c r="I37" s="1915"/>
      <c r="J37" s="1915"/>
      <c r="K37" s="1915"/>
      <c r="L37" s="1915"/>
      <c r="M37" s="1915"/>
      <c r="N37" s="1915"/>
      <c r="O37" s="1915"/>
      <c r="P37" s="1385"/>
      <c r="Q37" s="1915"/>
      <c r="R37" s="1385"/>
      <c r="S37" s="1385"/>
      <c r="T37" s="1917"/>
      <c r="U37" s="1915"/>
      <c r="V37" s="1915"/>
      <c r="W37" s="1915"/>
      <c r="X37" s="1915"/>
      <c r="Y37" s="1915"/>
      <c r="Z37" s="1385"/>
      <c r="AA37" s="1385"/>
      <c r="AB37" s="891"/>
      <c r="AC37" s="1394"/>
      <c r="AD37" s="1394"/>
      <c r="AE37" s="1918"/>
      <c r="AF37" s="1918"/>
      <c r="AG37" s="1655"/>
      <c r="AH37" s="1655"/>
      <c r="AI37" s="535"/>
      <c r="AJ37" s="535"/>
      <c r="AK37" s="535"/>
      <c r="AL37" s="535"/>
    </row>
    <row r="38" spans="1:38" s="536" customFormat="1" ht="12.75">
      <c r="A38" s="554"/>
      <c r="B38" s="451"/>
      <c r="C38" s="1385"/>
      <c r="D38" s="1915"/>
      <c r="E38" s="1915"/>
      <c r="F38" s="1915"/>
      <c r="G38" s="1915"/>
      <c r="H38" s="1915"/>
      <c r="I38" s="1915"/>
      <c r="J38" s="1915"/>
      <c r="K38" s="1915"/>
      <c r="L38" s="1915"/>
      <c r="M38" s="1915"/>
      <c r="N38" s="1915"/>
      <c r="O38" s="1915"/>
      <c r="P38" s="1385"/>
      <c r="Q38" s="1915"/>
      <c r="R38" s="1385"/>
      <c r="S38" s="1385"/>
      <c r="T38" s="1917"/>
      <c r="U38" s="1915"/>
      <c r="V38" s="1915"/>
      <c r="W38" s="1915"/>
      <c r="X38" s="1915"/>
      <c r="Y38" s="1915"/>
      <c r="Z38" s="1385"/>
      <c r="AA38" s="1385"/>
      <c r="AB38" s="891"/>
      <c r="AC38" s="1394"/>
      <c r="AD38" s="1394"/>
      <c r="AE38" s="1918"/>
      <c r="AF38" s="1918"/>
      <c r="AG38" s="1655"/>
      <c r="AH38" s="1655"/>
      <c r="AI38" s="535"/>
      <c r="AJ38" s="535"/>
      <c r="AK38" s="535"/>
      <c r="AL38" s="535"/>
    </row>
    <row r="39" spans="1:38" s="536" customFormat="1" ht="12.75">
      <c r="A39" s="553"/>
      <c r="B39" s="555"/>
      <c r="C39" s="1385"/>
      <c r="D39" s="1915"/>
      <c r="E39" s="1915"/>
      <c r="F39" s="1915"/>
      <c r="G39" s="1915"/>
      <c r="H39" s="1915"/>
      <c r="I39" s="1915"/>
      <c r="J39" s="1915"/>
      <c r="K39" s="1915"/>
      <c r="L39" s="1915"/>
      <c r="M39" s="1915"/>
      <c r="N39" s="1915"/>
      <c r="O39" s="1915"/>
      <c r="P39" s="1385"/>
      <c r="Q39" s="1915"/>
      <c r="R39" s="1385"/>
      <c r="S39" s="1385"/>
      <c r="T39" s="1917"/>
      <c r="U39" s="1915"/>
      <c r="V39" s="1915"/>
      <c r="W39" s="1915"/>
      <c r="X39" s="1915"/>
      <c r="Y39" s="1915"/>
      <c r="Z39" s="1385"/>
      <c r="AA39" s="1385"/>
      <c r="AB39" s="891"/>
      <c r="AC39" s="1394"/>
      <c r="AD39" s="1394"/>
      <c r="AE39" s="1918"/>
      <c r="AF39" s="1918"/>
      <c r="AG39" s="1655"/>
      <c r="AH39" s="1655"/>
      <c r="AI39" s="535"/>
      <c r="AJ39" s="535"/>
      <c r="AK39" s="535"/>
      <c r="AL39" s="535"/>
    </row>
    <row r="40" spans="1:38" s="536" customFormat="1" ht="12.75">
      <c r="A40" s="553"/>
      <c r="B40" s="556"/>
      <c r="C40" s="1385"/>
      <c r="D40" s="1915"/>
      <c r="E40" s="1915"/>
      <c r="F40" s="1915"/>
      <c r="G40" s="1915"/>
      <c r="H40" s="1915"/>
      <c r="I40" s="1915"/>
      <c r="J40" s="1915"/>
      <c r="K40" s="1915"/>
      <c r="L40" s="1915"/>
      <c r="M40" s="1915"/>
      <c r="N40" s="1915"/>
      <c r="O40" s="1915"/>
      <c r="P40" s="1385"/>
      <c r="Q40" s="1915"/>
      <c r="R40" s="1385"/>
      <c r="S40" s="1385"/>
      <c r="T40" s="1917"/>
      <c r="U40" s="1915"/>
      <c r="V40" s="1915"/>
      <c r="W40" s="1915"/>
      <c r="X40" s="1915"/>
      <c r="Y40" s="1915"/>
      <c r="Z40" s="1385"/>
      <c r="AA40" s="1385"/>
      <c r="AB40" s="891"/>
      <c r="AC40" s="1394"/>
      <c r="AD40" s="1394"/>
      <c r="AE40" s="1918"/>
      <c r="AF40" s="1918"/>
      <c r="AG40" s="1655"/>
      <c r="AH40" s="1655"/>
      <c r="AI40" s="535"/>
      <c r="AJ40" s="535"/>
      <c r="AK40" s="535"/>
      <c r="AL40" s="535"/>
    </row>
    <row r="41" spans="1:38" s="536" customFormat="1" ht="12.75">
      <c r="A41" s="553"/>
      <c r="B41" s="451"/>
      <c r="C41" s="1385"/>
      <c r="D41" s="1915"/>
      <c r="E41" s="1915"/>
      <c r="F41" s="1915"/>
      <c r="G41" s="1915"/>
      <c r="H41" s="1915"/>
      <c r="I41" s="1915"/>
      <c r="J41" s="1915"/>
      <c r="K41" s="1915"/>
      <c r="L41" s="1915"/>
      <c r="M41" s="1915"/>
      <c r="N41" s="1915"/>
      <c r="O41" s="1915"/>
      <c r="P41" s="1385"/>
      <c r="Q41" s="1915"/>
      <c r="R41" s="1385"/>
      <c r="S41" s="1385"/>
      <c r="T41" s="1917"/>
      <c r="U41" s="1915"/>
      <c r="V41" s="1915"/>
      <c r="W41" s="1915"/>
      <c r="X41" s="1915"/>
      <c r="Y41" s="1915"/>
      <c r="Z41" s="1385"/>
      <c r="AA41" s="1385"/>
      <c r="AB41" s="891"/>
      <c r="AC41" s="1394"/>
      <c r="AD41" s="1394"/>
      <c r="AE41" s="1918"/>
      <c r="AF41" s="1918"/>
      <c r="AG41" s="1655"/>
      <c r="AH41" s="1655"/>
      <c r="AI41" s="535"/>
      <c r="AJ41" s="535"/>
      <c r="AK41" s="535"/>
      <c r="AL41" s="535"/>
    </row>
    <row r="42" spans="1:38" s="536" customFormat="1" ht="12.75">
      <c r="A42" s="553"/>
      <c r="B42" s="451"/>
      <c r="C42" s="1385"/>
      <c r="D42" s="1915"/>
      <c r="E42" s="1915"/>
      <c r="F42" s="1915"/>
      <c r="G42" s="1915"/>
      <c r="H42" s="1915"/>
      <c r="I42" s="1915"/>
      <c r="J42" s="1915"/>
      <c r="K42" s="1915"/>
      <c r="L42" s="1915"/>
      <c r="M42" s="1915"/>
      <c r="N42" s="1915"/>
      <c r="O42" s="1915"/>
      <c r="P42" s="1385"/>
      <c r="Q42" s="1915"/>
      <c r="R42" s="1385"/>
      <c r="S42" s="1385"/>
      <c r="T42" s="1917"/>
      <c r="U42" s="1915"/>
      <c r="V42" s="1915"/>
      <c r="W42" s="1915"/>
      <c r="X42" s="1915"/>
      <c r="Y42" s="1915"/>
      <c r="Z42" s="1385"/>
      <c r="AA42" s="1385"/>
      <c r="AB42" s="891"/>
      <c r="AC42" s="1394"/>
      <c r="AD42" s="1394"/>
      <c r="AE42" s="1918"/>
      <c r="AF42" s="1918"/>
      <c r="AG42" s="1655"/>
      <c r="AH42" s="1655"/>
      <c r="AI42" s="535"/>
      <c r="AJ42" s="535"/>
      <c r="AK42" s="535"/>
      <c r="AL42" s="535"/>
    </row>
    <row r="43" spans="1:38" s="536" customFormat="1" ht="12.75">
      <c r="A43" s="553"/>
      <c r="B43" s="451"/>
      <c r="C43" s="1385"/>
      <c r="D43" s="1915"/>
      <c r="E43" s="1915"/>
      <c r="F43" s="1915"/>
      <c r="G43" s="1915"/>
      <c r="H43" s="1915"/>
      <c r="I43" s="1915"/>
      <c r="J43" s="1915"/>
      <c r="K43" s="1915"/>
      <c r="L43" s="1915"/>
      <c r="M43" s="1915"/>
      <c r="N43" s="1915"/>
      <c r="O43" s="1915"/>
      <c r="P43" s="1385"/>
      <c r="Q43" s="1915"/>
      <c r="R43" s="1385"/>
      <c r="S43" s="1385"/>
      <c r="T43" s="1917"/>
      <c r="U43" s="1915"/>
      <c r="V43" s="1915"/>
      <c r="W43" s="1915"/>
      <c r="X43" s="1915"/>
      <c r="Y43" s="1915"/>
      <c r="Z43" s="1385"/>
      <c r="AA43" s="1385"/>
      <c r="AB43" s="891"/>
      <c r="AC43" s="1394"/>
      <c r="AD43" s="1394"/>
      <c r="AE43" s="1918"/>
      <c r="AF43" s="1918"/>
      <c r="AG43" s="1655"/>
      <c r="AH43" s="1655"/>
      <c r="AI43" s="535"/>
      <c r="AJ43" s="535"/>
      <c r="AK43" s="535"/>
      <c r="AL43" s="535"/>
    </row>
    <row r="44" spans="1:38" s="536" customFormat="1" ht="12.75">
      <c r="A44" s="553"/>
      <c r="B44" s="451"/>
      <c r="C44" s="1385"/>
      <c r="D44" s="1915"/>
      <c r="E44" s="1915"/>
      <c r="F44" s="1915"/>
      <c r="G44" s="1915"/>
      <c r="H44" s="1915"/>
      <c r="I44" s="1915"/>
      <c r="J44" s="1915"/>
      <c r="K44" s="1915"/>
      <c r="L44" s="1915"/>
      <c r="M44" s="1915"/>
      <c r="N44" s="1915"/>
      <c r="O44" s="1915"/>
      <c r="P44" s="1385"/>
      <c r="Q44" s="1915"/>
      <c r="R44" s="1385"/>
      <c r="S44" s="1385"/>
      <c r="T44" s="1917"/>
      <c r="U44" s="1915"/>
      <c r="V44" s="1915"/>
      <c r="W44" s="1915"/>
      <c r="X44" s="1915"/>
      <c r="Y44" s="1915"/>
      <c r="Z44" s="1385"/>
      <c r="AA44" s="1385"/>
      <c r="AB44" s="891"/>
      <c r="AC44" s="1394"/>
      <c r="AD44" s="1394"/>
      <c r="AE44" s="1918"/>
      <c r="AF44" s="1918"/>
      <c r="AG44" s="1655"/>
      <c r="AH44" s="1655"/>
      <c r="AI44" s="535"/>
      <c r="AJ44" s="535"/>
      <c r="AK44" s="535"/>
      <c r="AL44" s="535"/>
    </row>
    <row r="45" spans="1:38" s="536" customFormat="1" ht="12.75">
      <c r="A45" s="553"/>
      <c r="B45" s="451"/>
      <c r="C45" s="1385"/>
      <c r="D45" s="1915"/>
      <c r="E45" s="1915"/>
      <c r="F45" s="1915"/>
      <c r="G45" s="1915"/>
      <c r="H45" s="1915"/>
      <c r="I45" s="1915"/>
      <c r="J45" s="1915"/>
      <c r="K45" s="1915"/>
      <c r="L45" s="1915"/>
      <c r="M45" s="1915"/>
      <c r="N45" s="1915"/>
      <c r="O45" s="1915"/>
      <c r="P45" s="1385"/>
      <c r="Q45" s="1915"/>
      <c r="R45" s="1385"/>
      <c r="S45" s="1385"/>
      <c r="T45" s="1917"/>
      <c r="U45" s="1915"/>
      <c r="V45" s="1915"/>
      <c r="W45" s="1915"/>
      <c r="X45" s="1915"/>
      <c r="Y45" s="1915"/>
      <c r="Z45" s="1385"/>
      <c r="AA45" s="1385"/>
      <c r="AB45" s="891"/>
      <c r="AC45" s="1394"/>
      <c r="AD45" s="1394"/>
      <c r="AE45" s="1918"/>
      <c r="AF45" s="1918"/>
      <c r="AG45" s="1655"/>
      <c r="AH45" s="1655"/>
      <c r="AI45" s="535"/>
      <c r="AJ45" s="535"/>
      <c r="AK45" s="535"/>
      <c r="AL45" s="535"/>
    </row>
    <row r="46" spans="1:38" s="536" customFormat="1" ht="12.75">
      <c r="A46" s="553"/>
      <c r="B46" s="451"/>
      <c r="C46" s="1385"/>
      <c r="D46" s="1915"/>
      <c r="E46" s="1915"/>
      <c r="F46" s="1915"/>
      <c r="G46" s="1915"/>
      <c r="H46" s="1915"/>
      <c r="I46" s="1915"/>
      <c r="J46" s="1915"/>
      <c r="K46" s="1915"/>
      <c r="L46" s="1915"/>
      <c r="M46" s="1915"/>
      <c r="N46" s="1915"/>
      <c r="O46" s="1915"/>
      <c r="P46" s="1385"/>
      <c r="Q46" s="1915"/>
      <c r="R46" s="1385"/>
      <c r="S46" s="1385"/>
      <c r="T46" s="1917"/>
      <c r="U46" s="1915"/>
      <c r="V46" s="1915"/>
      <c r="W46" s="1915"/>
      <c r="X46" s="1915"/>
      <c r="Y46" s="1915"/>
      <c r="Z46" s="1385"/>
      <c r="AA46" s="1385"/>
      <c r="AB46" s="891"/>
      <c r="AC46" s="1394"/>
      <c r="AD46" s="1394"/>
      <c r="AE46" s="1918"/>
      <c r="AF46" s="1918"/>
      <c r="AG46" s="1655"/>
      <c r="AH46" s="1655"/>
      <c r="AI46" s="535"/>
      <c r="AJ46" s="535"/>
      <c r="AK46" s="535"/>
      <c r="AL46" s="535"/>
    </row>
    <row r="47" spans="1:38" s="536" customFormat="1" ht="12.75">
      <c r="A47" s="553"/>
      <c r="B47" s="451"/>
      <c r="C47" s="1385"/>
      <c r="D47" s="1915"/>
      <c r="E47" s="1915"/>
      <c r="F47" s="1915"/>
      <c r="G47" s="1915"/>
      <c r="H47" s="1915"/>
      <c r="I47" s="1915"/>
      <c r="J47" s="1915"/>
      <c r="K47" s="1915"/>
      <c r="L47" s="1915"/>
      <c r="M47" s="1915"/>
      <c r="N47" s="1915"/>
      <c r="O47" s="1915"/>
      <c r="P47" s="1385"/>
      <c r="Q47" s="1915"/>
      <c r="R47" s="1385"/>
      <c r="S47" s="1385"/>
      <c r="T47" s="1917"/>
      <c r="U47" s="1915"/>
      <c r="V47" s="1915"/>
      <c r="W47" s="1915"/>
      <c r="X47" s="1915"/>
      <c r="Y47" s="1915"/>
      <c r="Z47" s="1385"/>
      <c r="AA47" s="1385"/>
      <c r="AB47" s="891"/>
      <c r="AC47" s="1394"/>
      <c r="AD47" s="1394"/>
      <c r="AE47" s="1918"/>
      <c r="AF47" s="1918"/>
      <c r="AG47" s="1655"/>
      <c r="AH47" s="1655"/>
      <c r="AI47" s="535"/>
      <c r="AJ47" s="535"/>
      <c r="AK47" s="535"/>
      <c r="AL47" s="535"/>
    </row>
    <row r="48" spans="1:38" s="536" customFormat="1" ht="12.75">
      <c r="A48" s="553"/>
      <c r="B48" s="549"/>
      <c r="C48" s="1385"/>
      <c r="D48" s="1915"/>
      <c r="E48" s="1915"/>
      <c r="F48" s="1915"/>
      <c r="G48" s="1915"/>
      <c r="H48" s="1915"/>
      <c r="I48" s="1915"/>
      <c r="J48" s="1915"/>
      <c r="K48" s="1915"/>
      <c r="L48" s="1915"/>
      <c r="M48" s="1915"/>
      <c r="N48" s="1915"/>
      <c r="O48" s="1915"/>
      <c r="P48" s="1385"/>
      <c r="Q48" s="1915"/>
      <c r="R48" s="1385"/>
      <c r="S48" s="1385"/>
      <c r="T48" s="1917"/>
      <c r="U48" s="1915"/>
      <c r="V48" s="1915"/>
      <c r="W48" s="1915"/>
      <c r="X48" s="1915"/>
      <c r="Y48" s="1915"/>
      <c r="Z48" s="1385"/>
      <c r="AA48" s="1385"/>
      <c r="AB48" s="891"/>
      <c r="AC48" s="1394"/>
      <c r="AD48" s="1394"/>
      <c r="AE48" s="1918"/>
      <c r="AF48" s="1918"/>
      <c r="AG48" s="1655"/>
      <c r="AH48" s="1655"/>
      <c r="AI48" s="535"/>
      <c r="AJ48" s="535"/>
      <c r="AK48" s="535"/>
      <c r="AL48" s="535"/>
    </row>
    <row r="49" spans="1:38" s="536" customFormat="1" ht="12.75">
      <c r="A49" s="553"/>
      <c r="B49" s="451"/>
      <c r="C49" s="1385"/>
      <c r="D49" s="1915"/>
      <c r="E49" s="1915"/>
      <c r="F49" s="1915"/>
      <c r="G49" s="1915"/>
      <c r="H49" s="1915"/>
      <c r="I49" s="1915"/>
      <c r="J49" s="1915"/>
      <c r="K49" s="1915"/>
      <c r="L49" s="1915"/>
      <c r="M49" s="1915"/>
      <c r="N49" s="1915"/>
      <c r="O49" s="1915"/>
      <c r="P49" s="1385"/>
      <c r="Q49" s="1915"/>
      <c r="R49" s="1385"/>
      <c r="S49" s="1385"/>
      <c r="T49" s="1917"/>
      <c r="U49" s="1915"/>
      <c r="V49" s="1915"/>
      <c r="W49" s="1915"/>
      <c r="X49" s="1915"/>
      <c r="Y49" s="1915"/>
      <c r="Z49" s="1385"/>
      <c r="AA49" s="1385"/>
      <c r="AB49" s="891"/>
      <c r="AC49" s="1394"/>
      <c r="AD49" s="1394"/>
      <c r="AE49" s="1918"/>
      <c r="AF49" s="1918"/>
      <c r="AG49" s="1655"/>
      <c r="AH49" s="1655"/>
      <c r="AI49" s="535"/>
      <c r="AJ49" s="535"/>
      <c r="AK49" s="535"/>
      <c r="AL49" s="535"/>
    </row>
    <row r="50" spans="1:38" s="536" customFormat="1" ht="12.75">
      <c r="A50" s="553"/>
      <c r="B50" s="451"/>
      <c r="C50" s="1385"/>
      <c r="D50" s="1915"/>
      <c r="E50" s="1915"/>
      <c r="F50" s="1915"/>
      <c r="G50" s="1915"/>
      <c r="H50" s="1915"/>
      <c r="I50" s="1915"/>
      <c r="J50" s="1915"/>
      <c r="K50" s="1915"/>
      <c r="L50" s="1915"/>
      <c r="M50" s="1915"/>
      <c r="N50" s="1915"/>
      <c r="O50" s="1915"/>
      <c r="P50" s="1385"/>
      <c r="Q50" s="1915"/>
      <c r="R50" s="1385"/>
      <c r="S50" s="1385"/>
      <c r="T50" s="1917"/>
      <c r="U50" s="1915"/>
      <c r="V50" s="1915"/>
      <c r="W50" s="1915"/>
      <c r="X50" s="1915"/>
      <c r="Y50" s="1915"/>
      <c r="Z50" s="1385"/>
      <c r="AA50" s="1385"/>
      <c r="AB50" s="891"/>
      <c r="AC50" s="1394"/>
      <c r="AD50" s="1394"/>
      <c r="AE50" s="1918"/>
      <c r="AF50" s="1918"/>
      <c r="AG50" s="1655"/>
      <c r="AH50" s="1655"/>
      <c r="AI50" s="535"/>
      <c r="AJ50" s="535"/>
      <c r="AK50" s="535"/>
      <c r="AL50" s="535"/>
    </row>
    <row r="51" spans="1:38" s="536" customFormat="1" ht="12.75">
      <c r="A51" s="452"/>
      <c r="B51" s="451"/>
      <c r="C51" s="1915"/>
      <c r="D51" s="1915"/>
      <c r="E51" s="1915"/>
      <c r="F51" s="1915"/>
      <c r="G51" s="1915"/>
      <c r="H51" s="1915"/>
      <c r="I51" s="1915"/>
      <c r="J51" s="1915"/>
      <c r="K51" s="1915"/>
      <c r="L51" s="1915"/>
      <c r="M51" s="1915"/>
      <c r="N51" s="1915"/>
      <c r="O51" s="1915"/>
      <c r="P51" s="1385"/>
      <c r="Q51" s="1915"/>
      <c r="R51" s="1385"/>
      <c r="S51" s="1385"/>
      <c r="T51" s="1917"/>
      <c r="U51" s="1915"/>
      <c r="V51" s="1915"/>
      <c r="W51" s="1915"/>
      <c r="X51" s="1915"/>
      <c r="Y51" s="1915"/>
      <c r="Z51" s="1385"/>
      <c r="AA51" s="1385"/>
      <c r="AB51" s="891"/>
      <c r="AC51" s="1394"/>
      <c r="AD51" s="1394"/>
      <c r="AE51" s="1918"/>
      <c r="AF51" s="1918"/>
      <c r="AG51" s="1655"/>
      <c r="AH51" s="1655"/>
      <c r="AI51" s="535"/>
      <c r="AJ51" s="535"/>
      <c r="AK51" s="535"/>
      <c r="AL51" s="535"/>
    </row>
    <row r="52" spans="1:38" s="536" customFormat="1" ht="12.75">
      <c r="A52" s="548"/>
      <c r="B52" s="549"/>
      <c r="C52" s="1915"/>
      <c r="D52" s="1915"/>
      <c r="E52" s="1915"/>
      <c r="F52" s="1915"/>
      <c r="G52" s="1915"/>
      <c r="H52" s="1915"/>
      <c r="I52" s="1915"/>
      <c r="J52" s="1915"/>
      <c r="K52" s="1915"/>
      <c r="L52" s="1915"/>
      <c r="M52" s="1915"/>
      <c r="N52" s="1915"/>
      <c r="O52" s="1915"/>
      <c r="P52" s="1385"/>
      <c r="Q52" s="1915"/>
      <c r="R52" s="1916"/>
      <c r="S52" s="1385"/>
      <c r="T52" s="1917"/>
      <c r="U52" s="1915"/>
      <c r="V52" s="1915"/>
      <c r="W52" s="1915"/>
      <c r="X52" s="1915"/>
      <c r="Y52" s="1915"/>
      <c r="Z52" s="1385"/>
      <c r="AA52" s="1916"/>
      <c r="AB52" s="891"/>
      <c r="AC52" s="1394"/>
      <c r="AD52" s="1394"/>
      <c r="AE52" s="1918"/>
      <c r="AF52" s="1918"/>
      <c r="AG52" s="1655"/>
      <c r="AH52" s="1655"/>
      <c r="AI52" s="535"/>
      <c r="AJ52" s="535"/>
      <c r="AK52" s="535"/>
      <c r="AL52" s="535"/>
    </row>
    <row r="53" spans="1:38" s="536" customFormat="1" ht="12.75">
      <c r="A53" s="550"/>
      <c r="B53" s="451"/>
      <c r="C53" s="1915"/>
      <c r="D53" s="1915"/>
      <c r="E53" s="1915"/>
      <c r="F53" s="1915"/>
      <c r="G53" s="1915"/>
      <c r="H53" s="1915"/>
      <c r="I53" s="1915"/>
      <c r="J53" s="1915"/>
      <c r="K53" s="1915"/>
      <c r="L53" s="1915"/>
      <c r="M53" s="1915"/>
      <c r="N53" s="1915"/>
      <c r="O53" s="1915"/>
      <c r="P53" s="1385"/>
      <c r="Q53" s="1915"/>
      <c r="R53" s="1916"/>
      <c r="S53" s="1916"/>
      <c r="T53" s="1917"/>
      <c r="U53" s="1915"/>
      <c r="V53" s="1915"/>
      <c r="W53" s="1915"/>
      <c r="X53" s="1915"/>
      <c r="Y53" s="1915"/>
      <c r="Z53" s="1385"/>
      <c r="AA53" s="1916"/>
      <c r="AB53" s="891"/>
      <c r="AC53" s="1394"/>
      <c r="AD53" s="1394"/>
      <c r="AE53" s="1918"/>
      <c r="AF53" s="1918"/>
      <c r="AG53" s="1655"/>
      <c r="AH53" s="1655"/>
      <c r="AI53" s="535"/>
      <c r="AJ53" s="535"/>
      <c r="AK53" s="535"/>
      <c r="AL53" s="535"/>
    </row>
    <row r="54" spans="1:38" s="536" customFormat="1" ht="12.75">
      <c r="A54" s="550"/>
      <c r="B54" s="451"/>
      <c r="C54" s="1915"/>
      <c r="D54" s="1915"/>
      <c r="E54" s="1915"/>
      <c r="F54" s="1915"/>
      <c r="G54" s="1915"/>
      <c r="H54" s="1915"/>
      <c r="I54" s="1915"/>
      <c r="J54" s="1915"/>
      <c r="K54" s="1915"/>
      <c r="L54" s="1915"/>
      <c r="M54" s="1915"/>
      <c r="N54" s="1915"/>
      <c r="O54" s="1915"/>
      <c r="P54" s="1385"/>
      <c r="Q54" s="1915"/>
      <c r="R54" s="1916"/>
      <c r="S54" s="1916"/>
      <c r="T54" s="1917"/>
      <c r="U54" s="1915"/>
      <c r="V54" s="1915"/>
      <c r="W54" s="1915"/>
      <c r="X54" s="1915"/>
      <c r="Y54" s="1915"/>
      <c r="Z54" s="1385"/>
      <c r="AA54" s="1916"/>
      <c r="AB54" s="891"/>
      <c r="AC54" s="1394"/>
      <c r="AD54" s="1394"/>
      <c r="AE54" s="1918"/>
      <c r="AF54" s="1918"/>
      <c r="AG54" s="1655"/>
      <c r="AH54" s="1655"/>
      <c r="AI54" s="535"/>
      <c r="AJ54" s="535"/>
      <c r="AK54" s="535"/>
      <c r="AL54" s="535"/>
    </row>
    <row r="55" spans="1:38" s="536" customFormat="1" ht="12.75">
      <c r="A55" s="550"/>
      <c r="B55" s="451"/>
      <c r="C55" s="1915"/>
      <c r="D55" s="1915"/>
      <c r="E55" s="1915"/>
      <c r="F55" s="1915"/>
      <c r="G55" s="1915"/>
      <c r="H55" s="1915"/>
      <c r="I55" s="1915"/>
      <c r="J55" s="1915"/>
      <c r="K55" s="1915"/>
      <c r="L55" s="1915"/>
      <c r="M55" s="1915"/>
      <c r="N55" s="1915"/>
      <c r="O55" s="1915"/>
      <c r="P55" s="1385"/>
      <c r="Q55" s="1915"/>
      <c r="R55" s="1916"/>
      <c r="S55" s="1916"/>
      <c r="T55" s="1917"/>
      <c r="U55" s="1915"/>
      <c r="V55" s="1915"/>
      <c r="W55" s="1915"/>
      <c r="X55" s="1915"/>
      <c r="Y55" s="1915"/>
      <c r="Z55" s="1385"/>
      <c r="AA55" s="1916"/>
      <c r="AB55" s="891"/>
      <c r="AC55" s="1394"/>
      <c r="AD55" s="1394"/>
      <c r="AE55" s="1918"/>
      <c r="AF55" s="1918"/>
      <c r="AG55" s="1655"/>
      <c r="AH55" s="1655"/>
      <c r="AI55" s="535"/>
      <c r="AJ55" s="535"/>
      <c r="AK55" s="535"/>
      <c r="AL55" s="535"/>
    </row>
    <row r="56" spans="1:38" s="536" customFormat="1" ht="12.75">
      <c r="A56" s="550"/>
      <c r="B56" s="451"/>
      <c r="C56" s="1915"/>
      <c r="D56" s="1915"/>
      <c r="E56" s="1915"/>
      <c r="F56" s="1915"/>
      <c r="G56" s="1915"/>
      <c r="H56" s="1915"/>
      <c r="I56" s="1915"/>
      <c r="J56" s="1915"/>
      <c r="K56" s="1915"/>
      <c r="L56" s="1915"/>
      <c r="M56" s="1915"/>
      <c r="N56" s="1915"/>
      <c r="O56" s="1915"/>
      <c r="P56" s="1385"/>
      <c r="Q56" s="1915"/>
      <c r="R56" s="1916"/>
      <c r="S56" s="1916"/>
      <c r="T56" s="1917"/>
      <c r="U56" s="1915"/>
      <c r="V56" s="1915"/>
      <c r="W56" s="1915"/>
      <c r="X56" s="1915"/>
      <c r="Y56" s="1915"/>
      <c r="Z56" s="1385"/>
      <c r="AA56" s="1916"/>
      <c r="AB56" s="891"/>
      <c r="AC56" s="1394"/>
      <c r="AD56" s="1394"/>
      <c r="AE56" s="1918"/>
      <c r="AF56" s="1918"/>
      <c r="AG56" s="1655"/>
      <c r="AH56" s="1655"/>
      <c r="AI56" s="535"/>
      <c r="AJ56" s="535"/>
      <c r="AK56" s="535"/>
      <c r="AL56" s="535"/>
    </row>
    <row r="57" spans="1:38" s="536" customFormat="1" ht="12.75">
      <c r="A57" s="557"/>
      <c r="B57" s="558" t="s">
        <v>17</v>
      </c>
      <c r="C57" s="1923">
        <f t="shared" ref="C57:Z57" si="1">SUM(C21:C56)</f>
        <v>0</v>
      </c>
      <c r="D57" s="1923">
        <f t="shared" si="1"/>
        <v>696000</v>
      </c>
      <c r="E57" s="1923">
        <f t="shared" si="1"/>
        <v>3</v>
      </c>
      <c r="F57" s="1923">
        <f t="shared" si="1"/>
        <v>696000</v>
      </c>
      <c r="G57" s="1923">
        <f t="shared" si="1"/>
        <v>57277.85</v>
      </c>
      <c r="H57" s="1923">
        <f t="shared" si="1"/>
        <v>0</v>
      </c>
      <c r="I57" s="1923">
        <f t="shared" si="1"/>
        <v>696000</v>
      </c>
      <c r="J57" s="1923">
        <f t="shared" si="1"/>
        <v>0</v>
      </c>
      <c r="K57" s="1923">
        <f t="shared" si="1"/>
        <v>0</v>
      </c>
      <c r="L57" s="1923">
        <f t="shared" si="1"/>
        <v>696000</v>
      </c>
      <c r="M57" s="1923">
        <f t="shared" si="1"/>
        <v>0</v>
      </c>
      <c r="N57" s="1923">
        <f t="shared" si="1"/>
        <v>57277.85</v>
      </c>
      <c r="O57" s="1923">
        <f t="shared" si="1"/>
        <v>1</v>
      </c>
      <c r="P57" s="1923">
        <f t="shared" si="1"/>
        <v>696000</v>
      </c>
      <c r="Q57" s="1923">
        <f t="shared" si="1"/>
        <v>0</v>
      </c>
      <c r="R57" s="1923">
        <f t="shared" si="1"/>
        <v>0</v>
      </c>
      <c r="S57" s="1923">
        <f t="shared" si="1"/>
        <v>0</v>
      </c>
      <c r="T57" s="893">
        <f>W57-L57</f>
        <v>0</v>
      </c>
      <c r="U57" s="1923">
        <f t="shared" si="1"/>
        <v>696000</v>
      </c>
      <c r="V57" s="1923">
        <f t="shared" si="1"/>
        <v>3</v>
      </c>
      <c r="W57" s="1923">
        <f t="shared" si="1"/>
        <v>696000</v>
      </c>
      <c r="X57" s="1923">
        <f t="shared" si="1"/>
        <v>696000</v>
      </c>
      <c r="Y57" s="1923">
        <f t="shared" si="1"/>
        <v>57277.85</v>
      </c>
      <c r="Z57" s="1923">
        <f t="shared" si="1"/>
        <v>696000</v>
      </c>
      <c r="AA57" s="1923">
        <f t="shared" ref="AA57:AF57" si="2">SUM(AA19:AA56)</f>
        <v>0</v>
      </c>
      <c r="AB57" s="1923">
        <f t="shared" si="2"/>
        <v>696000</v>
      </c>
      <c r="AC57" s="1923">
        <f t="shared" si="2"/>
        <v>0</v>
      </c>
      <c r="AD57" s="1923">
        <f t="shared" si="2"/>
        <v>0</v>
      </c>
      <c r="AE57" s="1923">
        <f t="shared" si="2"/>
        <v>1</v>
      </c>
      <c r="AF57" s="1923">
        <f t="shared" si="2"/>
        <v>696000</v>
      </c>
      <c r="AG57" s="1655"/>
      <c r="AH57" s="1655"/>
      <c r="AI57" s="535"/>
      <c r="AJ57" s="535"/>
      <c r="AK57" s="535"/>
      <c r="AL57" s="535"/>
    </row>
    <row r="58" spans="1:38" s="536" customFormat="1" ht="12.75">
      <c r="A58" s="559"/>
      <c r="B58" s="560"/>
      <c r="C58" s="1654"/>
      <c r="D58" s="1654"/>
      <c r="E58" s="1654"/>
      <c r="F58" s="1720"/>
      <c r="G58" s="1720"/>
      <c r="H58" s="1720"/>
      <c r="I58" s="1720"/>
      <c r="J58" s="1720"/>
      <c r="K58" s="1720"/>
      <c r="L58" s="1720"/>
      <c r="M58" s="1720"/>
      <c r="N58" s="1720"/>
      <c r="O58" s="1924"/>
      <c r="P58" s="1925"/>
      <c r="Q58" s="1924"/>
      <c r="R58" s="1926"/>
      <c r="S58" s="1927"/>
      <c r="T58" s="1655"/>
      <c r="U58" s="1654"/>
      <c r="V58" s="1654"/>
      <c r="W58" s="1720"/>
      <c r="X58" s="212"/>
      <c r="Y58" s="212"/>
      <c r="Z58" s="212"/>
      <c r="AA58" s="212"/>
      <c r="AB58" s="212"/>
      <c r="AC58" s="212"/>
      <c r="AD58" s="212"/>
      <c r="AE58" s="212"/>
      <c r="AF58" s="212"/>
      <c r="AG58" s="1655"/>
      <c r="AH58" s="1655"/>
      <c r="AI58" s="535"/>
      <c r="AJ58" s="535"/>
      <c r="AK58" s="535"/>
      <c r="AL58" s="535"/>
    </row>
    <row r="59" spans="1:38" s="536" customFormat="1" ht="12.75">
      <c r="A59" s="559"/>
      <c r="B59" s="560"/>
      <c r="C59" s="1654"/>
      <c r="D59" s="1654"/>
      <c r="E59" s="1654"/>
      <c r="F59" s="1720"/>
      <c r="G59" s="1720"/>
      <c r="H59" s="1720"/>
      <c r="I59" s="1720"/>
      <c r="J59" s="1720"/>
      <c r="K59" s="1720"/>
      <c r="L59" s="1720"/>
      <c r="M59" s="1720"/>
      <c r="N59" s="1720"/>
      <c r="O59" s="1924"/>
      <c r="P59" s="1925"/>
      <c r="Q59" s="1924"/>
      <c r="R59" s="1926"/>
      <c r="S59" s="1927"/>
      <c r="T59" s="1655"/>
      <c r="U59" s="1654"/>
      <c r="V59" s="1654"/>
      <c r="W59" s="1720"/>
      <c r="X59" s="212"/>
      <c r="Y59" s="212"/>
      <c r="Z59" s="212"/>
      <c r="AA59" s="212"/>
      <c r="AB59" s="212"/>
      <c r="AC59" s="212"/>
      <c r="AD59" s="212"/>
      <c r="AE59" s="212"/>
      <c r="AF59" s="212"/>
      <c r="AG59" s="1655"/>
      <c r="AH59" s="1655"/>
      <c r="AI59" s="535"/>
      <c r="AJ59" s="535"/>
      <c r="AK59" s="535"/>
      <c r="AL59" s="535"/>
    </row>
    <row r="60" spans="1:38" s="536" customFormat="1" ht="12.75">
      <c r="A60" s="534"/>
      <c r="B60" s="534"/>
      <c r="C60" s="1654"/>
      <c r="D60" s="1654"/>
      <c r="E60" s="1654"/>
      <c r="F60" s="1720"/>
      <c r="G60" s="1654"/>
      <c r="H60" s="1654"/>
      <c r="I60" s="1654"/>
      <c r="J60" s="1654"/>
      <c r="K60" s="1654"/>
      <c r="L60" s="1654"/>
      <c r="M60" s="1654"/>
      <c r="N60" s="1654"/>
      <c r="O60" s="1924"/>
      <c r="P60" s="1925"/>
      <c r="Q60" s="1924"/>
      <c r="R60" s="1926"/>
      <c r="S60" s="1927"/>
      <c r="T60" s="1655"/>
      <c r="U60" s="1654"/>
      <c r="V60" s="1654"/>
      <c r="W60" s="1720"/>
      <c r="X60" s="212"/>
      <c r="Y60" s="212"/>
      <c r="Z60" s="212"/>
      <c r="AA60" s="212"/>
      <c r="AB60" s="212"/>
      <c r="AC60" s="212"/>
      <c r="AD60" s="212"/>
      <c r="AE60" s="212"/>
      <c r="AF60" s="212"/>
      <c r="AG60" s="1655"/>
      <c r="AH60" s="1655"/>
      <c r="AI60" s="535"/>
      <c r="AJ60" s="535"/>
      <c r="AK60" s="535"/>
      <c r="AL60" s="535"/>
    </row>
    <row r="61" spans="1:38" s="536" customFormat="1" ht="12.75">
      <c r="A61" s="534"/>
      <c r="B61" s="534"/>
      <c r="C61" s="1654"/>
      <c r="D61" s="1654"/>
      <c r="E61" s="1654"/>
      <c r="F61" s="1720"/>
      <c r="G61" s="1654"/>
      <c r="H61" s="1654"/>
      <c r="I61" s="1654"/>
      <c r="J61" s="1654"/>
      <c r="K61" s="1654"/>
      <c r="L61" s="1654"/>
      <c r="M61" s="1654"/>
      <c r="N61" s="1654">
        <v>0</v>
      </c>
      <c r="O61" s="1924"/>
      <c r="P61" s="1925"/>
      <c r="Q61" s="1924"/>
      <c r="R61" s="1926"/>
      <c r="S61" s="1927"/>
      <c r="T61" s="1655"/>
      <c r="U61" s="1654"/>
      <c r="V61" s="1654"/>
      <c r="W61" s="1720"/>
      <c r="X61" s="212"/>
      <c r="Y61" s="212"/>
      <c r="Z61" s="212"/>
      <c r="AA61" s="212"/>
      <c r="AB61" s="212"/>
      <c r="AC61" s="212"/>
      <c r="AD61" s="212"/>
      <c r="AE61" s="212"/>
      <c r="AF61" s="212"/>
      <c r="AG61" s="1655"/>
      <c r="AH61" s="1655"/>
      <c r="AI61" s="535"/>
      <c r="AJ61" s="535"/>
      <c r="AK61" s="535"/>
      <c r="AL61" s="535"/>
    </row>
    <row r="62" spans="1:38" s="536" customFormat="1" ht="12.75">
      <c r="A62" s="534"/>
      <c r="B62" s="534"/>
      <c r="C62" s="1654"/>
      <c r="D62" s="1654"/>
      <c r="E62" s="1654"/>
      <c r="F62" s="1654"/>
      <c r="G62" s="1654"/>
      <c r="H62" s="1654"/>
      <c r="I62" s="1654"/>
      <c r="J62" s="1654"/>
      <c r="K62" s="1654"/>
      <c r="L62" s="1654"/>
      <c r="M62" s="1654"/>
      <c r="N62" s="1654"/>
      <c r="O62" s="1924"/>
      <c r="P62" s="1928"/>
      <c r="Q62" s="1924"/>
      <c r="R62" s="1926"/>
      <c r="S62" s="1927"/>
      <c r="T62" s="1655"/>
      <c r="U62" s="1654"/>
      <c r="V62" s="1654"/>
      <c r="W62" s="1654"/>
      <c r="X62" s="212"/>
      <c r="Y62" s="212"/>
      <c r="Z62" s="212"/>
      <c r="AA62" s="212"/>
      <c r="AB62" s="212"/>
      <c r="AC62" s="212"/>
      <c r="AD62" s="212"/>
      <c r="AE62" s="212"/>
      <c r="AF62" s="212"/>
      <c r="AG62" s="1655"/>
      <c r="AH62" s="1655"/>
      <c r="AI62" s="535"/>
      <c r="AJ62" s="535"/>
      <c r="AK62" s="535"/>
      <c r="AL62" s="535"/>
    </row>
    <row r="63" spans="1:38" s="536" customFormat="1" ht="12.75">
      <c r="A63" s="534"/>
      <c r="B63" s="534"/>
      <c r="C63" s="1654"/>
      <c r="D63" s="1654"/>
      <c r="E63" s="1654"/>
      <c r="F63" s="1721"/>
      <c r="G63" s="1721"/>
      <c r="H63" s="1721"/>
      <c r="I63" s="1721"/>
      <c r="J63" s="1654"/>
      <c r="K63" s="1654"/>
      <c r="L63" s="1654"/>
      <c r="M63" s="1654"/>
      <c r="N63" s="1654"/>
      <c r="O63" s="1654"/>
      <c r="P63" s="1654"/>
      <c r="Q63" s="1655"/>
      <c r="R63" s="1655"/>
      <c r="S63" s="1655"/>
      <c r="T63" s="1655"/>
      <c r="U63" s="1654"/>
      <c r="V63" s="1654"/>
      <c r="W63" s="1721"/>
      <c r="X63" s="212"/>
      <c r="Y63" s="212"/>
      <c r="Z63" s="212"/>
      <c r="AA63" s="212"/>
      <c r="AB63" s="212"/>
      <c r="AC63" s="212"/>
      <c r="AD63" s="212"/>
      <c r="AE63" s="212"/>
      <c r="AF63" s="212"/>
      <c r="AG63" s="1655"/>
      <c r="AH63" s="1655"/>
      <c r="AI63" s="535"/>
      <c r="AJ63" s="535"/>
      <c r="AK63" s="535"/>
      <c r="AL63" s="535"/>
    </row>
    <row r="64" spans="1:38" s="536" customFormat="1" ht="12.75">
      <c r="A64" s="534"/>
      <c r="B64" s="534"/>
      <c r="C64" s="1654"/>
      <c r="D64" s="1654"/>
      <c r="E64" s="1654"/>
      <c r="F64" s="1721"/>
      <c r="G64" s="1721"/>
      <c r="H64" s="1721"/>
      <c r="I64" s="1721"/>
      <c r="J64" s="1654"/>
      <c r="K64" s="1654"/>
      <c r="L64" s="1654"/>
      <c r="M64" s="1654"/>
      <c r="N64" s="1654"/>
      <c r="O64" s="1654"/>
      <c r="P64" s="1654"/>
      <c r="Q64" s="1655"/>
      <c r="R64" s="1655"/>
      <c r="S64" s="1655"/>
      <c r="T64" s="1655"/>
      <c r="U64" s="1654"/>
      <c r="V64" s="1654"/>
      <c r="W64" s="1721"/>
      <c r="X64" s="212"/>
      <c r="Y64" s="212"/>
      <c r="Z64" s="212"/>
      <c r="AA64" s="212"/>
      <c r="AB64" s="212"/>
      <c r="AC64" s="212"/>
      <c r="AD64" s="212"/>
      <c r="AE64" s="212"/>
      <c r="AF64" s="212"/>
      <c r="AG64" s="1655"/>
      <c r="AH64" s="1655"/>
      <c r="AI64" s="535"/>
      <c r="AJ64" s="535"/>
      <c r="AK64" s="535"/>
      <c r="AL64" s="535"/>
    </row>
    <row r="65" spans="1:38" s="536" customFormat="1" ht="12.75">
      <c r="A65" s="534"/>
      <c r="B65" s="534"/>
      <c r="C65" s="1654"/>
      <c r="D65" s="1654"/>
      <c r="E65" s="1654"/>
      <c r="F65" s="1654"/>
      <c r="G65" s="1654"/>
      <c r="H65" s="1654"/>
      <c r="I65" s="1654"/>
      <c r="J65" s="1654"/>
      <c r="K65" s="1654"/>
      <c r="L65" s="1654"/>
      <c r="M65" s="1654"/>
      <c r="N65" s="1654"/>
      <c r="O65" s="1654"/>
      <c r="P65" s="1654"/>
      <c r="Q65" s="1655"/>
      <c r="R65" s="1655"/>
      <c r="S65" s="1655"/>
      <c r="T65" s="1655"/>
      <c r="U65" s="1654"/>
      <c r="V65" s="1654"/>
      <c r="W65" s="1654"/>
      <c r="X65" s="212"/>
      <c r="Y65" s="212"/>
      <c r="Z65" s="212"/>
      <c r="AA65" s="212"/>
      <c r="AB65" s="212"/>
      <c r="AC65" s="212"/>
      <c r="AD65" s="212"/>
      <c r="AE65" s="212"/>
      <c r="AF65" s="212"/>
      <c r="AG65" s="1655"/>
      <c r="AH65" s="1655"/>
      <c r="AI65" s="535"/>
      <c r="AJ65" s="535"/>
      <c r="AK65" s="535"/>
      <c r="AL65" s="535"/>
    </row>
    <row r="66" spans="1:38" s="536" customFormat="1" ht="12.75">
      <c r="A66" s="534"/>
      <c r="B66" s="534"/>
      <c r="C66" s="1654"/>
      <c r="D66" s="1654"/>
      <c r="E66" s="1654"/>
      <c r="F66" s="1654"/>
      <c r="G66" s="1654"/>
      <c r="H66" s="1654"/>
      <c r="I66" s="1654"/>
      <c r="J66" s="1654"/>
      <c r="K66" s="1654"/>
      <c r="L66" s="1654"/>
      <c r="M66" s="1654"/>
      <c r="N66" s="1654"/>
      <c r="O66" s="1654"/>
      <c r="P66" s="1654"/>
      <c r="Q66" s="1655"/>
      <c r="R66" s="1655"/>
      <c r="S66" s="1655"/>
      <c r="T66" s="1655"/>
      <c r="U66" s="1654"/>
      <c r="V66" s="1654"/>
      <c r="W66" s="1654"/>
      <c r="X66" s="212"/>
      <c r="Y66" s="212"/>
      <c r="Z66" s="212"/>
      <c r="AA66" s="212"/>
      <c r="AB66" s="212"/>
      <c r="AC66" s="212"/>
      <c r="AD66" s="212"/>
      <c r="AE66" s="212"/>
      <c r="AF66" s="212"/>
      <c r="AG66" s="1655"/>
      <c r="AH66" s="1655"/>
      <c r="AI66" s="535"/>
      <c r="AJ66" s="535"/>
      <c r="AK66" s="535"/>
      <c r="AL66" s="535"/>
    </row>
    <row r="67" spans="1:38" s="536" customFormat="1" ht="12.75">
      <c r="A67" s="534"/>
      <c r="B67" s="534"/>
      <c r="C67" s="1654"/>
      <c r="D67" s="1654"/>
      <c r="E67" s="1654"/>
      <c r="F67" s="1654"/>
      <c r="G67" s="1654"/>
      <c r="H67" s="1654"/>
      <c r="I67" s="1654"/>
      <c r="J67" s="1654"/>
      <c r="K67" s="1654"/>
      <c r="L67" s="1654"/>
      <c r="M67" s="1654"/>
      <c r="N67" s="1654"/>
      <c r="O67" s="1654"/>
      <c r="P67" s="1654"/>
      <c r="Q67" s="1655"/>
      <c r="R67" s="1655"/>
      <c r="S67" s="1655"/>
      <c r="T67" s="1655"/>
      <c r="U67" s="1654"/>
      <c r="V67" s="1654"/>
      <c r="W67" s="1654"/>
      <c r="X67" s="212"/>
      <c r="Y67" s="212"/>
      <c r="Z67" s="212"/>
      <c r="AA67" s="212"/>
      <c r="AB67" s="212"/>
      <c r="AC67" s="212"/>
      <c r="AD67" s="212"/>
      <c r="AE67" s="212"/>
      <c r="AF67" s="212"/>
      <c r="AG67" s="1655"/>
      <c r="AH67" s="1655"/>
      <c r="AI67" s="535"/>
      <c r="AJ67" s="535"/>
      <c r="AK67" s="535"/>
      <c r="AL67" s="535"/>
    </row>
    <row r="68" spans="1:38" s="536" customFormat="1" ht="12.75">
      <c r="A68" s="534"/>
      <c r="B68" s="534"/>
      <c r="C68" s="1654"/>
      <c r="D68" s="1654"/>
      <c r="E68" s="1654"/>
      <c r="F68" s="1654"/>
      <c r="G68" s="1654"/>
      <c r="H68" s="1654"/>
      <c r="I68" s="1654"/>
      <c r="J68" s="1654"/>
      <c r="K68" s="1654"/>
      <c r="L68" s="1654"/>
      <c r="M68" s="1654"/>
      <c r="N68" s="1654"/>
      <c r="O68" s="1654"/>
      <c r="P68" s="1654"/>
      <c r="Q68" s="1655"/>
      <c r="R68" s="1655"/>
      <c r="S68" s="1655"/>
      <c r="T68" s="1655"/>
      <c r="U68" s="1654"/>
      <c r="V68" s="1654"/>
      <c r="W68" s="1654"/>
      <c r="X68" s="212"/>
      <c r="Y68" s="212"/>
      <c r="Z68" s="212"/>
      <c r="AA68" s="212"/>
      <c r="AB68" s="212"/>
      <c r="AC68" s="212"/>
      <c r="AD68" s="212"/>
      <c r="AE68" s="212"/>
      <c r="AF68" s="212"/>
      <c r="AG68" s="1655"/>
      <c r="AH68" s="1655"/>
      <c r="AI68" s="535"/>
      <c r="AJ68" s="535"/>
      <c r="AK68" s="535"/>
      <c r="AL68" s="535"/>
    </row>
    <row r="69" spans="1:38" s="536" customFormat="1" ht="12.75">
      <c r="A69" s="534"/>
      <c r="B69" s="534"/>
      <c r="C69" s="1654"/>
      <c r="D69" s="1654"/>
      <c r="E69" s="1654"/>
      <c r="F69" s="1654"/>
      <c r="G69" s="1654"/>
      <c r="H69" s="1654"/>
      <c r="I69" s="1654"/>
      <c r="J69" s="1654"/>
      <c r="K69" s="1654"/>
      <c r="L69" s="1654"/>
      <c r="M69" s="1654"/>
      <c r="N69" s="1654"/>
      <c r="O69" s="1654"/>
      <c r="P69" s="1654"/>
      <c r="Q69" s="1655"/>
      <c r="R69" s="1655"/>
      <c r="S69" s="1655"/>
      <c r="T69" s="1655"/>
      <c r="U69" s="1654"/>
      <c r="V69" s="1654"/>
      <c r="W69" s="1654"/>
      <c r="X69" s="212"/>
      <c r="Y69" s="212"/>
      <c r="Z69" s="212"/>
      <c r="AA69" s="212"/>
      <c r="AB69" s="212"/>
      <c r="AC69" s="212"/>
      <c r="AD69" s="212"/>
      <c r="AE69" s="212"/>
      <c r="AF69" s="212"/>
      <c r="AG69" s="1655"/>
      <c r="AH69" s="1655"/>
      <c r="AI69" s="535"/>
      <c r="AJ69" s="535"/>
      <c r="AK69" s="535"/>
      <c r="AL69" s="535"/>
    </row>
    <row r="70" spans="1:38" s="536" customFormat="1" ht="12.75">
      <c r="A70" s="534"/>
      <c r="B70" s="534"/>
      <c r="C70" s="1654"/>
      <c r="D70" s="1654"/>
      <c r="E70" s="1654"/>
      <c r="F70" s="1654"/>
      <c r="G70" s="1654"/>
      <c r="H70" s="1654"/>
      <c r="I70" s="1654"/>
      <c r="J70" s="1654"/>
      <c r="K70" s="1654"/>
      <c r="L70" s="1654"/>
      <c r="M70" s="1654"/>
      <c r="N70" s="1654"/>
      <c r="O70" s="1654"/>
      <c r="P70" s="1654"/>
      <c r="Q70" s="1655"/>
      <c r="R70" s="1655"/>
      <c r="S70" s="1655"/>
      <c r="T70" s="1655"/>
      <c r="U70" s="1654"/>
      <c r="V70" s="1654"/>
      <c r="W70" s="1654"/>
      <c r="X70" s="212"/>
      <c r="Y70" s="212"/>
      <c r="Z70" s="212"/>
      <c r="AA70" s="212"/>
      <c r="AB70" s="212"/>
      <c r="AC70" s="212"/>
      <c r="AD70" s="212"/>
      <c r="AE70" s="212"/>
      <c r="AF70" s="212"/>
      <c r="AG70" s="1655"/>
      <c r="AH70" s="1655"/>
      <c r="AI70" s="535"/>
      <c r="AJ70" s="535"/>
      <c r="AK70" s="535"/>
      <c r="AL70" s="535"/>
    </row>
    <row r="71" spans="1:38" s="536" customFormat="1" ht="12.75">
      <c r="A71" s="534"/>
      <c r="B71" s="534"/>
      <c r="C71" s="1654"/>
      <c r="D71" s="1654"/>
      <c r="E71" s="1654"/>
      <c r="F71" s="1654"/>
      <c r="G71" s="1654"/>
      <c r="H71" s="1654"/>
      <c r="I71" s="1654"/>
      <c r="J71" s="1654"/>
      <c r="K71" s="1654"/>
      <c r="L71" s="1654"/>
      <c r="M71" s="1654"/>
      <c r="N71" s="1654"/>
      <c r="O71" s="1654"/>
      <c r="P71" s="1654"/>
      <c r="Q71" s="1655"/>
      <c r="R71" s="1655"/>
      <c r="S71" s="1655"/>
      <c r="T71" s="1655"/>
      <c r="U71" s="1654"/>
      <c r="V71" s="1654"/>
      <c r="W71" s="1654"/>
      <c r="X71" s="212"/>
      <c r="Y71" s="212"/>
      <c r="Z71" s="212"/>
      <c r="AA71" s="212"/>
      <c r="AB71" s="212"/>
      <c r="AC71" s="212"/>
      <c r="AD71" s="212"/>
      <c r="AE71" s="212"/>
      <c r="AF71" s="212"/>
      <c r="AG71" s="1655"/>
      <c r="AH71" s="1655"/>
      <c r="AI71" s="535"/>
      <c r="AJ71" s="535"/>
      <c r="AK71" s="535"/>
      <c r="AL71" s="535"/>
    </row>
    <row r="72" spans="1:38" s="536" customFormat="1" ht="12.75">
      <c r="A72" s="534"/>
      <c r="B72" s="534"/>
      <c r="C72" s="1654"/>
      <c r="D72" s="1654"/>
      <c r="E72" s="1654"/>
      <c r="F72" s="1654"/>
      <c r="G72" s="1654"/>
      <c r="H72" s="1654"/>
      <c r="I72" s="1654"/>
      <c r="J72" s="1654"/>
      <c r="K72" s="1654"/>
      <c r="L72" s="1654"/>
      <c r="M72" s="1654"/>
      <c r="N72" s="1654"/>
      <c r="O72" s="1654"/>
      <c r="P72" s="1654"/>
      <c r="Q72" s="1655"/>
      <c r="R72" s="1655"/>
      <c r="S72" s="1655"/>
      <c r="T72" s="1655"/>
      <c r="U72" s="1654"/>
      <c r="V72" s="1654"/>
      <c r="W72" s="1654"/>
      <c r="X72" s="212"/>
      <c r="Y72" s="212"/>
      <c r="Z72" s="212"/>
      <c r="AA72" s="212"/>
      <c r="AB72" s="212"/>
      <c r="AC72" s="212"/>
      <c r="AD72" s="212"/>
      <c r="AE72" s="212"/>
      <c r="AF72" s="212"/>
      <c r="AG72" s="1655"/>
      <c r="AH72" s="1655"/>
      <c r="AI72" s="535"/>
      <c r="AJ72" s="535"/>
      <c r="AK72" s="535"/>
      <c r="AL72" s="535"/>
    </row>
    <row r="73" spans="1:38" s="536" customFormat="1" ht="12.75">
      <c r="A73" s="534"/>
      <c r="B73" s="534"/>
      <c r="C73" s="1654"/>
      <c r="D73" s="1654"/>
      <c r="E73" s="1654"/>
      <c r="F73" s="1654"/>
      <c r="G73" s="1654"/>
      <c r="H73" s="1654"/>
      <c r="I73" s="1654"/>
      <c r="J73" s="1654"/>
      <c r="K73" s="1654"/>
      <c r="L73" s="1654"/>
      <c r="M73" s="1654"/>
      <c r="N73" s="1654"/>
      <c r="O73" s="1654"/>
      <c r="P73" s="1654"/>
      <c r="Q73" s="1655"/>
      <c r="R73" s="1655"/>
      <c r="S73" s="1655"/>
      <c r="T73" s="1655"/>
      <c r="U73" s="1654"/>
      <c r="V73" s="1654"/>
      <c r="W73" s="1654"/>
      <c r="X73" s="212"/>
      <c r="Y73" s="212"/>
      <c r="Z73" s="212"/>
      <c r="AA73" s="212"/>
      <c r="AB73" s="212"/>
      <c r="AC73" s="212"/>
      <c r="AD73" s="212"/>
      <c r="AE73" s="212"/>
      <c r="AF73" s="212"/>
      <c r="AG73" s="1655"/>
      <c r="AH73" s="1655"/>
      <c r="AI73" s="535"/>
      <c r="AJ73" s="535"/>
      <c r="AK73" s="535"/>
      <c r="AL73" s="535"/>
    </row>
    <row r="74" spans="1:38" s="536" customFormat="1" ht="12.75">
      <c r="A74" s="534"/>
      <c r="B74" s="534"/>
      <c r="C74" s="1654"/>
      <c r="D74" s="1654"/>
      <c r="E74" s="1654"/>
      <c r="F74" s="1654"/>
      <c r="G74" s="1654"/>
      <c r="H74" s="1654"/>
      <c r="I74" s="1654"/>
      <c r="J74" s="1654"/>
      <c r="K74" s="1654"/>
      <c r="L74" s="1654"/>
      <c r="M74" s="1654"/>
      <c r="N74" s="1654"/>
      <c r="O74" s="1654"/>
      <c r="P74" s="1654"/>
      <c r="Q74" s="1655"/>
      <c r="R74" s="1655"/>
      <c r="S74" s="1655"/>
      <c r="T74" s="1655"/>
      <c r="U74" s="1654"/>
      <c r="V74" s="1654"/>
      <c r="W74" s="1654"/>
      <c r="X74" s="212"/>
      <c r="Y74" s="212"/>
      <c r="Z74" s="212"/>
      <c r="AA74" s="212"/>
      <c r="AB74" s="212"/>
      <c r="AC74" s="212"/>
      <c r="AD74" s="212"/>
      <c r="AE74" s="212"/>
      <c r="AF74" s="212"/>
      <c r="AG74" s="1655"/>
      <c r="AH74" s="1655"/>
      <c r="AI74" s="535"/>
      <c r="AJ74" s="535"/>
      <c r="AK74" s="535"/>
      <c r="AL74" s="535"/>
    </row>
    <row r="75" spans="1:38" s="536" customFormat="1" ht="12.75">
      <c r="A75" s="534"/>
      <c r="B75" s="534"/>
      <c r="C75" s="1654"/>
      <c r="D75" s="1654"/>
      <c r="E75" s="1654"/>
      <c r="F75" s="1654"/>
      <c r="G75" s="1654"/>
      <c r="H75" s="1654"/>
      <c r="I75" s="1654"/>
      <c r="J75" s="1654"/>
      <c r="K75" s="1654"/>
      <c r="L75" s="1654"/>
      <c r="M75" s="1654"/>
      <c r="N75" s="1654"/>
      <c r="O75" s="1654"/>
      <c r="P75" s="1654"/>
      <c r="Q75" s="1655"/>
      <c r="R75" s="1655"/>
      <c r="S75" s="1655"/>
      <c r="T75" s="1655"/>
      <c r="U75" s="1654"/>
      <c r="V75" s="1654"/>
      <c r="W75" s="1654"/>
      <c r="X75" s="212"/>
      <c r="Y75" s="212"/>
      <c r="Z75" s="212"/>
      <c r="AA75" s="212"/>
      <c r="AB75" s="212"/>
      <c r="AC75" s="212"/>
      <c r="AD75" s="212"/>
      <c r="AE75" s="212"/>
      <c r="AF75" s="212"/>
      <c r="AG75" s="1655"/>
      <c r="AH75" s="1655"/>
      <c r="AI75" s="535"/>
      <c r="AJ75" s="535"/>
      <c r="AK75" s="535"/>
      <c r="AL75" s="535"/>
    </row>
    <row r="76" spans="1:38" s="536" customFormat="1" ht="12.75">
      <c r="A76" s="534"/>
      <c r="B76" s="534"/>
      <c r="C76" s="1654"/>
      <c r="D76" s="1654"/>
      <c r="E76" s="1654"/>
      <c r="F76" s="1654"/>
      <c r="G76" s="1654"/>
      <c r="H76" s="1654"/>
      <c r="I76" s="1654"/>
      <c r="J76" s="1654"/>
      <c r="K76" s="1654"/>
      <c r="L76" s="1654"/>
      <c r="M76" s="1654"/>
      <c r="N76" s="1654"/>
      <c r="O76" s="1654"/>
      <c r="P76" s="1654"/>
      <c r="Q76" s="1655"/>
      <c r="R76" s="1655"/>
      <c r="S76" s="1655"/>
      <c r="T76" s="1655"/>
      <c r="U76" s="1654"/>
      <c r="V76" s="1654"/>
      <c r="W76" s="1654"/>
      <c r="X76" s="212"/>
      <c r="Y76" s="212"/>
      <c r="Z76" s="212"/>
      <c r="AA76" s="212"/>
      <c r="AB76" s="212"/>
      <c r="AC76" s="212"/>
      <c r="AD76" s="212"/>
      <c r="AE76" s="212"/>
      <c r="AF76" s="212"/>
      <c r="AG76" s="1655"/>
      <c r="AH76" s="1655"/>
      <c r="AI76" s="535"/>
      <c r="AJ76" s="535"/>
      <c r="AK76" s="535"/>
      <c r="AL76" s="535"/>
    </row>
    <row r="77" spans="1:38" s="536" customFormat="1" ht="12.75">
      <c r="A77" s="534"/>
      <c r="B77" s="534"/>
      <c r="C77" s="1654"/>
      <c r="D77" s="1654"/>
      <c r="E77" s="1654"/>
      <c r="F77" s="1654"/>
      <c r="G77" s="1654"/>
      <c r="H77" s="1654"/>
      <c r="I77" s="1654"/>
      <c r="J77" s="1654"/>
      <c r="K77" s="1654"/>
      <c r="L77" s="1654"/>
      <c r="M77" s="1654"/>
      <c r="N77" s="1654"/>
      <c r="O77" s="1654"/>
      <c r="P77" s="1654"/>
      <c r="Q77" s="1655"/>
      <c r="R77" s="1655"/>
      <c r="S77" s="1655"/>
      <c r="T77" s="1655"/>
      <c r="U77" s="1654"/>
      <c r="V77" s="1654"/>
      <c r="W77" s="1654"/>
      <c r="X77" s="212"/>
      <c r="Y77" s="212"/>
      <c r="Z77" s="212"/>
      <c r="AA77" s="212"/>
      <c r="AB77" s="212"/>
      <c r="AC77" s="212"/>
      <c r="AD77" s="212"/>
      <c r="AE77" s="212"/>
      <c r="AF77" s="212"/>
      <c r="AG77" s="1655"/>
      <c r="AH77" s="1655"/>
      <c r="AI77" s="535"/>
      <c r="AJ77" s="535"/>
      <c r="AK77" s="535"/>
      <c r="AL77" s="535"/>
    </row>
    <row r="78" spans="1:38" s="536" customFormat="1" ht="12.75">
      <c r="A78" s="534"/>
      <c r="B78" s="534"/>
      <c r="C78" s="1654"/>
      <c r="D78" s="1654"/>
      <c r="E78" s="1654"/>
      <c r="F78" s="1654"/>
      <c r="G78" s="1654"/>
      <c r="H78" s="1654"/>
      <c r="I78" s="1654"/>
      <c r="J78" s="1654"/>
      <c r="K78" s="1654"/>
      <c r="L78" s="1654"/>
      <c r="M78" s="1654"/>
      <c r="N78" s="1654"/>
      <c r="O78" s="1654"/>
      <c r="P78" s="1654"/>
      <c r="Q78" s="1655"/>
      <c r="R78" s="1655"/>
      <c r="S78" s="1655"/>
      <c r="T78" s="1655"/>
      <c r="U78" s="1654"/>
      <c r="V78" s="1654"/>
      <c r="W78" s="1654"/>
      <c r="X78" s="212"/>
      <c r="Y78" s="212"/>
      <c r="Z78" s="212"/>
      <c r="AA78" s="212"/>
      <c r="AB78" s="212"/>
      <c r="AC78" s="212"/>
      <c r="AD78" s="212"/>
      <c r="AE78" s="212"/>
      <c r="AF78" s="212"/>
      <c r="AG78" s="1655"/>
      <c r="AH78" s="1655"/>
      <c r="AI78" s="535"/>
      <c r="AJ78" s="535"/>
      <c r="AK78" s="535"/>
      <c r="AL78" s="535"/>
    </row>
    <row r="79" spans="1:38" s="536" customFormat="1" ht="12.75">
      <c r="A79" s="534"/>
      <c r="B79" s="534"/>
      <c r="C79" s="1654"/>
      <c r="D79" s="1654"/>
      <c r="E79" s="1654"/>
      <c r="F79" s="1654"/>
      <c r="G79" s="1654"/>
      <c r="H79" s="1654"/>
      <c r="I79" s="1654"/>
      <c r="J79" s="1654"/>
      <c r="K79" s="1654"/>
      <c r="L79" s="1654"/>
      <c r="M79" s="1654"/>
      <c r="N79" s="1654"/>
      <c r="O79" s="1654"/>
      <c r="P79" s="1654"/>
      <c r="Q79" s="1655"/>
      <c r="R79" s="1655"/>
      <c r="S79" s="1655"/>
      <c r="T79" s="1655"/>
      <c r="U79" s="1654"/>
      <c r="V79" s="1654"/>
      <c r="W79" s="1654"/>
      <c r="X79" s="212"/>
      <c r="Y79" s="212"/>
      <c r="Z79" s="212"/>
      <c r="AA79" s="212"/>
      <c r="AB79" s="212"/>
      <c r="AC79" s="212"/>
      <c r="AD79" s="212"/>
      <c r="AE79" s="212"/>
      <c r="AF79" s="212"/>
      <c r="AG79" s="1655"/>
      <c r="AH79" s="1655"/>
      <c r="AI79" s="535"/>
      <c r="AJ79" s="535"/>
      <c r="AK79" s="535"/>
      <c r="AL79" s="535"/>
    </row>
    <row r="80" spans="1:38" s="536" customFormat="1" ht="12.75">
      <c r="A80" s="534"/>
      <c r="B80" s="534"/>
      <c r="C80" s="1654"/>
      <c r="D80" s="1654"/>
      <c r="E80" s="1654"/>
      <c r="F80" s="1654"/>
      <c r="G80" s="1654"/>
      <c r="H80" s="1654"/>
      <c r="I80" s="1654"/>
      <c r="J80" s="1654"/>
      <c r="K80" s="1654"/>
      <c r="L80" s="1654"/>
      <c r="M80" s="1654"/>
      <c r="N80" s="1654"/>
      <c r="O80" s="1654"/>
      <c r="P80" s="1654"/>
      <c r="Q80" s="1655"/>
      <c r="R80" s="1655"/>
      <c r="S80" s="1655"/>
      <c r="T80" s="1655"/>
      <c r="U80" s="1654"/>
      <c r="V80" s="1654"/>
      <c r="W80" s="1654"/>
      <c r="X80" s="212"/>
      <c r="Y80" s="212"/>
      <c r="Z80" s="212"/>
      <c r="AA80" s="212"/>
      <c r="AB80" s="212"/>
      <c r="AC80" s="212"/>
      <c r="AD80" s="212"/>
      <c r="AE80" s="212"/>
      <c r="AF80" s="212"/>
      <c r="AG80" s="1655"/>
      <c r="AH80" s="1655"/>
      <c r="AI80" s="535"/>
      <c r="AJ80" s="535"/>
      <c r="AK80" s="535"/>
      <c r="AL80" s="535"/>
    </row>
    <row r="81" spans="1:38" s="536" customFormat="1" ht="12.75">
      <c r="A81" s="534"/>
      <c r="B81" s="534"/>
      <c r="C81" s="1654"/>
      <c r="D81" s="1654"/>
      <c r="E81" s="1654"/>
      <c r="F81" s="1654"/>
      <c r="G81" s="1654"/>
      <c r="H81" s="1654"/>
      <c r="I81" s="1654"/>
      <c r="J81" s="1654"/>
      <c r="K81" s="1654"/>
      <c r="L81" s="1654"/>
      <c r="M81" s="1654"/>
      <c r="N81" s="1654"/>
      <c r="O81" s="1654"/>
      <c r="P81" s="1654"/>
      <c r="Q81" s="1655"/>
      <c r="R81" s="1655"/>
      <c r="S81" s="1655"/>
      <c r="T81" s="1655"/>
      <c r="U81" s="1654"/>
      <c r="V81" s="1654"/>
      <c r="W81" s="1654"/>
      <c r="X81" s="212"/>
      <c r="Y81" s="212"/>
      <c r="Z81" s="212"/>
      <c r="AA81" s="212"/>
      <c r="AB81" s="212"/>
      <c r="AC81" s="212"/>
      <c r="AD81" s="212"/>
      <c r="AE81" s="212"/>
      <c r="AF81" s="212"/>
      <c r="AG81" s="1655"/>
      <c r="AH81" s="1655"/>
      <c r="AI81" s="535"/>
      <c r="AJ81" s="535"/>
      <c r="AK81" s="535"/>
      <c r="AL81" s="535"/>
    </row>
    <row r="82" spans="1:38" s="536" customFormat="1" ht="12.75">
      <c r="A82" s="534"/>
      <c r="B82" s="534"/>
      <c r="C82" s="1654"/>
      <c r="D82" s="1654"/>
      <c r="E82" s="1654"/>
      <c r="F82" s="1654"/>
      <c r="G82" s="1654"/>
      <c r="H82" s="1654"/>
      <c r="I82" s="1654"/>
      <c r="J82" s="1654"/>
      <c r="K82" s="1654"/>
      <c r="L82" s="1654"/>
      <c r="M82" s="1654"/>
      <c r="N82" s="1654"/>
      <c r="O82" s="1654"/>
      <c r="P82" s="1654"/>
      <c r="Q82" s="1655"/>
      <c r="R82" s="1655"/>
      <c r="S82" s="1655"/>
      <c r="T82" s="1655"/>
      <c r="U82" s="1654"/>
      <c r="V82" s="1654"/>
      <c r="W82" s="1654"/>
      <c r="X82" s="212"/>
      <c r="Y82" s="212"/>
      <c r="Z82" s="212"/>
      <c r="AA82" s="212"/>
      <c r="AB82" s="212"/>
      <c r="AC82" s="212"/>
      <c r="AD82" s="212"/>
      <c r="AE82" s="212"/>
      <c r="AF82" s="212"/>
      <c r="AG82" s="1655"/>
      <c r="AH82" s="1655"/>
      <c r="AI82" s="535"/>
      <c r="AJ82" s="535"/>
      <c r="AK82" s="535"/>
      <c r="AL82" s="535"/>
    </row>
    <row r="83" spans="1:38" s="536" customFormat="1" ht="12.75">
      <c r="A83" s="534"/>
      <c r="B83" s="534"/>
      <c r="C83" s="1654"/>
      <c r="D83" s="1654"/>
      <c r="E83" s="1654"/>
      <c r="F83" s="1654"/>
      <c r="G83" s="1654"/>
      <c r="H83" s="1654"/>
      <c r="I83" s="1654"/>
      <c r="J83" s="1654"/>
      <c r="K83" s="1654"/>
      <c r="L83" s="1654"/>
      <c r="M83" s="1654"/>
      <c r="N83" s="1654"/>
      <c r="O83" s="1654"/>
      <c r="P83" s="1654"/>
      <c r="Q83" s="1655"/>
      <c r="R83" s="1655"/>
      <c r="S83" s="1655"/>
      <c r="T83" s="1655"/>
      <c r="U83" s="1654"/>
      <c r="V83" s="1654"/>
      <c r="W83" s="1654"/>
      <c r="X83" s="212"/>
      <c r="Y83" s="212"/>
      <c r="Z83" s="212"/>
      <c r="AA83" s="212"/>
      <c r="AB83" s="212"/>
      <c r="AC83" s="212"/>
      <c r="AD83" s="212"/>
      <c r="AE83" s="212"/>
      <c r="AF83" s="212"/>
      <c r="AG83" s="1655"/>
      <c r="AH83" s="1655"/>
      <c r="AI83" s="535"/>
      <c r="AJ83" s="535"/>
      <c r="AK83" s="535"/>
      <c r="AL83" s="535"/>
    </row>
    <row r="84" spans="1:38" s="536" customFormat="1" ht="12.75">
      <c r="A84" s="534"/>
      <c r="B84" s="534"/>
      <c r="C84" s="1654"/>
      <c r="D84" s="1654"/>
      <c r="E84" s="1654"/>
      <c r="F84" s="1654"/>
      <c r="G84" s="1654"/>
      <c r="H84" s="1654"/>
      <c r="I84" s="1654"/>
      <c r="J84" s="1654"/>
      <c r="K84" s="1654"/>
      <c r="L84" s="1654"/>
      <c r="M84" s="1654"/>
      <c r="N84" s="1654"/>
      <c r="O84" s="1654"/>
      <c r="P84" s="1654"/>
      <c r="Q84" s="1655"/>
      <c r="R84" s="1655"/>
      <c r="S84" s="1655"/>
      <c r="T84" s="1655"/>
      <c r="U84" s="1654"/>
      <c r="V84" s="1654"/>
      <c r="W84" s="1654"/>
      <c r="X84" s="212"/>
      <c r="Y84" s="212"/>
      <c r="Z84" s="212"/>
      <c r="AA84" s="212"/>
      <c r="AB84" s="212"/>
      <c r="AC84" s="212"/>
      <c r="AD84" s="212"/>
      <c r="AE84" s="212"/>
      <c r="AF84" s="212"/>
      <c r="AG84" s="1655"/>
      <c r="AH84" s="1655"/>
      <c r="AI84" s="535"/>
      <c r="AJ84" s="535"/>
      <c r="AK84" s="535"/>
      <c r="AL84" s="535"/>
    </row>
    <row r="85" spans="1:38" s="536" customFormat="1" ht="12.75">
      <c r="A85" s="534"/>
      <c r="B85" s="534"/>
      <c r="C85" s="1654"/>
      <c r="D85" s="1654"/>
      <c r="E85" s="1654"/>
      <c r="F85" s="1654"/>
      <c r="G85" s="1654"/>
      <c r="H85" s="1654"/>
      <c r="I85" s="1654"/>
      <c r="J85" s="1654"/>
      <c r="K85" s="1654"/>
      <c r="L85" s="1654"/>
      <c r="M85" s="1654"/>
      <c r="N85" s="1654"/>
      <c r="O85" s="1654"/>
      <c r="P85" s="1654"/>
      <c r="Q85" s="1655"/>
      <c r="R85" s="1655"/>
      <c r="S85" s="1655"/>
      <c r="T85" s="1655"/>
      <c r="U85" s="1654"/>
      <c r="V85" s="1654"/>
      <c r="W85" s="1654"/>
      <c r="X85" s="212"/>
      <c r="Y85" s="212"/>
      <c r="Z85" s="212"/>
      <c r="AA85" s="212"/>
      <c r="AB85" s="212"/>
      <c r="AC85" s="212"/>
      <c r="AD85" s="212"/>
      <c r="AE85" s="212"/>
      <c r="AF85" s="212"/>
      <c r="AG85" s="1655"/>
      <c r="AH85" s="1655"/>
      <c r="AI85" s="535"/>
      <c r="AJ85" s="535"/>
      <c r="AK85" s="535"/>
      <c r="AL85" s="535"/>
    </row>
    <row r="86" spans="1:38" s="536" customFormat="1" ht="12.75">
      <c r="A86" s="534"/>
      <c r="B86" s="534"/>
      <c r="C86" s="1654"/>
      <c r="D86" s="1654"/>
      <c r="E86" s="1654"/>
      <c r="F86" s="1654"/>
      <c r="G86" s="1654"/>
      <c r="H86" s="1654"/>
      <c r="I86" s="1654"/>
      <c r="J86" s="1654"/>
      <c r="K86" s="1654"/>
      <c r="L86" s="1654"/>
      <c r="M86" s="1654"/>
      <c r="N86" s="1654"/>
      <c r="O86" s="1654"/>
      <c r="P86" s="1654"/>
      <c r="Q86" s="1655"/>
      <c r="R86" s="1655"/>
      <c r="S86" s="1655"/>
      <c r="T86" s="1655"/>
      <c r="U86" s="1654"/>
      <c r="V86" s="1654"/>
      <c r="W86" s="1654"/>
      <c r="X86" s="212"/>
      <c r="Y86" s="212"/>
      <c r="Z86" s="212"/>
      <c r="AA86" s="212"/>
      <c r="AB86" s="212"/>
      <c r="AC86" s="212"/>
      <c r="AD86" s="212"/>
      <c r="AE86" s="212"/>
      <c r="AF86" s="212"/>
      <c r="AG86" s="1655"/>
      <c r="AH86" s="1655"/>
      <c r="AI86" s="535"/>
      <c r="AJ86" s="535"/>
      <c r="AK86" s="535"/>
      <c r="AL86" s="535"/>
    </row>
    <row r="87" spans="1:38" s="536" customFormat="1" ht="12.75">
      <c r="A87" s="534"/>
      <c r="B87" s="534"/>
      <c r="C87" s="1654"/>
      <c r="D87" s="1654"/>
      <c r="E87" s="1654"/>
      <c r="F87" s="1654"/>
      <c r="G87" s="1654"/>
      <c r="H87" s="1654"/>
      <c r="I87" s="1654"/>
      <c r="J87" s="1654"/>
      <c r="K87" s="1654"/>
      <c r="L87" s="1654"/>
      <c r="M87" s="1654"/>
      <c r="N87" s="1654"/>
      <c r="O87" s="1654"/>
      <c r="P87" s="1654"/>
      <c r="Q87" s="1655"/>
      <c r="R87" s="1655"/>
      <c r="S87" s="1655"/>
      <c r="T87" s="1655"/>
      <c r="U87" s="1654"/>
      <c r="V87" s="1654"/>
      <c r="W87" s="1654"/>
      <c r="X87" s="212"/>
      <c r="Y87" s="212"/>
      <c r="Z87" s="212"/>
      <c r="AA87" s="212"/>
      <c r="AB87" s="212"/>
      <c r="AC87" s="212"/>
      <c r="AD87" s="212"/>
      <c r="AE87" s="212"/>
      <c r="AF87" s="212"/>
      <c r="AG87" s="1655"/>
      <c r="AH87" s="1655"/>
      <c r="AI87" s="535"/>
      <c r="AJ87" s="535"/>
      <c r="AK87" s="535"/>
      <c r="AL87" s="535"/>
    </row>
    <row r="88" spans="1:38" s="536" customFormat="1" ht="12.75">
      <c r="A88" s="534"/>
      <c r="B88" s="534"/>
      <c r="C88" s="1654"/>
      <c r="D88" s="1654"/>
      <c r="E88" s="1654"/>
      <c r="F88" s="1654"/>
      <c r="G88" s="1654"/>
      <c r="H88" s="1654"/>
      <c r="I88" s="1654"/>
      <c r="J88" s="1654"/>
      <c r="K88" s="1654"/>
      <c r="L88" s="1654"/>
      <c r="M88" s="1654"/>
      <c r="N88" s="1654"/>
      <c r="O88" s="1654"/>
      <c r="P88" s="1654"/>
      <c r="Q88" s="1655"/>
      <c r="R88" s="1655"/>
      <c r="S88" s="1655"/>
      <c r="T88" s="1655"/>
      <c r="U88" s="1654"/>
      <c r="V88" s="1654"/>
      <c r="W88" s="1654"/>
      <c r="X88" s="212"/>
      <c r="Y88" s="212"/>
      <c r="Z88" s="212"/>
      <c r="AA88" s="212"/>
      <c r="AB88" s="212"/>
      <c r="AC88" s="212"/>
      <c r="AD88" s="212"/>
      <c r="AE88" s="212"/>
      <c r="AF88" s="212"/>
      <c r="AG88" s="1655"/>
      <c r="AH88" s="1655"/>
      <c r="AI88" s="535"/>
      <c r="AJ88" s="535"/>
      <c r="AK88" s="535"/>
      <c r="AL88" s="535"/>
    </row>
    <row r="89" spans="1:38" s="536" customFormat="1" ht="12.75">
      <c r="A89" s="534"/>
      <c r="B89" s="534"/>
      <c r="C89" s="1654"/>
      <c r="D89" s="1654"/>
      <c r="E89" s="1654"/>
      <c r="F89" s="1654"/>
      <c r="G89" s="1654"/>
      <c r="H89" s="1654"/>
      <c r="I89" s="1654"/>
      <c r="J89" s="1654"/>
      <c r="K89" s="1654"/>
      <c r="L89" s="1654"/>
      <c r="M89" s="1654"/>
      <c r="N89" s="1654"/>
      <c r="O89" s="1654"/>
      <c r="P89" s="1654"/>
      <c r="Q89" s="1655"/>
      <c r="R89" s="1655"/>
      <c r="S89" s="1655"/>
      <c r="T89" s="1655"/>
      <c r="U89" s="1654"/>
      <c r="V89" s="1654"/>
      <c r="W89" s="1654"/>
      <c r="X89" s="212"/>
      <c r="Y89" s="212"/>
      <c r="Z89" s="212"/>
      <c r="AA89" s="212"/>
      <c r="AB89" s="212"/>
      <c r="AC89" s="212"/>
      <c r="AD89" s="212"/>
      <c r="AE89" s="212"/>
      <c r="AF89" s="212"/>
      <c r="AG89" s="1655"/>
      <c r="AH89" s="1655"/>
      <c r="AI89" s="535"/>
      <c r="AJ89" s="535"/>
      <c r="AK89" s="535"/>
      <c r="AL89" s="535"/>
    </row>
  </sheetData>
  <mergeCells count="9">
    <mergeCell ref="AB8:AB12"/>
    <mergeCell ref="AE8:AE12"/>
    <mergeCell ref="AF8:AF12"/>
    <mergeCell ref="E1:F1"/>
    <mergeCell ref="U8:W9"/>
    <mergeCell ref="X8:X12"/>
    <mergeCell ref="Y8:Y12"/>
    <mergeCell ref="AA8:AA12"/>
    <mergeCell ref="Z8:Z12"/>
  </mergeCell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pageSetUpPr fitToPage="1"/>
  </sheetPr>
  <dimension ref="A1:AH65"/>
  <sheetViews>
    <sheetView showGridLines="0" showZeros="0" zoomScaleNormal="100" workbookViewId="0">
      <selection activeCell="L38" sqref="L38"/>
    </sheetView>
  </sheetViews>
  <sheetFormatPr baseColWidth="10" defaultRowHeight="12"/>
  <cols>
    <col min="1" max="1" width="10.25" customWidth="1"/>
    <col min="2" max="2" width="35.375" customWidth="1"/>
    <col min="3" max="3" width="11" style="792"/>
    <col min="4" max="4" width="13.375" style="792" bestFit="1" customWidth="1"/>
    <col min="5" max="5" width="11.25" style="792" bestFit="1" customWidth="1"/>
    <col min="6" max="6" width="13.375" style="792" bestFit="1" customWidth="1"/>
    <col min="7" max="8" width="11" style="792"/>
    <col min="9" max="9" width="11.625" style="792" bestFit="1" customWidth="1"/>
    <col min="10" max="11" width="11" style="792"/>
    <col min="12" max="12" width="11.625" style="792" bestFit="1" customWidth="1"/>
    <col min="13" max="14" width="11" style="792"/>
    <col min="15" max="15" width="11.625" style="792" bestFit="1" customWidth="1"/>
    <col min="16" max="17" width="11" style="792"/>
    <col min="18" max="18" width="16.375" style="792" bestFit="1" customWidth="1"/>
    <col min="19" max="19" width="11" style="792"/>
    <col min="20" max="20" width="12" style="792" customWidth="1"/>
    <col min="21" max="21" width="11.75" style="792" bestFit="1" customWidth="1"/>
    <col min="22" max="22" width="11.125" style="792" bestFit="1" customWidth="1"/>
    <col min="23" max="24" width="11.625" style="792" bestFit="1" customWidth="1"/>
    <col min="25" max="27" width="11" style="792"/>
    <col min="28" max="28" width="11.625" style="792" bestFit="1" customWidth="1"/>
    <col min="29" max="34" width="11" style="79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s="561" customFormat="1" ht="12.75" customHeight="1">
      <c r="A2" s="562" t="s">
        <v>65</v>
      </c>
      <c r="B2" s="1490" t="s">
        <v>320</v>
      </c>
      <c r="C2" s="1854"/>
      <c r="D2" s="1854"/>
      <c r="E2" s="1854"/>
      <c r="F2" s="1854"/>
      <c r="G2" s="1854"/>
      <c r="H2" s="1855"/>
      <c r="I2" s="1855"/>
      <c r="J2" s="1856"/>
      <c r="K2" s="1856"/>
      <c r="L2" s="1856"/>
      <c r="M2" s="1856"/>
      <c r="N2" s="1856"/>
      <c r="O2" s="1857"/>
      <c r="P2" s="1857"/>
      <c r="Q2" s="1857"/>
      <c r="R2" s="1857"/>
      <c r="S2" s="1858"/>
      <c r="T2" s="1858"/>
      <c r="U2" s="1857"/>
      <c r="V2" s="1857"/>
      <c r="W2" s="1857"/>
      <c r="X2" s="212"/>
      <c r="Y2" s="212"/>
      <c r="Z2" s="212"/>
      <c r="AA2" s="212"/>
      <c r="AB2" s="212"/>
      <c r="AC2" s="1858"/>
      <c r="AD2" s="1858"/>
      <c r="AE2" s="1858"/>
      <c r="AF2" s="1858"/>
      <c r="AG2" s="1858"/>
      <c r="AH2" s="1859"/>
    </row>
    <row r="3" spans="1:34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</row>
    <row r="4" spans="1:34" s="561" customFormat="1" ht="12.75">
      <c r="A4" s="562" t="s">
        <v>73</v>
      </c>
      <c r="B4" s="563" t="s">
        <v>321</v>
      </c>
      <c r="C4" s="1856" t="s">
        <v>81</v>
      </c>
      <c r="D4" s="1856" t="s">
        <v>322</v>
      </c>
      <c r="E4" s="1856"/>
      <c r="F4" s="1860"/>
      <c r="G4" s="1860"/>
      <c r="H4" s="1860"/>
      <c r="I4" s="1860"/>
      <c r="J4" s="1860"/>
      <c r="K4" s="1860"/>
      <c r="L4" s="1860"/>
      <c r="M4" s="1860"/>
      <c r="N4" s="1860"/>
      <c r="O4" s="1856"/>
      <c r="P4" s="1860"/>
      <c r="Q4" s="1856"/>
      <c r="R4" s="1856"/>
      <c r="S4" s="801"/>
      <c r="T4" s="801"/>
      <c r="U4" s="1856"/>
      <c r="V4" s="1856"/>
      <c r="W4" s="1860"/>
      <c r="X4" s="212"/>
      <c r="Y4" s="212"/>
      <c r="Z4" s="212"/>
      <c r="AA4" s="212"/>
      <c r="AB4" s="212"/>
      <c r="AC4" s="1858"/>
      <c r="AD4" s="1858"/>
      <c r="AE4" s="1858"/>
      <c r="AF4" s="1858"/>
      <c r="AG4" s="1858"/>
      <c r="AH4" s="1859"/>
    </row>
    <row r="5" spans="1:34" s="561" customFormat="1" ht="12" customHeight="1">
      <c r="A5" s="562" t="s">
        <v>74</v>
      </c>
      <c r="B5" s="563">
        <v>200900140</v>
      </c>
      <c r="C5" s="1856"/>
      <c r="E5" s="1856"/>
      <c r="F5" s="1860"/>
      <c r="G5" s="1860"/>
      <c r="H5" s="801"/>
      <c r="I5" s="2510"/>
      <c r="J5" s="2510"/>
      <c r="K5" s="2510"/>
      <c r="L5" s="2510"/>
      <c r="M5" s="2510"/>
      <c r="N5" s="2510"/>
      <c r="O5" s="2510"/>
      <c r="P5" s="2510"/>
      <c r="Q5" s="2510"/>
      <c r="R5" s="2510"/>
      <c r="S5" s="2510"/>
      <c r="T5" s="2510"/>
      <c r="U5" s="1856"/>
      <c r="V5" s="1856"/>
      <c r="W5" s="1860"/>
      <c r="X5" s="212"/>
      <c r="Y5" s="212"/>
      <c r="Z5" s="212"/>
      <c r="AA5" s="212"/>
      <c r="AB5" s="212"/>
      <c r="AC5" s="1858"/>
      <c r="AD5" s="1858"/>
      <c r="AE5" s="1858"/>
      <c r="AF5" s="1858"/>
      <c r="AG5" s="1858"/>
      <c r="AH5" s="1859"/>
    </row>
    <row r="6" spans="1:34" s="561" customFormat="1" ht="12.75">
      <c r="A6" s="562" t="s">
        <v>75</v>
      </c>
      <c r="B6" s="563"/>
      <c r="C6" s="1856"/>
      <c r="D6" s="1856"/>
      <c r="E6" s="1856"/>
      <c r="F6" s="1860"/>
      <c r="G6" s="1860"/>
      <c r="H6" s="1861"/>
      <c r="I6" s="1861"/>
      <c r="J6" s="1862"/>
      <c r="K6" s="801"/>
      <c r="L6" s="801"/>
      <c r="M6" s="801"/>
      <c r="N6" s="801"/>
      <c r="O6" s="1858"/>
      <c r="P6" s="1858"/>
      <c r="Q6" s="801"/>
      <c r="R6" s="1856"/>
      <c r="S6" s="801"/>
      <c r="T6" s="801"/>
      <c r="U6" s="1856"/>
      <c r="V6" s="1856"/>
      <c r="W6" s="1860"/>
      <c r="X6" s="212"/>
      <c r="Y6" s="212"/>
      <c r="Z6" s="212"/>
      <c r="AA6" s="212"/>
      <c r="AB6" s="212"/>
      <c r="AC6" s="1858"/>
      <c r="AD6" s="1858"/>
      <c r="AE6" s="1858"/>
      <c r="AF6" s="1858"/>
      <c r="AG6" s="1858"/>
      <c r="AH6" s="1859"/>
    </row>
    <row r="7" spans="1:34" s="561" customFormat="1" ht="12.75">
      <c r="A7" s="3"/>
      <c r="B7" s="3"/>
      <c r="C7" s="1856"/>
      <c r="D7" s="1856"/>
      <c r="E7" s="1856"/>
      <c r="F7" s="1860"/>
      <c r="G7" s="1860"/>
      <c r="H7" s="1861"/>
      <c r="I7" s="1863" t="s">
        <v>76</v>
      </c>
      <c r="J7" s="1864"/>
      <c r="K7" s="1865"/>
      <c r="L7" s="1865"/>
      <c r="M7" s="801"/>
      <c r="N7" s="1858"/>
      <c r="O7" s="1858"/>
      <c r="P7" s="1858"/>
      <c r="Q7" s="801"/>
      <c r="R7" s="1856"/>
      <c r="S7" s="801"/>
      <c r="T7" s="801"/>
      <c r="U7" s="1856"/>
      <c r="V7" s="1856"/>
      <c r="W7" s="1860"/>
      <c r="X7" s="212"/>
      <c r="Y7" s="212"/>
      <c r="Z7" s="212"/>
      <c r="AA7" s="212"/>
      <c r="AB7" s="212"/>
      <c r="AC7" s="1858"/>
      <c r="AD7" s="1858"/>
      <c r="AE7" s="1858"/>
      <c r="AF7" s="1858"/>
      <c r="AG7" s="1858"/>
      <c r="AH7" s="1859"/>
    </row>
    <row r="8" spans="1:34" s="561" customFormat="1" ht="16.5" customHeight="1">
      <c r="A8" s="564" t="s">
        <v>0</v>
      </c>
      <c r="B8" s="564" t="s">
        <v>1</v>
      </c>
      <c r="C8" s="1866" t="s">
        <v>2</v>
      </c>
      <c r="D8" s="1867" t="s">
        <v>3</v>
      </c>
      <c r="E8" s="1868"/>
      <c r="F8" s="1869"/>
      <c r="G8" s="1870" t="s">
        <v>4</v>
      </c>
      <c r="H8" s="1871"/>
      <c r="I8" s="1870" t="s">
        <v>5</v>
      </c>
      <c r="J8" s="1871"/>
      <c r="K8" s="1872" t="s">
        <v>6</v>
      </c>
      <c r="L8" s="1872"/>
      <c r="M8" s="1872"/>
      <c r="N8" s="1872"/>
      <c r="O8" s="1868" t="s">
        <v>7</v>
      </c>
      <c r="P8" s="1869"/>
      <c r="Q8" s="1868" t="s">
        <v>8</v>
      </c>
      <c r="R8" s="1869"/>
      <c r="S8" s="1873"/>
      <c r="T8" s="1874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1858"/>
      <c r="AD8" s="1858"/>
      <c r="AE8" s="1858"/>
      <c r="AF8" s="1858"/>
      <c r="AG8" s="1858"/>
      <c r="AH8" s="1859"/>
    </row>
    <row r="9" spans="1:34" s="561" customFormat="1" ht="8.25" customHeight="1">
      <c r="A9" s="565" t="s">
        <v>9</v>
      </c>
      <c r="B9" s="566"/>
      <c r="C9" s="1875"/>
      <c r="D9" s="1876"/>
      <c r="E9" s="1877"/>
      <c r="F9" s="1878"/>
      <c r="G9" s="1879"/>
      <c r="H9" s="1880"/>
      <c r="I9" s="1879" t="s">
        <v>10</v>
      </c>
      <c r="J9" s="1879"/>
      <c r="K9" s="1881" t="s">
        <v>11</v>
      </c>
      <c r="L9" s="1881"/>
      <c r="M9" s="1881"/>
      <c r="N9" s="1881" t="s">
        <v>12</v>
      </c>
      <c r="O9" s="1877"/>
      <c r="P9" s="1878"/>
      <c r="Q9" s="1877"/>
      <c r="R9" s="1882"/>
      <c r="S9" s="1883" t="s">
        <v>13</v>
      </c>
      <c r="T9" s="1884" t="s">
        <v>14</v>
      </c>
      <c r="U9" s="2402"/>
      <c r="V9" s="2403"/>
      <c r="W9" s="2404"/>
      <c r="X9" s="2397"/>
      <c r="Y9" s="2397"/>
      <c r="Z9" s="2397"/>
      <c r="AA9" s="2397"/>
      <c r="AB9" s="2397"/>
      <c r="AC9" s="1858"/>
      <c r="AD9" s="1858"/>
      <c r="AE9" s="1858"/>
      <c r="AF9" s="1858"/>
      <c r="AG9" s="1858"/>
      <c r="AH9" s="1859"/>
    </row>
    <row r="10" spans="1:34" s="561" customFormat="1" ht="8.25" customHeight="1">
      <c r="A10" s="567"/>
      <c r="B10" s="566"/>
      <c r="C10" s="1875"/>
      <c r="D10" s="1885" t="s">
        <v>15</v>
      </c>
      <c r="E10" s="1885" t="s">
        <v>16</v>
      </c>
      <c r="F10" s="1872" t="s">
        <v>17</v>
      </c>
      <c r="G10" s="1879"/>
      <c r="H10" s="1880"/>
      <c r="I10" s="1879"/>
      <c r="J10" s="1879"/>
      <c r="K10" s="1886" t="s">
        <v>18</v>
      </c>
      <c r="L10" s="1886" t="s">
        <v>17</v>
      </c>
      <c r="M10" s="1886" t="s">
        <v>19</v>
      </c>
      <c r="N10" s="1886" t="s">
        <v>20</v>
      </c>
      <c r="O10" s="1885" t="s">
        <v>16</v>
      </c>
      <c r="P10" s="1872" t="s">
        <v>17</v>
      </c>
      <c r="Q10" s="1885" t="s">
        <v>16</v>
      </c>
      <c r="R10" s="1872" t="s">
        <v>17</v>
      </c>
      <c r="S10" s="1883" t="s">
        <v>21</v>
      </c>
      <c r="T10" s="1884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1858"/>
      <c r="AD10" s="1858"/>
      <c r="AE10" s="1858"/>
      <c r="AF10" s="1858"/>
      <c r="AG10" s="1858"/>
      <c r="AH10" s="1859"/>
    </row>
    <row r="11" spans="1:34" s="561" customFormat="1" ht="8.25" customHeight="1">
      <c r="A11" s="567"/>
      <c r="B11" s="566"/>
      <c r="C11" s="1875"/>
      <c r="D11" s="1883" t="s">
        <v>23</v>
      </c>
      <c r="E11" s="1883"/>
      <c r="F11" s="1881" t="s">
        <v>23</v>
      </c>
      <c r="G11" s="1872" t="s">
        <v>24</v>
      </c>
      <c r="H11" s="1872" t="s">
        <v>25</v>
      </c>
      <c r="I11" s="1872" t="s">
        <v>26</v>
      </c>
      <c r="J11" s="1872" t="s">
        <v>27</v>
      </c>
      <c r="K11" s="1881" t="s">
        <v>28</v>
      </c>
      <c r="L11" s="1881" t="s">
        <v>29</v>
      </c>
      <c r="M11" s="1881" t="s">
        <v>30</v>
      </c>
      <c r="N11" s="1881" t="s">
        <v>31</v>
      </c>
      <c r="O11" s="1883"/>
      <c r="P11" s="1881" t="s">
        <v>23</v>
      </c>
      <c r="Q11" s="1883"/>
      <c r="R11" s="1881" t="s">
        <v>23</v>
      </c>
      <c r="S11" s="1875"/>
      <c r="T11" s="1884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1858"/>
      <c r="AD11" s="1858"/>
      <c r="AE11" s="1858"/>
      <c r="AF11" s="1858"/>
      <c r="AG11" s="1858"/>
      <c r="AH11" s="1859"/>
    </row>
    <row r="12" spans="1:34" s="561" customFormat="1" ht="8.25" customHeight="1">
      <c r="A12" s="567"/>
      <c r="B12" s="566"/>
      <c r="C12" s="1875"/>
      <c r="D12" s="1875"/>
      <c r="E12" s="1875"/>
      <c r="F12" s="1887"/>
      <c r="G12" s="1887"/>
      <c r="H12" s="1887"/>
      <c r="I12" s="1887"/>
      <c r="J12" s="1881" t="s">
        <v>33</v>
      </c>
      <c r="K12" s="1881" t="s">
        <v>34</v>
      </c>
      <c r="L12" s="1881"/>
      <c r="M12" s="1881"/>
      <c r="N12" s="1881"/>
      <c r="O12" s="1875"/>
      <c r="P12" s="1887"/>
      <c r="Q12" s="1875"/>
      <c r="R12" s="1887"/>
      <c r="S12" s="1888"/>
      <c r="T12" s="1889"/>
      <c r="U12" s="1693"/>
      <c r="V12" s="1693"/>
      <c r="W12" s="1694"/>
      <c r="X12" s="2397"/>
      <c r="Y12" s="2397"/>
      <c r="Z12" s="2397"/>
      <c r="AA12" s="2397"/>
      <c r="AB12" s="2397"/>
      <c r="AC12" s="1858"/>
      <c r="AD12" s="1858"/>
      <c r="AE12" s="1858"/>
      <c r="AF12" s="1858"/>
      <c r="AG12" s="1858"/>
      <c r="AH12" s="1859"/>
    </row>
    <row r="13" spans="1:34" s="561" customFormat="1">
      <c r="A13" s="568"/>
      <c r="B13" s="1418" t="s">
        <v>35</v>
      </c>
      <c r="C13" s="1890" t="s">
        <v>36</v>
      </c>
      <c r="D13" s="1890"/>
      <c r="E13" s="1890"/>
      <c r="F13" s="1891" t="s">
        <v>37</v>
      </c>
      <c r="G13" s="1891" t="s">
        <v>38</v>
      </c>
      <c r="H13" s="1891" t="s">
        <v>39</v>
      </c>
      <c r="I13" s="1891" t="s">
        <v>40</v>
      </c>
      <c r="J13" s="1891" t="s">
        <v>41</v>
      </c>
      <c r="K13" s="1891" t="s">
        <v>42</v>
      </c>
      <c r="L13" s="1891" t="s">
        <v>43</v>
      </c>
      <c r="M13" s="1891" t="s">
        <v>44</v>
      </c>
      <c r="N13" s="1891" t="s">
        <v>45</v>
      </c>
      <c r="O13" s="1890"/>
      <c r="P13" s="1891" t="s">
        <v>37</v>
      </c>
      <c r="Q13" s="1890" t="s">
        <v>46</v>
      </c>
      <c r="R13" s="1890"/>
      <c r="S13" s="1892" t="s">
        <v>47</v>
      </c>
      <c r="T13" s="1893" t="s">
        <v>48</v>
      </c>
      <c r="U13" s="1890"/>
      <c r="V13" s="1890"/>
      <c r="W13" s="1891" t="s">
        <v>37</v>
      </c>
      <c r="X13" s="289"/>
      <c r="Y13" s="289"/>
      <c r="Z13" s="289"/>
      <c r="AA13" s="289"/>
      <c r="AB13" s="289"/>
      <c r="AC13" s="1858"/>
      <c r="AD13" s="1858"/>
      <c r="AE13" s="1858"/>
      <c r="AF13" s="1858"/>
      <c r="AG13" s="1858"/>
      <c r="AH13" s="1859"/>
    </row>
    <row r="14" spans="1:34" s="561" customFormat="1" ht="12.75">
      <c r="A14" s="1395"/>
      <c r="B14" s="1396"/>
      <c r="C14" s="1894"/>
      <c r="D14" s="1894"/>
      <c r="E14" s="1894"/>
      <c r="F14" s="1894"/>
      <c r="G14" s="1895"/>
      <c r="H14" s="1895"/>
      <c r="I14" s="1894"/>
      <c r="J14" s="1894"/>
      <c r="K14" s="1894"/>
      <c r="L14" s="1894"/>
      <c r="M14" s="1894"/>
      <c r="N14" s="1894"/>
      <c r="O14" s="1894"/>
      <c r="P14" s="1894"/>
      <c r="Q14" s="1894"/>
      <c r="R14" s="1894"/>
      <c r="S14" s="1894"/>
      <c r="T14" s="1894"/>
      <c r="U14" s="1894"/>
      <c r="V14" s="1894"/>
      <c r="W14" s="1894"/>
      <c r="X14" s="824"/>
      <c r="Y14" s="824"/>
      <c r="Z14" s="824"/>
      <c r="AA14" s="824"/>
      <c r="AB14" s="824"/>
      <c r="AC14" s="1858"/>
      <c r="AD14" s="1858"/>
      <c r="AE14" s="1858"/>
      <c r="AF14" s="1858"/>
      <c r="AG14" s="1858"/>
      <c r="AH14" s="1859"/>
    </row>
    <row r="15" spans="1:34" s="561" customFormat="1" ht="12.75">
      <c r="A15" s="1395"/>
      <c r="B15" s="1397"/>
      <c r="C15" s="1894"/>
      <c r="D15" s="1894"/>
      <c r="E15" s="1894"/>
      <c r="F15" s="1894"/>
      <c r="G15" s="1895"/>
      <c r="H15" s="1895"/>
      <c r="I15" s="1894"/>
      <c r="J15" s="1894"/>
      <c r="K15" s="1894"/>
      <c r="L15" s="1894"/>
      <c r="M15" s="1894"/>
      <c r="N15" s="1894"/>
      <c r="O15" s="1894"/>
      <c r="P15" s="1894"/>
      <c r="Q15" s="1894"/>
      <c r="R15" s="1894"/>
      <c r="S15" s="1894"/>
      <c r="T15" s="1894"/>
      <c r="U15" s="1894"/>
      <c r="V15" s="1894"/>
      <c r="W15" s="1894"/>
      <c r="X15" s="824"/>
      <c r="Y15" s="824"/>
      <c r="Z15" s="824"/>
      <c r="AA15" s="824"/>
      <c r="AB15" s="824"/>
      <c r="AC15" s="1858"/>
      <c r="AD15" s="1858"/>
      <c r="AE15" s="1858"/>
      <c r="AF15" s="1858"/>
      <c r="AG15" s="1858"/>
      <c r="AH15" s="1859"/>
    </row>
    <row r="16" spans="1:34" s="799" customFormat="1" ht="15" customHeight="1">
      <c r="A16" s="1398">
        <v>1</v>
      </c>
      <c r="B16" s="1399" t="s">
        <v>323</v>
      </c>
      <c r="C16" s="1896"/>
      <c r="D16" s="1421">
        <v>19679255.401564512</v>
      </c>
      <c r="E16" s="1420">
        <v>1</v>
      </c>
      <c r="F16" s="1422">
        <f t="shared" ref="F16:F28" si="0">+D16*E16</f>
        <v>19679255.401564512</v>
      </c>
      <c r="G16" s="2373"/>
      <c r="H16" s="2376" t="s">
        <v>226</v>
      </c>
      <c r="I16" s="1422">
        <f t="shared" ref="I16:I21" si="1">W16</f>
        <v>1538361.1222647773</v>
      </c>
      <c r="J16" s="1422"/>
      <c r="K16" s="1422"/>
      <c r="L16" s="1422">
        <f t="shared" ref="L16:L28" si="2">I16-J16+K16</f>
        <v>1538361.1222647773</v>
      </c>
      <c r="M16" s="1422"/>
      <c r="N16" s="2373">
        <v>4284</v>
      </c>
      <c r="O16" s="1420">
        <v>1538361.1222647773</v>
      </c>
      <c r="P16" s="1422"/>
      <c r="Q16" s="1420"/>
      <c r="R16" s="1420">
        <v>1538361.1222647773</v>
      </c>
      <c r="S16" s="1421">
        <f>+O16-R16</f>
        <v>0</v>
      </c>
      <c r="T16" s="1897">
        <f t="shared" ref="T16:T28" si="3">W16-L16</f>
        <v>0</v>
      </c>
      <c r="U16" s="1421">
        <v>1538361.1222647773</v>
      </c>
      <c r="V16" s="1420">
        <v>1</v>
      </c>
      <c r="W16" s="1422">
        <f t="shared" ref="W16:W28" si="4">+U16*V16</f>
        <v>1538361.1222647773</v>
      </c>
      <c r="X16" s="1422">
        <v>1538361.1222647773</v>
      </c>
      <c r="Y16" s="1422"/>
      <c r="Z16" s="1898"/>
      <c r="AA16" s="1898"/>
      <c r="AB16" s="1898">
        <f t="shared" ref="AB16:AB48" si="5">W16</f>
        <v>1538361.1222647773</v>
      </c>
      <c r="AC16" s="801"/>
      <c r="AD16" s="801"/>
      <c r="AE16" s="801"/>
      <c r="AF16" s="801"/>
      <c r="AG16" s="800"/>
      <c r="AH16" s="800"/>
    </row>
    <row r="17" spans="1:34" s="799" customFormat="1" ht="15" customHeight="1">
      <c r="A17" s="1398">
        <v>2</v>
      </c>
      <c r="B17" s="1399" t="s">
        <v>324</v>
      </c>
      <c r="C17" s="1421"/>
      <c r="D17" s="1421">
        <v>6416771.8040114725</v>
      </c>
      <c r="E17" s="1420">
        <v>1</v>
      </c>
      <c r="F17" s="1422">
        <f t="shared" si="0"/>
        <v>6416771.8040114725</v>
      </c>
      <c r="G17" s="1419"/>
      <c r="H17" s="1419"/>
      <c r="I17" s="1422">
        <f t="shared" si="1"/>
        <v>398742.84823279636</v>
      </c>
      <c r="J17" s="1419"/>
      <c r="K17" s="1422"/>
      <c r="L17" s="1422">
        <f t="shared" si="2"/>
        <v>398742.84823279636</v>
      </c>
      <c r="M17" s="1419"/>
      <c r="N17" s="1419"/>
      <c r="O17" s="1419">
        <v>398742.84823279636</v>
      </c>
      <c r="P17" s="1419"/>
      <c r="Q17" s="1419"/>
      <c r="R17" s="1419">
        <v>398742.84823279636</v>
      </c>
      <c r="S17" s="1421">
        <f t="shared" ref="S17:S39" si="6">+O17-R17</f>
        <v>0</v>
      </c>
      <c r="T17" s="1897">
        <f t="shared" si="3"/>
        <v>0</v>
      </c>
      <c r="U17" s="1421">
        <v>398742.84823279636</v>
      </c>
      <c r="V17" s="1420">
        <v>1</v>
      </c>
      <c r="W17" s="1422">
        <f t="shared" si="4"/>
        <v>398742.84823279636</v>
      </c>
      <c r="X17" s="891">
        <v>398742.84823279636</v>
      </c>
      <c r="Y17" s="891"/>
      <c r="Z17" s="824"/>
      <c r="AA17" s="824"/>
      <c r="AB17" s="1898">
        <f t="shared" si="5"/>
        <v>398742.84823279636</v>
      </c>
      <c r="AC17" s="801"/>
      <c r="AD17" s="801"/>
      <c r="AE17" s="801"/>
      <c r="AF17" s="801"/>
      <c r="AG17" s="800"/>
      <c r="AH17" s="800"/>
    </row>
    <row r="18" spans="1:34" s="799" customFormat="1" ht="15" customHeight="1">
      <c r="A18" s="1398">
        <v>3</v>
      </c>
      <c r="B18" s="1399" t="s">
        <v>325</v>
      </c>
      <c r="C18" s="1419"/>
      <c r="D18" s="1421">
        <v>9046637.8040114734</v>
      </c>
      <c r="E18" s="1420">
        <v>1</v>
      </c>
      <c r="F18" s="1422">
        <f t="shared" si="0"/>
        <v>9046637.8040114734</v>
      </c>
      <c r="G18" s="1419"/>
      <c r="H18" s="1419"/>
      <c r="I18" s="1422">
        <f t="shared" si="1"/>
        <v>1403823.0889327058</v>
      </c>
      <c r="J18" s="1422"/>
      <c r="K18" s="1419"/>
      <c r="L18" s="1422">
        <f t="shared" si="2"/>
        <v>1403823.0889327058</v>
      </c>
      <c r="M18" s="1419"/>
      <c r="N18" s="1419"/>
      <c r="O18" s="1419">
        <v>1403823.0889327058</v>
      </c>
      <c r="P18" s="1419"/>
      <c r="Q18" s="1419"/>
      <c r="R18" s="1419">
        <v>1403823.0889327058</v>
      </c>
      <c r="S18" s="1421">
        <f t="shared" si="6"/>
        <v>0</v>
      </c>
      <c r="T18" s="1897">
        <f t="shared" si="3"/>
        <v>0</v>
      </c>
      <c r="U18" s="1421">
        <v>1403823.0889327058</v>
      </c>
      <c r="V18" s="1420">
        <v>1</v>
      </c>
      <c r="W18" s="1422">
        <f t="shared" si="4"/>
        <v>1403823.0889327058</v>
      </c>
      <c r="X18" s="891">
        <v>1403823.0889327058</v>
      </c>
      <c r="Y18" s="891"/>
      <c r="Z18" s="824"/>
      <c r="AA18" s="824"/>
      <c r="AB18" s="1898">
        <f t="shared" si="5"/>
        <v>1403823.0889327058</v>
      </c>
      <c r="AC18" s="801"/>
      <c r="AD18" s="801"/>
      <c r="AE18" s="801"/>
      <c r="AF18" s="801"/>
      <c r="AG18" s="800"/>
      <c r="AH18" s="800"/>
    </row>
    <row r="19" spans="1:34" s="799" customFormat="1" ht="15" customHeight="1">
      <c r="A19" s="1398">
        <v>4</v>
      </c>
      <c r="B19" s="1399" t="s">
        <v>326</v>
      </c>
      <c r="C19" s="1419"/>
      <c r="D19" s="1421">
        <v>9080837.8040114734</v>
      </c>
      <c r="E19" s="1420">
        <v>1</v>
      </c>
      <c r="F19" s="1422">
        <f t="shared" si="0"/>
        <v>9080837.8040114734</v>
      </c>
      <c r="G19" s="1419"/>
      <c r="H19" s="1419"/>
      <c r="I19" s="1422">
        <f t="shared" si="1"/>
        <v>40946.61410108659</v>
      </c>
      <c r="J19" s="1422"/>
      <c r="K19" s="1419"/>
      <c r="L19" s="1422">
        <f t="shared" si="2"/>
        <v>40946.61410108659</v>
      </c>
      <c r="M19" s="1419"/>
      <c r="N19" s="1419"/>
      <c r="O19" s="1419">
        <v>40946.61410108659</v>
      </c>
      <c r="P19" s="1419"/>
      <c r="Q19" s="1419"/>
      <c r="R19" s="1419">
        <v>40946.61410108659</v>
      </c>
      <c r="S19" s="1421">
        <f t="shared" si="6"/>
        <v>0</v>
      </c>
      <c r="T19" s="1897">
        <f t="shared" si="3"/>
        <v>0</v>
      </c>
      <c r="U19" s="1421">
        <v>40946.61410108659</v>
      </c>
      <c r="V19" s="1420">
        <v>1</v>
      </c>
      <c r="W19" s="1422">
        <f t="shared" si="4"/>
        <v>40946.61410108659</v>
      </c>
      <c r="X19" s="891">
        <v>40946.61410108659</v>
      </c>
      <c r="Y19" s="891"/>
      <c r="Z19" s="824"/>
      <c r="AA19" s="824"/>
      <c r="AB19" s="1898">
        <f t="shared" si="5"/>
        <v>40946.61410108659</v>
      </c>
      <c r="AC19" s="801"/>
      <c r="AD19" s="801"/>
      <c r="AE19" s="801"/>
      <c r="AF19" s="801"/>
      <c r="AG19" s="800"/>
      <c r="AH19" s="800"/>
    </row>
    <row r="20" spans="1:34" s="799" customFormat="1" ht="15" customHeight="1">
      <c r="A20" s="1398">
        <v>5</v>
      </c>
      <c r="B20" s="1399" t="s">
        <v>327</v>
      </c>
      <c r="C20" s="1421"/>
      <c r="D20" s="1421">
        <v>1271837.804011473</v>
      </c>
      <c r="E20" s="1420">
        <v>1</v>
      </c>
      <c r="F20" s="1422">
        <f t="shared" si="0"/>
        <v>1271837.804011473</v>
      </c>
      <c r="G20" s="1422"/>
      <c r="H20" s="1422"/>
      <c r="I20" s="1422">
        <f t="shared" si="1"/>
        <v>140294.66118124803</v>
      </c>
      <c r="J20" s="1422"/>
      <c r="K20" s="1419"/>
      <c r="L20" s="1422">
        <f t="shared" si="2"/>
        <v>140294.66118124803</v>
      </c>
      <c r="M20" s="1422"/>
      <c r="N20" s="1422"/>
      <c r="O20" s="1420">
        <v>140294.66118124803</v>
      </c>
      <c r="P20" s="1422"/>
      <c r="Q20" s="1420"/>
      <c r="R20" s="1420">
        <v>140294.66118124803</v>
      </c>
      <c r="S20" s="1421">
        <f t="shared" si="6"/>
        <v>0</v>
      </c>
      <c r="T20" s="1897">
        <f t="shared" si="3"/>
        <v>0</v>
      </c>
      <c r="U20" s="1421">
        <v>140294.66118124803</v>
      </c>
      <c r="V20" s="1420">
        <v>1</v>
      </c>
      <c r="W20" s="1422">
        <f t="shared" si="4"/>
        <v>140294.66118124803</v>
      </c>
      <c r="X20" s="891">
        <v>140294.66118124803</v>
      </c>
      <c r="Y20" s="891"/>
      <c r="Z20" s="824"/>
      <c r="AA20" s="824"/>
      <c r="AB20" s="1898">
        <f t="shared" si="5"/>
        <v>140294.66118124803</v>
      </c>
      <c r="AC20" s="801"/>
      <c r="AD20" s="801"/>
      <c r="AE20" s="801"/>
      <c r="AF20" s="801"/>
      <c r="AG20" s="801"/>
      <c r="AH20" s="800"/>
    </row>
    <row r="21" spans="1:34" s="799" customFormat="1" ht="15" customHeight="1">
      <c r="A21" s="1398">
        <v>6</v>
      </c>
      <c r="B21" s="1399" t="s">
        <v>328</v>
      </c>
      <c r="C21" s="1421"/>
      <c r="D21" s="1421">
        <v>42644510.54441303</v>
      </c>
      <c r="E21" s="1420">
        <v>1</v>
      </c>
      <c r="F21" s="1422">
        <f t="shared" si="0"/>
        <v>42644510.54441303</v>
      </c>
      <c r="G21" s="1419"/>
      <c r="H21" s="1419"/>
      <c r="I21" s="1422">
        <f t="shared" si="1"/>
        <v>2043613.836479848</v>
      </c>
      <c r="J21" s="1422"/>
      <c r="K21" s="1419"/>
      <c r="L21" s="1422">
        <f t="shared" si="2"/>
        <v>2043613.836479848</v>
      </c>
      <c r="M21" s="1419"/>
      <c r="N21" s="1419"/>
      <c r="O21" s="1419">
        <v>2043613.836479848</v>
      </c>
      <c r="P21" s="1419"/>
      <c r="Q21" s="1419"/>
      <c r="R21" s="1419">
        <v>2043613.836479848</v>
      </c>
      <c r="S21" s="1421">
        <f t="shared" si="6"/>
        <v>0</v>
      </c>
      <c r="T21" s="1897">
        <f t="shared" si="3"/>
        <v>0</v>
      </c>
      <c r="U21" s="1421">
        <v>2043613.836479848</v>
      </c>
      <c r="V21" s="1420">
        <v>1</v>
      </c>
      <c r="W21" s="1422">
        <f t="shared" si="4"/>
        <v>2043613.836479848</v>
      </c>
      <c r="X21" s="891">
        <v>2043613.836479848</v>
      </c>
      <c r="Y21" s="891"/>
      <c r="Z21" s="824"/>
      <c r="AA21" s="824"/>
      <c r="AB21" s="1898">
        <f t="shared" si="5"/>
        <v>2043613.836479848</v>
      </c>
      <c r="AC21" s="801"/>
      <c r="AD21" s="801"/>
      <c r="AE21" s="801"/>
      <c r="AF21" s="801"/>
      <c r="AG21" s="801"/>
      <c r="AH21" s="800"/>
    </row>
    <row r="22" spans="1:34" s="799" customFormat="1" ht="15" customHeight="1">
      <c r="A22" s="1398">
        <v>7</v>
      </c>
      <c r="B22" s="1399" t="s">
        <v>329</v>
      </c>
      <c r="C22" s="1421"/>
      <c r="D22" s="1421">
        <v>10009200</v>
      </c>
      <c r="E22" s="1420">
        <v>1</v>
      </c>
      <c r="F22" s="1422">
        <f t="shared" si="0"/>
        <v>10009200</v>
      </c>
      <c r="G22" s="1419"/>
      <c r="H22" s="1419"/>
      <c r="I22" s="1422"/>
      <c r="J22" s="1419"/>
      <c r="K22" s="1419"/>
      <c r="L22" s="1422">
        <f t="shared" si="2"/>
        <v>0</v>
      </c>
      <c r="M22" s="1422"/>
      <c r="N22" s="1422"/>
      <c r="O22" s="1420"/>
      <c r="P22" s="1422"/>
      <c r="Q22" s="1420"/>
      <c r="R22" s="1420"/>
      <c r="S22" s="1421">
        <f t="shared" si="6"/>
        <v>0</v>
      </c>
      <c r="T22" s="1897">
        <f t="shared" si="3"/>
        <v>0</v>
      </c>
      <c r="U22" s="1421">
        <v>0</v>
      </c>
      <c r="V22" s="1420">
        <v>1</v>
      </c>
      <c r="W22" s="1422">
        <f t="shared" si="4"/>
        <v>0</v>
      </c>
      <c r="X22" s="891">
        <v>0</v>
      </c>
      <c r="Y22" s="891"/>
      <c r="Z22" s="824"/>
      <c r="AA22" s="824"/>
      <c r="AB22" s="1898">
        <f t="shared" si="5"/>
        <v>0</v>
      </c>
      <c r="AC22" s="801"/>
      <c r="AD22" s="801"/>
      <c r="AE22" s="801"/>
      <c r="AF22" s="801"/>
      <c r="AG22" s="801"/>
      <c r="AH22" s="800"/>
    </row>
    <row r="23" spans="1:34" s="799" customFormat="1" ht="15" customHeight="1">
      <c r="A23" s="1398">
        <v>8</v>
      </c>
      <c r="B23" s="1399" t="s">
        <v>330</v>
      </c>
      <c r="C23" s="1421"/>
      <c r="D23" s="1421">
        <v>0</v>
      </c>
      <c r="E23" s="1420">
        <v>1</v>
      </c>
      <c r="F23" s="1422">
        <f t="shared" si="0"/>
        <v>0</v>
      </c>
      <c r="G23" s="1419"/>
      <c r="H23" s="1419"/>
      <c r="I23" s="1422"/>
      <c r="J23" s="1419"/>
      <c r="K23" s="1419"/>
      <c r="L23" s="1422">
        <f t="shared" si="2"/>
        <v>0</v>
      </c>
      <c r="M23" s="1419"/>
      <c r="N23" s="1419"/>
      <c r="O23" s="1419"/>
      <c r="P23" s="1419"/>
      <c r="Q23" s="1419"/>
      <c r="R23" s="1419"/>
      <c r="S23" s="1421">
        <f t="shared" si="6"/>
        <v>0</v>
      </c>
      <c r="T23" s="1897">
        <f t="shared" si="3"/>
        <v>0</v>
      </c>
      <c r="U23" s="1421">
        <v>0</v>
      </c>
      <c r="V23" s="1420">
        <v>1</v>
      </c>
      <c r="W23" s="1422">
        <f t="shared" si="4"/>
        <v>0</v>
      </c>
      <c r="X23" s="891">
        <v>0</v>
      </c>
      <c r="Y23" s="891"/>
      <c r="Z23" s="824"/>
      <c r="AA23" s="824"/>
      <c r="AB23" s="1898">
        <f t="shared" si="5"/>
        <v>0</v>
      </c>
      <c r="AC23" s="801"/>
      <c r="AD23" s="801"/>
      <c r="AE23" s="801"/>
      <c r="AF23" s="801"/>
      <c r="AG23" s="801"/>
      <c r="AH23" s="800"/>
    </row>
    <row r="24" spans="1:34" s="799" customFormat="1" ht="15" customHeight="1">
      <c r="A24" s="1398">
        <v>9</v>
      </c>
      <c r="B24" s="1399" t="s">
        <v>331</v>
      </c>
      <c r="C24" s="1419"/>
      <c r="D24" s="1421">
        <v>1080000</v>
      </c>
      <c r="E24" s="1420">
        <v>1</v>
      </c>
      <c r="F24" s="1422">
        <f t="shared" si="0"/>
        <v>1080000</v>
      </c>
      <c r="G24" s="1419"/>
      <c r="H24" s="1419"/>
      <c r="I24" s="1422"/>
      <c r="J24" s="1419"/>
      <c r="K24" s="1419"/>
      <c r="L24" s="1422">
        <f t="shared" si="2"/>
        <v>0</v>
      </c>
      <c r="M24" s="1419"/>
      <c r="N24" s="1419"/>
      <c r="O24" s="1419"/>
      <c r="P24" s="1419"/>
      <c r="Q24" s="1419"/>
      <c r="R24" s="1419"/>
      <c r="S24" s="1421">
        <f t="shared" si="6"/>
        <v>0</v>
      </c>
      <c r="T24" s="1897">
        <f t="shared" si="3"/>
        <v>0</v>
      </c>
      <c r="U24" s="1421">
        <v>0</v>
      </c>
      <c r="V24" s="1420">
        <v>1</v>
      </c>
      <c r="W24" s="1422">
        <f t="shared" si="4"/>
        <v>0</v>
      </c>
      <c r="X24" s="889">
        <v>0</v>
      </c>
      <c r="Y24" s="889"/>
      <c r="Z24" s="4"/>
      <c r="AA24" s="4"/>
      <c r="AB24" s="1898">
        <f t="shared" si="5"/>
        <v>0</v>
      </c>
      <c r="AC24" s="801"/>
      <c r="AD24" s="801"/>
      <c r="AE24" s="801"/>
      <c r="AF24" s="801"/>
      <c r="AG24" s="801"/>
      <c r="AH24" s="800"/>
    </row>
    <row r="25" spans="1:34" s="799" customFormat="1" ht="12.75">
      <c r="A25" s="1398">
        <v>10</v>
      </c>
      <c r="B25" s="1399" t="s">
        <v>332</v>
      </c>
      <c r="C25" s="1419"/>
      <c r="D25" s="1421">
        <v>0</v>
      </c>
      <c r="E25" s="1420">
        <v>1</v>
      </c>
      <c r="F25" s="1422">
        <f t="shared" si="0"/>
        <v>0</v>
      </c>
      <c r="G25" s="1419"/>
      <c r="H25" s="1419"/>
      <c r="I25" s="1422"/>
      <c r="J25" s="1419"/>
      <c r="K25" s="1419"/>
      <c r="L25" s="1422">
        <f t="shared" si="2"/>
        <v>0</v>
      </c>
      <c r="M25" s="1419"/>
      <c r="N25" s="1419"/>
      <c r="O25" s="1419"/>
      <c r="P25" s="1419"/>
      <c r="Q25" s="1419"/>
      <c r="R25" s="1419"/>
      <c r="S25" s="1421">
        <f t="shared" si="6"/>
        <v>0</v>
      </c>
      <c r="T25" s="1897">
        <f t="shared" si="3"/>
        <v>0</v>
      </c>
      <c r="U25" s="1421">
        <v>0</v>
      </c>
      <c r="V25" s="1420">
        <v>1</v>
      </c>
      <c r="W25" s="1422">
        <f t="shared" si="4"/>
        <v>0</v>
      </c>
      <c r="X25" s="891">
        <v>0</v>
      </c>
      <c r="Y25" s="891"/>
      <c r="Z25" s="824"/>
      <c r="AA25" s="824"/>
      <c r="AB25" s="1898">
        <f t="shared" si="5"/>
        <v>0</v>
      </c>
      <c r="AC25" s="801"/>
      <c r="AD25" s="801"/>
      <c r="AE25" s="801"/>
      <c r="AF25" s="801"/>
      <c r="AG25" s="801"/>
      <c r="AH25" s="800"/>
    </row>
    <row r="26" spans="1:34" s="799" customFormat="1" ht="12.75">
      <c r="A26" s="1398">
        <v>11</v>
      </c>
      <c r="B26" s="1399" t="s">
        <v>333</v>
      </c>
      <c r="C26" s="1419"/>
      <c r="D26" s="1421">
        <v>0</v>
      </c>
      <c r="E26" s="1420">
        <v>1</v>
      </c>
      <c r="F26" s="1422">
        <f t="shared" si="0"/>
        <v>0</v>
      </c>
      <c r="G26" s="1419"/>
      <c r="H26" s="1419"/>
      <c r="I26" s="1422"/>
      <c r="J26" s="1419"/>
      <c r="K26" s="1419"/>
      <c r="L26" s="1422">
        <f t="shared" si="2"/>
        <v>0</v>
      </c>
      <c r="M26" s="1419"/>
      <c r="N26" s="1419"/>
      <c r="O26" s="1419"/>
      <c r="P26" s="1419"/>
      <c r="Q26" s="1419"/>
      <c r="R26" s="1419"/>
      <c r="S26" s="1421">
        <f t="shared" si="6"/>
        <v>0</v>
      </c>
      <c r="T26" s="1897">
        <f t="shared" si="3"/>
        <v>0</v>
      </c>
      <c r="U26" s="1421">
        <v>0</v>
      </c>
      <c r="V26" s="1420">
        <v>1</v>
      </c>
      <c r="W26" s="1422">
        <f t="shared" si="4"/>
        <v>0</v>
      </c>
      <c r="X26" s="891">
        <v>0</v>
      </c>
      <c r="Y26" s="891"/>
      <c r="Z26" s="824"/>
      <c r="AA26" s="824"/>
      <c r="AB26" s="1898">
        <f t="shared" si="5"/>
        <v>0</v>
      </c>
      <c r="AC26" s="801"/>
      <c r="AD26" s="801"/>
      <c r="AE26" s="801"/>
      <c r="AF26" s="801"/>
      <c r="AG26" s="801"/>
      <c r="AH26" s="800"/>
    </row>
    <row r="27" spans="1:34" s="799" customFormat="1" ht="12.75">
      <c r="A27" s="1398">
        <v>12</v>
      </c>
      <c r="B27" s="1399" t="s">
        <v>334</v>
      </c>
      <c r="C27" s="1419"/>
      <c r="D27" s="1421">
        <v>0</v>
      </c>
      <c r="E27" s="1420">
        <v>1</v>
      </c>
      <c r="F27" s="1422">
        <f t="shared" si="0"/>
        <v>0</v>
      </c>
      <c r="G27" s="1419"/>
      <c r="H27" s="1419"/>
      <c r="I27" s="1422"/>
      <c r="J27" s="1419"/>
      <c r="K27" s="1419"/>
      <c r="L27" s="1422">
        <f t="shared" si="2"/>
        <v>0</v>
      </c>
      <c r="M27" s="1419"/>
      <c r="N27" s="1419"/>
      <c r="O27" s="1419"/>
      <c r="P27" s="1419"/>
      <c r="Q27" s="1419"/>
      <c r="R27" s="1419"/>
      <c r="S27" s="1421">
        <f t="shared" si="6"/>
        <v>0</v>
      </c>
      <c r="T27" s="1897">
        <f t="shared" si="3"/>
        <v>0</v>
      </c>
      <c r="U27" s="1421">
        <v>0</v>
      </c>
      <c r="V27" s="1420">
        <v>1</v>
      </c>
      <c r="W27" s="1422">
        <f t="shared" si="4"/>
        <v>0</v>
      </c>
      <c r="X27" s="891">
        <v>0</v>
      </c>
      <c r="Y27" s="891"/>
      <c r="Z27" s="824"/>
      <c r="AA27" s="824"/>
      <c r="AB27" s="1898">
        <f t="shared" si="5"/>
        <v>0</v>
      </c>
      <c r="AC27" s="801"/>
      <c r="AD27" s="801"/>
      <c r="AE27" s="801"/>
      <c r="AF27" s="801"/>
      <c r="AG27" s="801"/>
      <c r="AH27" s="800"/>
    </row>
    <row r="28" spans="1:34" s="799" customFormat="1" ht="12.75">
      <c r="A28" s="1398">
        <v>13</v>
      </c>
      <c r="B28" s="1399" t="s">
        <v>335</v>
      </c>
      <c r="C28" s="1419"/>
      <c r="D28" s="1421">
        <v>5569470</v>
      </c>
      <c r="E28" s="1420">
        <v>1</v>
      </c>
      <c r="F28" s="1422">
        <f t="shared" si="0"/>
        <v>5569470</v>
      </c>
      <c r="G28" s="1419"/>
      <c r="H28" s="1419"/>
      <c r="I28" s="1422">
        <f>W28</f>
        <v>86434.562524995315</v>
      </c>
      <c r="J28" s="1419"/>
      <c r="K28" s="1419"/>
      <c r="L28" s="1422">
        <f t="shared" si="2"/>
        <v>86434.562524995315</v>
      </c>
      <c r="M28" s="1419"/>
      <c r="N28" s="1419"/>
      <c r="O28" s="1419">
        <v>86434.562524995315</v>
      </c>
      <c r="P28" s="1419"/>
      <c r="Q28" s="1419"/>
      <c r="R28" s="1419">
        <v>86434.562524995315</v>
      </c>
      <c r="S28" s="1421">
        <f t="shared" si="6"/>
        <v>0</v>
      </c>
      <c r="T28" s="1897">
        <f t="shared" si="3"/>
        <v>0</v>
      </c>
      <c r="U28" s="1421">
        <v>86434.562524995315</v>
      </c>
      <c r="V28" s="1420">
        <v>1</v>
      </c>
      <c r="W28" s="1422">
        <f t="shared" si="4"/>
        <v>86434.562524995315</v>
      </c>
      <c r="X28" s="891">
        <v>86434.562524995315</v>
      </c>
      <c r="Y28" s="891"/>
      <c r="Z28" s="824"/>
      <c r="AA28" s="824"/>
      <c r="AB28" s="1898">
        <f t="shared" si="5"/>
        <v>86434.562524995315</v>
      </c>
      <c r="AC28" s="801"/>
      <c r="AD28" s="801"/>
      <c r="AE28" s="801"/>
      <c r="AF28" s="801"/>
      <c r="AG28" s="801"/>
      <c r="AH28" s="800"/>
    </row>
    <row r="29" spans="1:34" s="799" customFormat="1" ht="12.75">
      <c r="A29" s="1398"/>
      <c r="B29" s="1399"/>
      <c r="C29" s="1419"/>
      <c r="D29" s="1421"/>
      <c r="E29" s="1420"/>
      <c r="F29" s="1422"/>
      <c r="G29" s="1419"/>
      <c r="H29" s="1419"/>
      <c r="I29" s="1419"/>
      <c r="J29" s="1419"/>
      <c r="K29" s="1419"/>
      <c r="L29" s="1422"/>
      <c r="M29" s="1419"/>
      <c r="N29" s="1419"/>
      <c r="O29" s="1419"/>
      <c r="P29" s="1419"/>
      <c r="Q29" s="1419"/>
      <c r="R29" s="1419"/>
      <c r="S29" s="1421">
        <f t="shared" si="6"/>
        <v>0</v>
      </c>
      <c r="T29" s="1421"/>
      <c r="U29" s="1423"/>
      <c r="V29" s="1420"/>
      <c r="W29" s="1419"/>
      <c r="X29" s="891"/>
      <c r="Y29" s="891"/>
      <c r="Z29" s="824"/>
      <c r="AA29" s="824"/>
      <c r="AB29" s="1898">
        <f t="shared" si="5"/>
        <v>0</v>
      </c>
      <c r="AC29" s="801"/>
      <c r="AD29" s="801"/>
      <c r="AE29" s="801"/>
      <c r="AF29" s="801"/>
      <c r="AG29" s="801"/>
      <c r="AH29" s="800"/>
    </row>
    <row r="30" spans="1:34" s="800" customFormat="1" ht="12.75">
      <c r="A30" s="1400"/>
      <c r="B30" s="1401"/>
      <c r="C30" s="1419"/>
      <c r="D30" s="1421"/>
      <c r="E30" s="1420"/>
      <c r="F30" s="1422"/>
      <c r="G30" s="1419"/>
      <c r="H30" s="1419"/>
      <c r="I30" s="1419"/>
      <c r="J30" s="1419"/>
      <c r="K30" s="1419"/>
      <c r="L30" s="1419"/>
      <c r="M30" s="1419"/>
      <c r="N30" s="1419"/>
      <c r="O30" s="1419"/>
      <c r="P30" s="1419"/>
      <c r="Q30" s="1419"/>
      <c r="R30" s="1419"/>
      <c r="S30" s="1421">
        <f t="shared" si="6"/>
        <v>0</v>
      </c>
      <c r="T30" s="1421"/>
      <c r="U30" s="1423"/>
      <c r="V30" s="1420"/>
      <c r="W30" s="1419"/>
      <c r="X30" s="891"/>
      <c r="Y30" s="891"/>
      <c r="Z30" s="824"/>
      <c r="AA30" s="824"/>
      <c r="AB30" s="1898">
        <f t="shared" si="5"/>
        <v>0</v>
      </c>
      <c r="AC30" s="801"/>
      <c r="AD30" s="801"/>
      <c r="AE30" s="801"/>
      <c r="AF30" s="801"/>
      <c r="AG30" s="801"/>
    </row>
    <row r="31" spans="1:34" s="800" customFormat="1" ht="12.75">
      <c r="A31" s="1400"/>
      <c r="B31" s="1401"/>
      <c r="C31" s="1419"/>
      <c r="D31" s="1421"/>
      <c r="E31" s="1420"/>
      <c r="F31" s="1422"/>
      <c r="G31" s="1419"/>
      <c r="H31" s="1419"/>
      <c r="I31" s="1419"/>
      <c r="J31" s="1419"/>
      <c r="K31" s="1419"/>
      <c r="L31" s="1419"/>
      <c r="M31" s="1419"/>
      <c r="N31" s="1419"/>
      <c r="O31" s="1419"/>
      <c r="P31" s="1419"/>
      <c r="Q31" s="1419"/>
      <c r="R31" s="1419"/>
      <c r="S31" s="1421">
        <f t="shared" si="6"/>
        <v>0</v>
      </c>
      <c r="T31" s="1421"/>
      <c r="U31" s="1423"/>
      <c r="V31" s="1420"/>
      <c r="W31" s="1419"/>
      <c r="X31" s="891"/>
      <c r="Y31" s="891"/>
      <c r="Z31" s="824"/>
      <c r="AA31" s="824"/>
      <c r="AB31" s="1898">
        <f t="shared" si="5"/>
        <v>0</v>
      </c>
      <c r="AC31" s="801"/>
      <c r="AD31" s="801"/>
      <c r="AE31" s="801"/>
      <c r="AF31" s="801"/>
      <c r="AG31" s="801"/>
    </row>
    <row r="32" spans="1:34" s="800" customFormat="1" ht="12.75">
      <c r="A32" s="1400"/>
      <c r="B32" s="1401"/>
      <c r="C32" s="1419"/>
      <c r="D32" s="1421"/>
      <c r="E32" s="1420"/>
      <c r="F32" s="1422"/>
      <c r="G32" s="1419"/>
      <c r="H32" s="1419"/>
      <c r="I32" s="1419"/>
      <c r="J32" s="1419"/>
      <c r="K32" s="1419"/>
      <c r="L32" s="1419"/>
      <c r="M32" s="1419"/>
      <c r="N32" s="1419"/>
      <c r="O32" s="1419"/>
      <c r="P32" s="1419"/>
      <c r="Q32" s="1419"/>
      <c r="R32" s="1419"/>
      <c r="S32" s="1421">
        <f t="shared" si="6"/>
        <v>0</v>
      </c>
      <c r="T32" s="1421"/>
      <c r="U32" s="1423"/>
      <c r="V32" s="1420"/>
      <c r="W32" s="1419"/>
      <c r="X32" s="891"/>
      <c r="Y32" s="891"/>
      <c r="Z32" s="824"/>
      <c r="AA32" s="824"/>
      <c r="AB32" s="1898">
        <f t="shared" si="5"/>
        <v>0</v>
      </c>
      <c r="AC32" s="801"/>
      <c r="AD32" s="801"/>
      <c r="AE32" s="801"/>
      <c r="AF32" s="801"/>
      <c r="AG32" s="801"/>
    </row>
    <row r="33" spans="1:34" s="802" customFormat="1" ht="12.75">
      <c r="A33" s="1402"/>
      <c r="B33" s="1403" t="s">
        <v>336</v>
      </c>
      <c r="C33" s="1899"/>
      <c r="D33" s="1900"/>
      <c r="E33" s="1901"/>
      <c r="F33" s="1902">
        <f>SUM(F16:F29)</f>
        <v>104798521.16202343</v>
      </c>
      <c r="G33" s="1899"/>
      <c r="H33" s="1899"/>
      <c r="I33" s="1899"/>
      <c r="J33" s="1899"/>
      <c r="K33" s="1899"/>
      <c r="L33" s="1902">
        <f t="shared" ref="L33:L42" si="7">I33-J33+K33</f>
        <v>0</v>
      </c>
      <c r="M33" s="1899"/>
      <c r="N33" s="1899"/>
      <c r="O33" s="1899"/>
      <c r="P33" s="1899"/>
      <c r="Q33" s="1899"/>
      <c r="R33" s="1899"/>
      <c r="S33" s="1421">
        <f t="shared" si="6"/>
        <v>0</v>
      </c>
      <c r="T33" s="1900"/>
      <c r="U33" s="1903"/>
      <c r="V33" s="1901"/>
      <c r="W33" s="1899"/>
      <c r="X33" s="891">
        <v>0</v>
      </c>
      <c r="Y33" s="891"/>
      <c r="Z33" s="824"/>
      <c r="AA33" s="824"/>
      <c r="AB33" s="1898">
        <f t="shared" si="5"/>
        <v>0</v>
      </c>
      <c r="AC33" s="1904"/>
      <c r="AD33" s="1904"/>
      <c r="AE33" s="1904"/>
      <c r="AF33" s="1904"/>
      <c r="AG33" s="1904"/>
      <c r="AH33" s="1904"/>
    </row>
    <row r="34" spans="1:34" s="802" customFormat="1" ht="12.75">
      <c r="A34" s="1402"/>
      <c r="B34" s="1403"/>
      <c r="C34" s="1899"/>
      <c r="D34" s="1900"/>
      <c r="E34" s="1901"/>
      <c r="F34" s="1902"/>
      <c r="G34" s="1899"/>
      <c r="H34" s="1899"/>
      <c r="I34" s="1899"/>
      <c r="J34" s="1899"/>
      <c r="K34" s="1899"/>
      <c r="L34" s="1902">
        <f t="shared" si="7"/>
        <v>0</v>
      </c>
      <c r="M34" s="1899"/>
      <c r="N34" s="1899"/>
      <c r="O34" s="1899"/>
      <c r="P34" s="1899"/>
      <c r="Q34" s="1899"/>
      <c r="R34" s="1899"/>
      <c r="S34" s="1421">
        <f t="shared" si="6"/>
        <v>0</v>
      </c>
      <c r="T34" s="1900"/>
      <c r="U34" s="1903"/>
      <c r="V34" s="1901"/>
      <c r="W34" s="1899"/>
      <c r="X34" s="891">
        <v>0</v>
      </c>
      <c r="Y34" s="891"/>
      <c r="Z34" s="824"/>
      <c r="AA34" s="824"/>
      <c r="AB34" s="1898">
        <f t="shared" si="5"/>
        <v>0</v>
      </c>
      <c r="AC34" s="1904"/>
      <c r="AD34" s="1904"/>
      <c r="AE34" s="1904"/>
      <c r="AF34" s="1904"/>
      <c r="AG34" s="1904"/>
      <c r="AH34" s="1904"/>
    </row>
    <row r="35" spans="1:34" s="802" customFormat="1" ht="12.75">
      <c r="A35" s="1402"/>
      <c r="B35" s="1403" t="s">
        <v>337</v>
      </c>
      <c r="C35" s="1899"/>
      <c r="D35" s="1900"/>
      <c r="E35" s="1901"/>
      <c r="F35" s="1902"/>
      <c r="G35" s="1899"/>
      <c r="H35" s="1899"/>
      <c r="I35" s="1899"/>
      <c r="J35" s="1899"/>
      <c r="K35" s="1899"/>
      <c r="L35" s="1902">
        <f t="shared" si="7"/>
        <v>0</v>
      </c>
      <c r="M35" s="1899"/>
      <c r="N35" s="1899"/>
      <c r="O35" s="1899"/>
      <c r="P35" s="1899"/>
      <c r="Q35" s="1899"/>
      <c r="R35" s="1899"/>
      <c r="S35" s="1421">
        <f t="shared" si="6"/>
        <v>0</v>
      </c>
      <c r="T35" s="1900"/>
      <c r="U35" s="1903"/>
      <c r="V35" s="1901"/>
      <c r="W35" s="1899"/>
      <c r="X35" s="891">
        <v>0</v>
      </c>
      <c r="Y35" s="891"/>
      <c r="Z35" s="824"/>
      <c r="AA35" s="824"/>
      <c r="AB35" s="1898">
        <f t="shared" si="5"/>
        <v>0</v>
      </c>
      <c r="AC35" s="1904"/>
      <c r="AD35" s="1904"/>
      <c r="AE35" s="1904"/>
      <c r="AF35" s="1904"/>
      <c r="AG35" s="1904"/>
      <c r="AH35" s="1904"/>
    </row>
    <row r="36" spans="1:34" s="802" customFormat="1" ht="12.75">
      <c r="A36" s="1402"/>
      <c r="B36" s="1403"/>
      <c r="C36" s="1899"/>
      <c r="D36" s="1900"/>
      <c r="E36" s="1901"/>
      <c r="F36" s="1902"/>
      <c r="G36" s="1899"/>
      <c r="H36" s="1899"/>
      <c r="I36" s="1899">
        <f>W36</f>
        <v>448641.6</v>
      </c>
      <c r="J36" s="1899"/>
      <c r="K36" s="1899"/>
      <c r="L36" s="1905">
        <f t="shared" si="7"/>
        <v>448641.6</v>
      </c>
      <c r="M36" s="1899"/>
      <c r="N36" s="1899"/>
      <c r="O36" s="1899">
        <v>448641.6</v>
      </c>
      <c r="P36" s="1899"/>
      <c r="Q36" s="1899"/>
      <c r="R36" s="1899">
        <v>448641.6</v>
      </c>
      <c r="S36" s="1421">
        <f t="shared" si="6"/>
        <v>0</v>
      </c>
      <c r="T36" s="1421">
        <f>W36-L36</f>
        <v>0</v>
      </c>
      <c r="U36" s="1899">
        <f>0.4*934670*1.2</f>
        <v>448641.6</v>
      </c>
      <c r="V36" s="1901">
        <v>1</v>
      </c>
      <c r="W36" s="1899">
        <f>V36*U36</f>
        <v>448641.6</v>
      </c>
      <c r="X36" s="891">
        <v>448641.6</v>
      </c>
      <c r="Y36" s="891"/>
      <c r="Z36" s="824"/>
      <c r="AA36" s="824"/>
      <c r="AB36" s="1898">
        <f t="shared" si="5"/>
        <v>448641.6</v>
      </c>
      <c r="AC36" s="1904"/>
      <c r="AD36" s="1904"/>
      <c r="AE36" s="1904"/>
      <c r="AF36" s="1904"/>
      <c r="AG36" s="1904"/>
      <c r="AH36" s="1904"/>
    </row>
    <row r="37" spans="1:34" s="802" customFormat="1" ht="12.75">
      <c r="A37" s="1402"/>
      <c r="B37" s="1403" t="s">
        <v>338</v>
      </c>
      <c r="C37" s="1899"/>
      <c r="D37" s="1900">
        <f>1993000*1.2</f>
        <v>2391600</v>
      </c>
      <c r="E37" s="1901">
        <v>1</v>
      </c>
      <c r="F37" s="1902">
        <f>+D37*E37</f>
        <v>2391600</v>
      </c>
      <c r="G37" s="1899"/>
      <c r="H37" s="1899"/>
      <c r="I37" s="1899">
        <f>W37</f>
        <v>109647.84000000001</v>
      </c>
      <c r="J37" s="1899"/>
      <c r="K37" s="1899"/>
      <c r="L37" s="1902">
        <f t="shared" si="7"/>
        <v>109647.84000000001</v>
      </c>
      <c r="M37" s="1899"/>
      <c r="N37" s="1899"/>
      <c r="O37" s="1899">
        <v>109647.84</v>
      </c>
      <c r="P37" s="1899"/>
      <c r="Q37" s="1899"/>
      <c r="R37" s="1899">
        <v>109647.84</v>
      </c>
      <c r="S37" s="1421">
        <f t="shared" si="6"/>
        <v>0</v>
      </c>
      <c r="T37" s="1421">
        <f>W37-L37</f>
        <v>0</v>
      </c>
      <c r="U37" s="1899">
        <f>0.4*228433*1.2</f>
        <v>109647.84000000001</v>
      </c>
      <c r="V37" s="1901">
        <v>1</v>
      </c>
      <c r="W37" s="1899">
        <f>V37*U37</f>
        <v>109647.84000000001</v>
      </c>
      <c r="X37" s="891">
        <v>109647.84</v>
      </c>
      <c r="Y37" s="891"/>
      <c r="Z37" s="824"/>
      <c r="AA37" s="824"/>
      <c r="AB37" s="1898">
        <f t="shared" si="5"/>
        <v>109647.84000000001</v>
      </c>
      <c r="AC37" s="1904"/>
      <c r="AD37" s="1904"/>
      <c r="AE37" s="1904"/>
      <c r="AF37" s="1904"/>
      <c r="AG37" s="1904"/>
      <c r="AH37" s="1904"/>
    </row>
    <row r="38" spans="1:34" s="802" customFormat="1" ht="12.75">
      <c r="A38" s="1402"/>
      <c r="B38" s="1403" t="s">
        <v>339</v>
      </c>
      <c r="C38" s="1899"/>
      <c r="D38" s="1900">
        <f>487089.75*1.2</f>
        <v>584507.69999999995</v>
      </c>
      <c r="E38" s="1901">
        <v>1</v>
      </c>
      <c r="F38" s="1902">
        <f>+D38*E38</f>
        <v>584507.69999999995</v>
      </c>
      <c r="G38" s="1899"/>
      <c r="H38" s="1899"/>
      <c r="I38" s="1899">
        <f>W38</f>
        <v>983998.56</v>
      </c>
      <c r="J38" s="1899"/>
      <c r="K38" s="1899"/>
      <c r="L38" s="1905">
        <f t="shared" si="7"/>
        <v>983998.56</v>
      </c>
      <c r="M38" s="1899"/>
      <c r="N38" s="1899"/>
      <c r="O38" s="1899">
        <v>983998.56</v>
      </c>
      <c r="P38" s="1899"/>
      <c r="Q38" s="1899"/>
      <c r="R38" s="1899">
        <v>983998.56</v>
      </c>
      <c r="S38" s="1421">
        <f t="shared" si="6"/>
        <v>0</v>
      </c>
      <c r="T38" s="1421">
        <f>W38-L38</f>
        <v>0</v>
      </c>
      <c r="U38" s="1899">
        <f>0.4*2049997*1.2</f>
        <v>983998.56</v>
      </c>
      <c r="V38" s="1901">
        <v>1</v>
      </c>
      <c r="W38" s="1899">
        <f>V38*U38</f>
        <v>983998.56</v>
      </c>
      <c r="X38" s="891">
        <v>983998.56</v>
      </c>
      <c r="Y38" s="891"/>
      <c r="Z38" s="824"/>
      <c r="AA38" s="824"/>
      <c r="AB38" s="1898">
        <f t="shared" si="5"/>
        <v>983998.56</v>
      </c>
      <c r="AC38" s="1904"/>
      <c r="AD38" s="1904"/>
      <c r="AE38" s="1904"/>
      <c r="AF38" s="1904"/>
      <c r="AG38" s="1904"/>
      <c r="AH38" s="1904"/>
    </row>
    <row r="39" spans="1:34" s="802" customFormat="1" ht="12.75">
      <c r="A39" s="1402"/>
      <c r="B39" s="1403" t="s">
        <v>340</v>
      </c>
      <c r="C39" s="1899"/>
      <c r="D39" s="1900">
        <f>4371210*1.2</f>
        <v>5245452</v>
      </c>
      <c r="E39" s="1901">
        <v>1</v>
      </c>
      <c r="F39" s="1902">
        <f>+D39*E39</f>
        <v>5245452</v>
      </c>
      <c r="G39" s="1899"/>
      <c r="H39" s="1899"/>
      <c r="I39" s="1899">
        <f>W40</f>
        <v>0</v>
      </c>
      <c r="J39" s="1899"/>
      <c r="K39" s="1899"/>
      <c r="L39" s="1902">
        <f t="shared" si="7"/>
        <v>0</v>
      </c>
      <c r="M39" s="1899"/>
      <c r="N39" s="1899"/>
      <c r="O39" s="1899"/>
      <c r="P39" s="1899"/>
      <c r="Q39" s="1899"/>
      <c r="R39" s="1899"/>
      <c r="S39" s="1421">
        <f t="shared" si="6"/>
        <v>0</v>
      </c>
      <c r="T39" s="1421"/>
      <c r="U39" s="1899"/>
      <c r="V39" s="1899"/>
      <c r="W39" s="1903"/>
      <c r="X39" s="891">
        <v>0</v>
      </c>
      <c r="Y39" s="891"/>
      <c r="Z39" s="824"/>
      <c r="AA39" s="824"/>
      <c r="AB39" s="1898">
        <f t="shared" si="5"/>
        <v>0</v>
      </c>
      <c r="AC39" s="1904"/>
      <c r="AD39" s="1904"/>
      <c r="AE39" s="1904"/>
      <c r="AF39" s="1904"/>
      <c r="AG39" s="1904"/>
      <c r="AH39" s="1904"/>
    </row>
    <row r="40" spans="1:34" s="802" customFormat="1" ht="12.75">
      <c r="A40" s="1402"/>
      <c r="B40" s="1403" t="s">
        <v>341</v>
      </c>
      <c r="C40" s="1899"/>
      <c r="D40" s="1900">
        <f>1453500*1.2</f>
        <v>1744200</v>
      </c>
      <c r="E40" s="1901">
        <v>1</v>
      </c>
      <c r="F40" s="1902">
        <f>+D40*E40</f>
        <v>1744200</v>
      </c>
      <c r="G40" s="1899"/>
      <c r="H40" s="1899"/>
      <c r="I40" s="1899">
        <f>W40</f>
        <v>0</v>
      </c>
      <c r="J40" s="1899"/>
      <c r="K40" s="1899"/>
      <c r="L40" s="1902">
        <f t="shared" si="7"/>
        <v>0</v>
      </c>
      <c r="M40" s="1899"/>
      <c r="N40" s="1899"/>
      <c r="O40" s="1899"/>
      <c r="P40" s="1899"/>
      <c r="Q40" s="1899"/>
      <c r="R40" s="1899"/>
      <c r="S40" s="1899"/>
      <c r="T40" s="1900"/>
      <c r="U40" s="1899"/>
      <c r="V40" s="1901"/>
      <c r="W40" s="1899"/>
      <c r="X40" s="891">
        <v>0</v>
      </c>
      <c r="Y40" s="891"/>
      <c r="Z40" s="824"/>
      <c r="AA40" s="824"/>
      <c r="AB40" s="1898">
        <f t="shared" si="5"/>
        <v>0</v>
      </c>
      <c r="AC40" s="1904"/>
      <c r="AD40" s="1904"/>
      <c r="AE40" s="1904"/>
      <c r="AF40" s="1904"/>
      <c r="AG40" s="1904"/>
      <c r="AH40" s="1904"/>
    </row>
    <row r="41" spans="1:34" s="802" customFormat="1" ht="12.75">
      <c r="A41" s="1402"/>
      <c r="B41" s="1403"/>
      <c r="C41" s="1899"/>
      <c r="D41" s="1900"/>
      <c r="E41" s="1901"/>
      <c r="F41" s="1902"/>
      <c r="G41" s="1899"/>
      <c r="H41" s="1899"/>
      <c r="I41" s="1899"/>
      <c r="J41" s="1899"/>
      <c r="K41" s="1899"/>
      <c r="L41" s="1902">
        <f t="shared" si="7"/>
        <v>0</v>
      </c>
      <c r="M41" s="1899"/>
      <c r="N41" s="1899"/>
      <c r="O41" s="1899"/>
      <c r="P41" s="1899"/>
      <c r="Q41" s="1899"/>
      <c r="R41" s="1899"/>
      <c r="S41" s="1899"/>
      <c r="T41" s="1900"/>
      <c r="U41" s="1899"/>
      <c r="V41" s="1901"/>
      <c r="W41" s="1899"/>
      <c r="X41" s="891">
        <v>0</v>
      </c>
      <c r="Y41" s="891"/>
      <c r="Z41" s="824"/>
      <c r="AA41" s="824"/>
      <c r="AB41" s="1898">
        <f t="shared" si="5"/>
        <v>0</v>
      </c>
      <c r="AC41" s="1904"/>
      <c r="AD41" s="1904"/>
      <c r="AE41" s="1904"/>
      <c r="AF41" s="1904"/>
      <c r="AG41" s="1904"/>
      <c r="AH41" s="1904"/>
    </row>
    <row r="42" spans="1:34" s="802" customFormat="1" ht="12.75">
      <c r="A42" s="1402"/>
      <c r="B42" s="1403" t="s">
        <v>342</v>
      </c>
      <c r="C42" s="1899"/>
      <c r="D42" s="1900"/>
      <c r="E42" s="1901"/>
      <c r="F42" s="1902">
        <f>SUM(F37:F41)</f>
        <v>9965759.6999999993</v>
      </c>
      <c r="G42" s="1899"/>
      <c r="H42" s="1899"/>
      <c r="I42" s="1899"/>
      <c r="J42" s="1899"/>
      <c r="K42" s="1899"/>
      <c r="L42" s="1902">
        <f t="shared" si="7"/>
        <v>0</v>
      </c>
      <c r="M42" s="1899"/>
      <c r="N42" s="1899"/>
      <c r="O42" s="1899"/>
      <c r="P42" s="1899"/>
      <c r="Q42" s="1899"/>
      <c r="R42" s="1899"/>
      <c r="S42" s="1899"/>
      <c r="T42" s="1900"/>
      <c r="U42" s="1899"/>
      <c r="V42" s="1901"/>
      <c r="W42" s="1899"/>
      <c r="X42" s="891">
        <v>0</v>
      </c>
      <c r="Y42" s="891"/>
      <c r="Z42" s="824"/>
      <c r="AA42" s="824"/>
      <c r="AB42" s="1898">
        <f t="shared" si="5"/>
        <v>0</v>
      </c>
      <c r="AC42" s="1904"/>
      <c r="AD42" s="1904"/>
      <c r="AE42" s="1904"/>
      <c r="AF42" s="1904"/>
      <c r="AG42" s="1904"/>
      <c r="AH42" s="1904"/>
    </row>
    <row r="43" spans="1:34" s="799" customFormat="1" ht="13.5" customHeight="1">
      <c r="A43" s="1404"/>
      <c r="B43" s="1405"/>
      <c r="C43" s="1419"/>
      <c r="D43" s="1419"/>
      <c r="E43" s="1420"/>
      <c r="F43" s="1422"/>
      <c r="G43" s="1419"/>
      <c r="H43" s="1419"/>
      <c r="I43" s="1419"/>
      <c r="J43" s="1419"/>
      <c r="K43" s="1419"/>
      <c r="L43" s="1419"/>
      <c r="M43" s="1419"/>
      <c r="N43" s="1419"/>
      <c r="O43" s="1419"/>
      <c r="P43" s="1419"/>
      <c r="Q43" s="1419"/>
      <c r="R43" s="1419"/>
      <c r="S43" s="1419"/>
      <c r="T43" s="1421"/>
      <c r="U43" s="1419"/>
      <c r="V43" s="1420"/>
      <c r="W43" s="1419"/>
      <c r="X43" s="891"/>
      <c r="Y43" s="891"/>
      <c r="Z43" s="824"/>
      <c r="AA43" s="824"/>
      <c r="AB43" s="1898">
        <f t="shared" si="5"/>
        <v>0</v>
      </c>
      <c r="AC43" s="801"/>
      <c r="AD43" s="801"/>
      <c r="AE43" s="801"/>
      <c r="AF43" s="801"/>
      <c r="AG43" s="801"/>
      <c r="AH43" s="800"/>
    </row>
    <row r="44" spans="1:34" s="799" customFormat="1" ht="13.5" customHeight="1">
      <c r="A44" s="1398"/>
      <c r="B44" s="1406" t="s">
        <v>394</v>
      </c>
      <c r="C44" s="1419"/>
      <c r="D44" s="1419">
        <f>1.2*1774899</f>
        <v>2129878.7999999998</v>
      </c>
      <c r="E44" s="1420">
        <v>1</v>
      </c>
      <c r="F44" s="1419">
        <f>D44*E44</f>
        <v>2129878.7999999998</v>
      </c>
      <c r="G44" s="1419"/>
      <c r="H44" s="1419"/>
      <c r="I44" s="1419">
        <f>W44</f>
        <v>851951.52</v>
      </c>
      <c r="J44" s="1419"/>
      <c r="K44" s="1419"/>
      <c r="L44" s="1422">
        <f>I44-J44+K44</f>
        <v>851951.52</v>
      </c>
      <c r="M44" s="1419"/>
      <c r="N44" s="1419"/>
      <c r="O44" s="1419"/>
      <c r="P44" s="1419"/>
      <c r="Q44" s="1419"/>
      <c r="R44" s="1419"/>
      <c r="S44" s="1419"/>
      <c r="T44" s="1421"/>
      <c r="U44" s="1419">
        <f>F44*0.4</f>
        <v>851951.52</v>
      </c>
      <c r="V44" s="1420">
        <v>1</v>
      </c>
      <c r="W44" s="1419">
        <f>U44*V44</f>
        <v>851951.52</v>
      </c>
      <c r="X44" s="891">
        <v>851951.52</v>
      </c>
      <c r="Y44" s="891"/>
      <c r="Z44" s="824"/>
      <c r="AA44" s="824"/>
      <c r="AB44" s="1898">
        <f t="shared" si="5"/>
        <v>851951.52</v>
      </c>
      <c r="AC44" s="801"/>
      <c r="AD44" s="801"/>
      <c r="AE44" s="801"/>
      <c r="AF44" s="801"/>
      <c r="AG44" s="801"/>
      <c r="AH44" s="800"/>
    </row>
    <row r="45" spans="1:34" s="799" customFormat="1" ht="13.5" customHeight="1">
      <c r="A45" s="1398"/>
      <c r="B45" s="1406"/>
      <c r="C45" s="1419"/>
      <c r="D45" s="1419"/>
      <c r="E45" s="1420"/>
      <c r="F45" s="1419"/>
      <c r="G45" s="1419"/>
      <c r="H45" s="1419"/>
      <c r="I45" s="1419"/>
      <c r="J45" s="1419"/>
      <c r="K45" s="1419"/>
      <c r="L45" s="1419"/>
      <c r="M45" s="1419"/>
      <c r="N45" s="1419"/>
      <c r="O45" s="1419"/>
      <c r="P45" s="1419"/>
      <c r="Q45" s="1419"/>
      <c r="R45" s="1419"/>
      <c r="S45" s="1419"/>
      <c r="T45" s="1421"/>
      <c r="U45" s="1419"/>
      <c r="V45" s="1420"/>
      <c r="W45" s="1419"/>
      <c r="X45" s="891"/>
      <c r="Y45" s="891"/>
      <c r="Z45" s="824"/>
      <c r="AA45" s="824"/>
      <c r="AB45" s="1898">
        <f t="shared" si="5"/>
        <v>0</v>
      </c>
      <c r="AC45" s="801"/>
      <c r="AD45" s="801"/>
      <c r="AE45" s="801"/>
      <c r="AF45" s="801"/>
      <c r="AG45" s="801"/>
      <c r="AH45" s="800"/>
    </row>
    <row r="46" spans="1:34" s="799" customFormat="1" ht="13.5" customHeight="1">
      <c r="A46" s="1398"/>
      <c r="B46" s="1406"/>
      <c r="C46" s="1419"/>
      <c r="D46" s="1419"/>
      <c r="E46" s="1420"/>
      <c r="F46" s="1419"/>
      <c r="G46" s="1419"/>
      <c r="H46" s="1419"/>
      <c r="I46" s="1419"/>
      <c r="J46" s="1419"/>
      <c r="K46" s="1419"/>
      <c r="L46" s="1419"/>
      <c r="M46" s="1419"/>
      <c r="N46" s="1419"/>
      <c r="O46" s="1419"/>
      <c r="P46" s="1419"/>
      <c r="Q46" s="1419"/>
      <c r="R46" s="1419"/>
      <c r="S46" s="1419"/>
      <c r="T46" s="1421"/>
      <c r="U46" s="1419"/>
      <c r="V46" s="1420"/>
      <c r="W46" s="1419"/>
      <c r="X46" s="891"/>
      <c r="Y46" s="891"/>
      <c r="Z46" s="824"/>
      <c r="AA46" s="824"/>
      <c r="AB46" s="1898">
        <f t="shared" si="5"/>
        <v>0</v>
      </c>
      <c r="AC46" s="801"/>
      <c r="AD46" s="801"/>
      <c r="AE46" s="801"/>
      <c r="AF46" s="801"/>
      <c r="AG46" s="801"/>
      <c r="AH46" s="800"/>
    </row>
    <row r="47" spans="1:34" s="799" customFormat="1" ht="13.5" customHeight="1">
      <c r="A47" s="1398"/>
      <c r="B47" s="1406"/>
      <c r="C47" s="1419"/>
      <c r="D47" s="1419"/>
      <c r="E47" s="1420"/>
      <c r="F47" s="1419"/>
      <c r="G47" s="1419"/>
      <c r="H47" s="1419"/>
      <c r="I47" s="1419"/>
      <c r="J47" s="1419"/>
      <c r="K47" s="1419"/>
      <c r="L47" s="1906"/>
      <c r="M47" s="1419"/>
      <c r="N47" s="1419"/>
      <c r="O47" s="1419"/>
      <c r="P47" s="1419"/>
      <c r="Q47" s="1419"/>
      <c r="R47" s="1419"/>
      <c r="S47" s="1419"/>
      <c r="T47" s="1421">
        <f>L47*(-1)</f>
        <v>0</v>
      </c>
      <c r="U47" s="1419"/>
      <c r="V47" s="1420"/>
      <c r="W47" s="1419"/>
      <c r="X47" s="891"/>
      <c r="Y47" s="891"/>
      <c r="Z47" s="824"/>
      <c r="AA47" s="824"/>
      <c r="AB47" s="1898">
        <f t="shared" si="5"/>
        <v>0</v>
      </c>
      <c r="AC47" s="801"/>
      <c r="AD47" s="801"/>
      <c r="AE47" s="801"/>
      <c r="AF47" s="801"/>
      <c r="AG47" s="801"/>
      <c r="AH47" s="800"/>
    </row>
    <row r="48" spans="1:34" s="799" customFormat="1" ht="13.5" customHeight="1">
      <c r="A48" s="1398"/>
      <c r="B48" s="1406"/>
      <c r="C48" s="1419"/>
      <c r="D48" s="1419"/>
      <c r="E48" s="1420"/>
      <c r="F48" s="1419"/>
      <c r="G48" s="1419"/>
      <c r="H48" s="1419"/>
      <c r="I48" s="1419"/>
      <c r="J48" s="1419"/>
      <c r="K48" s="1419"/>
      <c r="L48" s="1419"/>
      <c r="M48" s="1419"/>
      <c r="N48" s="1419"/>
      <c r="O48" s="1419"/>
      <c r="P48" s="1419"/>
      <c r="Q48" s="1419"/>
      <c r="R48" s="1419"/>
      <c r="S48" s="1419"/>
      <c r="T48" s="1421"/>
      <c r="U48" s="1419"/>
      <c r="V48" s="1420"/>
      <c r="W48" s="1419"/>
      <c r="X48" s="891"/>
      <c r="Y48" s="891"/>
      <c r="Z48" s="824"/>
      <c r="AA48" s="824"/>
      <c r="AB48" s="1898">
        <f t="shared" si="5"/>
        <v>0</v>
      </c>
      <c r="AC48" s="801"/>
      <c r="AD48" s="801"/>
      <c r="AE48" s="801"/>
      <c r="AF48" s="801"/>
      <c r="AG48" s="801"/>
      <c r="AH48" s="800"/>
    </row>
    <row r="49" spans="1:34" s="799" customFormat="1" ht="13.5" customHeight="1">
      <c r="A49" s="1398"/>
      <c r="B49" s="1407" t="s">
        <v>343</v>
      </c>
      <c r="C49" s="1419"/>
      <c r="D49" s="1419"/>
      <c r="E49" s="1420"/>
      <c r="F49" s="1419"/>
      <c r="G49" s="1419"/>
      <c r="H49" s="1419"/>
      <c r="I49" s="1419">
        <v>-56522.17</v>
      </c>
      <c r="J49" s="1419"/>
      <c r="K49" s="1419"/>
      <c r="L49" s="1419">
        <f>-1%*SUM(L16:L28)</f>
        <v>-56522.167337174586</v>
      </c>
      <c r="M49" s="1419"/>
      <c r="N49" s="1419"/>
      <c r="O49" s="1419">
        <v>-56522.17</v>
      </c>
      <c r="P49" s="1419"/>
      <c r="Q49" s="1419"/>
      <c r="R49" s="1419">
        <v>-56522.17</v>
      </c>
      <c r="S49" s="1419"/>
      <c r="T49" s="1419">
        <f>-1%*SUM(T16:T28)</f>
        <v>0</v>
      </c>
      <c r="U49" s="1419"/>
      <c r="V49" s="1420"/>
      <c r="W49" s="1419"/>
      <c r="X49" s="891">
        <v>-56522.167337174586</v>
      </c>
      <c r="Y49" s="891"/>
      <c r="Z49" s="824"/>
      <c r="AA49" s="824"/>
      <c r="AB49" s="1907">
        <f>-1%*SUM(AB16:AB28)</f>
        <v>-56522.167337174586</v>
      </c>
      <c r="AC49" s="801"/>
      <c r="AD49" s="801"/>
      <c r="AE49" s="801"/>
      <c r="AF49" s="801"/>
      <c r="AG49" s="801"/>
      <c r="AH49" s="800"/>
    </row>
    <row r="50" spans="1:34" s="799" customFormat="1" ht="13.5" customHeight="1">
      <c r="A50" s="1404"/>
      <c r="B50" s="1407" t="s">
        <v>344</v>
      </c>
      <c r="C50" s="1419"/>
      <c r="D50" s="1419"/>
      <c r="E50" s="1420"/>
      <c r="F50" s="1419"/>
      <c r="G50" s="1419"/>
      <c r="H50" s="1419"/>
      <c r="I50" s="1419"/>
      <c r="J50" s="1419"/>
      <c r="K50" s="1419"/>
      <c r="L50" s="1419"/>
      <c r="M50" s="1419"/>
      <c r="N50" s="1419"/>
      <c r="O50" s="1419"/>
      <c r="P50" s="1419"/>
      <c r="Q50" s="1419"/>
      <c r="R50" s="1419"/>
      <c r="S50" s="1419"/>
      <c r="T50" s="1421"/>
      <c r="U50" s="1419"/>
      <c r="V50" s="1420"/>
      <c r="W50" s="1419"/>
      <c r="X50" s="891"/>
      <c r="Y50" s="891"/>
      <c r="Z50" s="824"/>
      <c r="AA50" s="824"/>
      <c r="AB50" s="1898">
        <f>W50</f>
        <v>0</v>
      </c>
      <c r="AC50" s="801"/>
      <c r="AD50" s="801"/>
      <c r="AE50" s="801"/>
      <c r="AF50" s="801"/>
      <c r="AG50" s="801"/>
      <c r="AH50" s="800"/>
    </row>
    <row r="51" spans="1:34" s="799" customFormat="1" ht="12.75">
      <c r="A51" s="1398"/>
      <c r="B51" s="1405"/>
      <c r="C51" s="1419"/>
      <c r="D51" s="1419"/>
      <c r="E51" s="1419"/>
      <c r="F51" s="1419"/>
      <c r="G51" s="1419"/>
      <c r="H51" s="1419"/>
      <c r="I51" s="1419"/>
      <c r="J51" s="1419"/>
      <c r="K51" s="1419"/>
      <c r="L51" s="1419"/>
      <c r="M51" s="1419"/>
      <c r="N51" s="1419"/>
      <c r="O51" s="1419"/>
      <c r="P51" s="1419"/>
      <c r="Q51" s="1419"/>
      <c r="R51" s="1419"/>
      <c r="S51" s="1419"/>
      <c r="T51" s="1421"/>
      <c r="U51" s="1419"/>
      <c r="V51" s="1419"/>
      <c r="W51" s="1419"/>
      <c r="X51" s="891"/>
      <c r="Y51" s="891"/>
      <c r="Z51" s="824"/>
      <c r="AA51" s="824"/>
      <c r="AB51" s="824"/>
      <c r="AC51" s="801"/>
      <c r="AD51" s="801"/>
      <c r="AE51" s="801"/>
      <c r="AF51" s="801"/>
      <c r="AG51" s="801"/>
      <c r="AH51" s="800"/>
    </row>
    <row r="52" spans="1:34" s="799" customFormat="1" ht="13.5" customHeight="1">
      <c r="A52" s="1398"/>
      <c r="B52" s="1405"/>
      <c r="C52" s="1419"/>
      <c r="D52" s="1419"/>
      <c r="E52" s="1420"/>
      <c r="F52" s="1419"/>
      <c r="G52" s="1419"/>
      <c r="H52" s="1419"/>
      <c r="I52" s="1419"/>
      <c r="J52" s="1419"/>
      <c r="K52" s="1419"/>
      <c r="L52" s="1419"/>
      <c r="M52" s="1419"/>
      <c r="N52" s="1419"/>
      <c r="O52" s="1419"/>
      <c r="P52" s="1419"/>
      <c r="Q52" s="1419"/>
      <c r="R52" s="1419"/>
      <c r="S52" s="1419"/>
      <c r="T52" s="1421"/>
      <c r="U52" s="1419"/>
      <c r="V52" s="1420"/>
      <c r="W52" s="1419"/>
      <c r="X52" s="891"/>
      <c r="Y52" s="891"/>
      <c r="Z52" s="824"/>
      <c r="AA52" s="824"/>
      <c r="AB52" s="824"/>
      <c r="AC52" s="801"/>
      <c r="AD52" s="801"/>
      <c r="AE52" s="801"/>
      <c r="AF52" s="801"/>
      <c r="AG52" s="801"/>
      <c r="AH52" s="800"/>
    </row>
    <row r="53" spans="1:34" s="799" customFormat="1" ht="13.5" customHeight="1">
      <c r="A53" s="1398"/>
      <c r="B53" s="1405"/>
      <c r="C53" s="1419"/>
      <c r="D53" s="1419"/>
      <c r="E53" s="1420"/>
      <c r="F53" s="1419"/>
      <c r="G53" s="1419"/>
      <c r="H53" s="1419"/>
      <c r="I53" s="1419"/>
      <c r="J53" s="1419"/>
      <c r="K53" s="1419"/>
      <c r="L53" s="1419"/>
      <c r="M53" s="1419"/>
      <c r="N53" s="1419"/>
      <c r="O53" s="1419"/>
      <c r="P53" s="1419"/>
      <c r="Q53" s="1419"/>
      <c r="R53" s="1419"/>
      <c r="S53" s="1419"/>
      <c r="T53" s="1421"/>
      <c r="U53" s="1419"/>
      <c r="V53" s="1420"/>
      <c r="W53" s="1419"/>
      <c r="X53" s="891"/>
      <c r="Y53" s="891"/>
      <c r="Z53" s="824"/>
      <c r="AA53" s="824"/>
      <c r="AB53" s="824"/>
      <c r="AC53" s="801"/>
      <c r="AD53" s="801"/>
      <c r="AE53" s="801"/>
      <c r="AF53" s="801"/>
      <c r="AG53" s="801"/>
      <c r="AH53" s="800"/>
    </row>
    <row r="54" spans="1:34" s="799" customFormat="1" ht="12.75">
      <c r="A54" s="1398"/>
      <c r="B54" s="1406"/>
      <c r="C54" s="1419"/>
      <c r="D54" s="1422"/>
      <c r="E54" s="1420"/>
      <c r="F54" s="1419"/>
      <c r="G54" s="1422"/>
      <c r="H54" s="1422"/>
      <c r="I54" s="1422"/>
      <c r="J54" s="1422"/>
      <c r="K54" s="1422"/>
      <c r="L54" s="1422"/>
      <c r="M54" s="1422"/>
      <c r="N54" s="1422"/>
      <c r="O54" s="1422"/>
      <c r="P54" s="1419"/>
      <c r="Q54" s="1422"/>
      <c r="R54" s="1419"/>
      <c r="S54" s="1419"/>
      <c r="T54" s="1421"/>
      <c r="U54" s="1422"/>
      <c r="V54" s="1420"/>
      <c r="W54" s="1419"/>
      <c r="X54" s="891"/>
      <c r="Y54" s="891"/>
      <c r="Z54" s="824"/>
      <c r="AA54" s="824"/>
      <c r="AB54" s="824"/>
      <c r="AC54" s="801"/>
      <c r="AD54" s="801"/>
      <c r="AE54" s="801"/>
      <c r="AF54" s="801"/>
      <c r="AG54" s="801"/>
      <c r="AH54" s="800"/>
    </row>
    <row r="55" spans="1:34" s="799" customFormat="1" ht="12.75">
      <c r="A55" s="1404"/>
      <c r="B55" s="1408"/>
      <c r="C55" s="1419"/>
      <c r="D55" s="1422"/>
      <c r="E55" s="1422"/>
      <c r="F55" s="1419"/>
      <c r="G55" s="1422"/>
      <c r="H55" s="1422"/>
      <c r="I55" s="1422"/>
      <c r="J55" s="1422"/>
      <c r="K55" s="1422"/>
      <c r="L55" s="1422"/>
      <c r="M55" s="1422"/>
      <c r="N55" s="1422"/>
      <c r="O55" s="1422"/>
      <c r="P55" s="1419"/>
      <c r="Q55" s="1422"/>
      <c r="R55" s="1419"/>
      <c r="S55" s="1419"/>
      <c r="T55" s="1421"/>
      <c r="U55" s="1422"/>
      <c r="V55" s="1422"/>
      <c r="W55" s="1419"/>
      <c r="X55" s="891"/>
      <c r="Y55" s="891"/>
      <c r="Z55" s="824"/>
      <c r="AA55" s="824"/>
      <c r="AB55" s="824"/>
      <c r="AC55" s="801"/>
      <c r="AD55" s="801"/>
      <c r="AE55" s="801"/>
      <c r="AF55" s="801"/>
      <c r="AG55" s="801"/>
      <c r="AH55" s="800"/>
    </row>
    <row r="56" spans="1:34" s="799" customFormat="1" ht="12.75">
      <c r="A56" s="1409"/>
      <c r="B56" s="1410"/>
      <c r="C56" s="1419"/>
      <c r="D56" s="1422"/>
      <c r="E56" s="1422"/>
      <c r="F56" s="1419"/>
      <c r="G56" s="1422"/>
      <c r="H56" s="1422"/>
      <c r="I56" s="1422"/>
      <c r="J56" s="1422"/>
      <c r="K56" s="1422"/>
      <c r="L56" s="1422"/>
      <c r="M56" s="1422"/>
      <c r="N56" s="1422"/>
      <c r="O56" s="1422"/>
      <c r="P56" s="1422"/>
      <c r="Q56" s="1422"/>
      <c r="R56" s="1421"/>
      <c r="S56" s="1421"/>
      <c r="T56" s="1421"/>
      <c r="U56" s="1422"/>
      <c r="V56" s="1422"/>
      <c r="W56" s="1419"/>
      <c r="X56" s="891"/>
      <c r="Y56" s="891"/>
      <c r="Z56" s="824"/>
      <c r="AA56" s="824"/>
      <c r="AB56" s="824"/>
      <c r="AC56" s="801"/>
      <c r="AD56" s="801"/>
      <c r="AE56" s="801"/>
      <c r="AF56" s="801"/>
      <c r="AG56" s="801"/>
      <c r="AH56" s="800"/>
    </row>
    <row r="57" spans="1:34" s="803" customFormat="1" ht="12.75">
      <c r="A57" s="1411" t="s">
        <v>97</v>
      </c>
      <c r="B57" s="1412" t="s">
        <v>17</v>
      </c>
      <c r="C57" s="892">
        <f t="shared" ref="C57:X57" si="8">SUM(C15:C56)</f>
        <v>0</v>
      </c>
      <c r="D57" s="892">
        <f t="shared" si="8"/>
        <v>116894159.66202343</v>
      </c>
      <c r="E57" s="892">
        <f t="shared" si="8"/>
        <v>18</v>
      </c>
      <c r="F57" s="892">
        <f t="shared" si="8"/>
        <v>231658440.52404684</v>
      </c>
      <c r="G57" s="892">
        <f t="shared" si="8"/>
        <v>0</v>
      </c>
      <c r="H57" s="892">
        <f t="shared" si="8"/>
        <v>0</v>
      </c>
      <c r="I57" s="892">
        <f t="shared" si="8"/>
        <v>7989934.083717458</v>
      </c>
      <c r="J57" s="892">
        <f t="shared" si="8"/>
        <v>0</v>
      </c>
      <c r="K57" s="892">
        <f t="shared" si="8"/>
        <v>0</v>
      </c>
      <c r="L57" s="892">
        <f t="shared" si="8"/>
        <v>7989934.0863802833</v>
      </c>
      <c r="M57" s="892">
        <f t="shared" si="8"/>
        <v>0</v>
      </c>
      <c r="N57" s="892">
        <f t="shared" si="8"/>
        <v>4284</v>
      </c>
      <c r="O57" s="892">
        <f t="shared" si="8"/>
        <v>7137982.5637174584</v>
      </c>
      <c r="P57" s="892">
        <f t="shared" si="8"/>
        <v>0</v>
      </c>
      <c r="Q57" s="892">
        <f t="shared" si="8"/>
        <v>0</v>
      </c>
      <c r="R57" s="892">
        <f t="shared" si="8"/>
        <v>7137982.5637174584</v>
      </c>
      <c r="S57" s="892">
        <f t="shared" si="8"/>
        <v>0</v>
      </c>
      <c r="T57" s="892">
        <f t="shared" si="8"/>
        <v>0</v>
      </c>
      <c r="U57" s="892">
        <f t="shared" si="8"/>
        <v>8046456.2537174579</v>
      </c>
      <c r="V57" s="892">
        <f t="shared" si="8"/>
        <v>17</v>
      </c>
      <c r="W57" s="892">
        <f t="shared" si="8"/>
        <v>8046456.2537174579</v>
      </c>
      <c r="X57" s="892">
        <f t="shared" si="8"/>
        <v>7989934.0863802833</v>
      </c>
      <c r="Y57" s="892">
        <f>SUM(Y15:Y56)</f>
        <v>0</v>
      </c>
      <c r="Z57" s="276">
        <f>SUM(Z15:Z56)</f>
        <v>0</v>
      </c>
      <c r="AA57" s="276">
        <f>SUM(AA15:AA56)</f>
        <v>0</v>
      </c>
      <c r="AB57" s="276">
        <f>SUM(AB15:AB56)</f>
        <v>7989934.0863802833</v>
      </c>
      <c r="AC57" s="1865"/>
      <c r="AD57" s="1865"/>
      <c r="AE57" s="1865"/>
      <c r="AF57" s="1865"/>
      <c r="AG57" s="1865"/>
      <c r="AH57" s="1908"/>
    </row>
    <row r="58" spans="1:34" s="561" customFormat="1" ht="12.75">
      <c r="A58" s="1413"/>
      <c r="B58" s="1414"/>
      <c r="C58" s="1909"/>
      <c r="D58" s="1909"/>
      <c r="E58" s="1909"/>
      <c r="F58" s="1910"/>
      <c r="G58" s="1910"/>
      <c r="H58" s="1910"/>
      <c r="I58" s="1910"/>
      <c r="J58" s="1910"/>
      <c r="K58" s="1910"/>
      <c r="L58" s="1910"/>
      <c r="M58" s="1910"/>
      <c r="N58" s="1910"/>
      <c r="O58" s="1909"/>
      <c r="P58" s="1910"/>
      <c r="Q58" s="1909"/>
      <c r="R58" s="1909"/>
      <c r="S58" s="1911"/>
      <c r="T58" s="1911"/>
      <c r="U58" s="1909"/>
      <c r="V58" s="1909"/>
      <c r="W58" s="1910"/>
      <c r="X58" s="1195"/>
      <c r="Y58" s="1195"/>
      <c r="Z58" s="1195"/>
      <c r="AA58" s="1195"/>
      <c r="AB58" s="1195"/>
      <c r="AC58" s="1858"/>
      <c r="AD58" s="1858"/>
      <c r="AE58" s="1858"/>
      <c r="AF58" s="1858"/>
      <c r="AG58" s="1858"/>
      <c r="AH58" s="1859"/>
    </row>
    <row r="59" spans="1:34" s="561" customFormat="1" ht="12.75">
      <c r="A59" s="1413"/>
      <c r="B59" s="1414"/>
      <c r="C59" s="1909"/>
      <c r="D59" s="1909"/>
      <c r="E59" s="1909"/>
      <c r="F59" s="1910"/>
      <c r="G59" s="1910"/>
      <c r="H59" s="1910"/>
      <c r="I59" s="1910"/>
      <c r="J59" s="1910"/>
      <c r="K59" s="1910"/>
      <c r="L59" s="1910"/>
      <c r="M59" s="1910"/>
      <c r="N59" s="1910"/>
      <c r="O59" s="1909"/>
      <c r="P59" s="1910"/>
      <c r="Q59" s="1909"/>
      <c r="R59" s="1912">
        <v>31590645.332799997</v>
      </c>
      <c r="S59" s="1911"/>
      <c r="T59" s="1911"/>
      <c r="U59" s="1909"/>
      <c r="V59" s="1909"/>
      <c r="W59" s="1910"/>
      <c r="X59" s="1195"/>
      <c r="Y59" s="1195"/>
      <c r="Z59" s="1195"/>
      <c r="AA59" s="1195"/>
      <c r="AB59" s="1195"/>
      <c r="AC59" s="1858"/>
      <c r="AD59" s="1858"/>
      <c r="AE59" s="1858"/>
      <c r="AF59" s="1858"/>
      <c r="AG59" s="1858"/>
      <c r="AH59" s="1859"/>
    </row>
    <row r="60" spans="1:34" s="561" customFormat="1" ht="12.75">
      <c r="A60" s="1415"/>
      <c r="B60" s="1416"/>
      <c r="C60" s="1909"/>
      <c r="D60" s="1909"/>
      <c r="E60" s="1909"/>
      <c r="F60" s="1910"/>
      <c r="G60" s="1909"/>
      <c r="H60" s="1909"/>
      <c r="I60" s="1909"/>
      <c r="J60" s="1909"/>
      <c r="K60" s="1909"/>
      <c r="L60" s="1909"/>
      <c r="M60" s="1909"/>
      <c r="N60" s="1909"/>
      <c r="O60" s="1909"/>
      <c r="P60" s="1909"/>
      <c r="Q60" s="1911"/>
      <c r="R60" s="1909"/>
      <c r="S60" s="1911"/>
      <c r="T60" s="1911"/>
      <c r="U60" s="1909"/>
      <c r="V60" s="1909"/>
      <c r="W60" s="1910"/>
      <c r="X60" s="1195"/>
      <c r="Y60" s="1195"/>
      <c r="Z60" s="1195"/>
      <c r="AA60" s="1195"/>
      <c r="AB60" s="1195"/>
      <c r="AC60" s="1858"/>
      <c r="AD60" s="1858"/>
      <c r="AE60" s="1858"/>
      <c r="AF60" s="1858"/>
      <c r="AG60" s="1858"/>
      <c r="AH60" s="1859"/>
    </row>
    <row r="61" spans="1:34" s="561" customFormat="1" ht="12.75">
      <c r="A61" s="1415"/>
      <c r="B61" s="1416"/>
      <c r="C61" s="1909"/>
      <c r="D61" s="1909"/>
      <c r="E61" s="1909"/>
      <c r="F61" s="1910"/>
      <c r="G61" s="1909"/>
      <c r="H61" s="1909"/>
      <c r="I61" s="1909"/>
      <c r="J61" s="1909"/>
      <c r="K61" s="1909"/>
      <c r="L61" s="1909"/>
      <c r="M61" s="1909"/>
      <c r="N61" s="1909"/>
      <c r="O61" s="1909"/>
      <c r="P61" s="1909"/>
      <c r="Q61" s="1911"/>
      <c r="R61" s="1909"/>
      <c r="S61" s="1911"/>
      <c r="T61" s="1911"/>
      <c r="U61" s="1909"/>
      <c r="V61" s="1909"/>
      <c r="W61" s="1910"/>
      <c r="X61" s="1195"/>
      <c r="Y61" s="1195"/>
      <c r="Z61" s="1195"/>
      <c r="AA61" s="1195"/>
      <c r="AB61" s="1195"/>
      <c r="AC61" s="1858"/>
      <c r="AD61" s="1858"/>
      <c r="AE61" s="1858"/>
      <c r="AF61" s="1858"/>
      <c r="AG61" s="1858"/>
      <c r="AH61" s="1859"/>
    </row>
    <row r="62" spans="1:34" ht="12.75">
      <c r="A62" s="1417"/>
      <c r="B62" s="1417"/>
      <c r="C62" s="1913"/>
      <c r="D62" s="1913"/>
      <c r="E62" s="1913"/>
      <c r="F62" s="1913"/>
      <c r="G62" s="1913"/>
      <c r="H62" s="1913"/>
      <c r="I62" s="1913"/>
      <c r="J62" s="1913"/>
      <c r="K62" s="1913"/>
      <c r="L62" s="1913"/>
      <c r="M62" s="1913"/>
      <c r="N62" s="1913"/>
      <c r="O62" s="1913"/>
      <c r="P62" s="1913"/>
      <c r="Q62" s="1913"/>
      <c r="R62" s="1913"/>
      <c r="S62" s="1913"/>
      <c r="T62" s="1913"/>
      <c r="U62" s="1913"/>
      <c r="V62" s="1913"/>
      <c r="W62" s="1913"/>
      <c r="X62" s="1913"/>
      <c r="Y62" s="1913"/>
      <c r="Z62" s="1913"/>
      <c r="AA62" s="1913"/>
      <c r="AB62" s="1913"/>
    </row>
    <row r="63" spans="1:34">
      <c r="R63" s="1914"/>
    </row>
    <row r="65" spans="18:18">
      <c r="R65" s="1914"/>
    </row>
  </sheetData>
  <mergeCells count="9">
    <mergeCell ref="AB8:AB12"/>
    <mergeCell ref="AA8:AA12"/>
    <mergeCell ref="Z8:Z12"/>
    <mergeCell ref="E1:F1"/>
    <mergeCell ref="I5:N5"/>
    <mergeCell ref="O5:T5"/>
    <mergeCell ref="U8:W9"/>
    <mergeCell ref="X8:X12"/>
    <mergeCell ref="Y8:Y12"/>
  </mergeCells>
  <phoneticPr fontId="0" type="noConversion"/>
  <pageMargins left="0" right="0" top="0" bottom="0.39370078740157483" header="0" footer="0"/>
  <pageSetup paperSize="9" scale="50" orientation="landscape" r:id="rId1"/>
  <headerFooter alignWithMargins="0"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A1:AH75"/>
  <sheetViews>
    <sheetView showGridLines="0" showZeros="0" topLeftCell="J1" zoomScaleNormal="100" workbookViewId="0">
      <selection activeCell="E81" sqref="E81:P81"/>
    </sheetView>
  </sheetViews>
  <sheetFormatPr baseColWidth="10" defaultRowHeight="12.75"/>
  <cols>
    <col min="1" max="1" width="10.25" style="194" customWidth="1"/>
    <col min="2" max="2" width="47.5" style="194" customWidth="1"/>
    <col min="3" max="3" width="12.5" style="1797" customWidth="1"/>
    <col min="4" max="4" width="10.625" style="1797" customWidth="1"/>
    <col min="5" max="5" width="4.875" style="1797" customWidth="1"/>
    <col min="6" max="6" width="13.25" style="1797" customWidth="1"/>
    <col min="7" max="7" width="9.125" style="1797" customWidth="1"/>
    <col min="8" max="8" width="8.375" style="1797" customWidth="1"/>
    <col min="9" max="9" width="7.375" style="1797" customWidth="1"/>
    <col min="10" max="10" width="13" style="1797" customWidth="1"/>
    <col min="11" max="11" width="9.125" style="1797" customWidth="1"/>
    <col min="12" max="12" width="8.125" style="1797" customWidth="1"/>
    <col min="13" max="13" width="9.75" style="1797" customWidth="1"/>
    <col min="14" max="14" width="8.125" style="1797" customWidth="1"/>
    <col min="15" max="15" width="5.75" style="1797" customWidth="1"/>
    <col min="16" max="16" width="5" style="1797" bestFit="1" customWidth="1"/>
    <col min="17" max="17" width="3.375" style="428" bestFit="1" customWidth="1"/>
    <col min="18" max="18" width="5" style="428" bestFit="1" customWidth="1"/>
    <col min="19" max="19" width="6.25" style="428" bestFit="1" customWidth="1"/>
    <col min="20" max="20" width="8.5" style="428" bestFit="1" customWidth="1"/>
    <col min="21" max="21" width="9.25" style="428" bestFit="1" customWidth="1"/>
    <col min="22" max="22" width="4" style="428" bestFit="1" customWidth="1"/>
    <col min="23" max="23" width="8.125" style="428" bestFit="1" customWidth="1"/>
    <col min="24" max="28" width="12.875" style="428" customWidth="1"/>
    <col min="29" max="30" width="11" style="428"/>
    <col min="31" max="34" width="11" style="429"/>
    <col min="35" max="16384" width="11" style="414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>
      <c r="A2" s="1197" t="s">
        <v>49</v>
      </c>
      <c r="B2" s="1197" t="s">
        <v>689</v>
      </c>
      <c r="C2" s="1796"/>
      <c r="D2" s="1796"/>
      <c r="E2" s="1796"/>
      <c r="F2" s="1796"/>
      <c r="G2" s="1796"/>
      <c r="H2" s="1796"/>
      <c r="Q2" s="1797"/>
      <c r="R2" s="1797"/>
    </row>
    <row r="3" spans="1:34">
      <c r="A3" s="415" t="s">
        <v>60</v>
      </c>
      <c r="B3" s="415" t="s">
        <v>50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1076"/>
      <c r="I3" s="1798"/>
      <c r="J3" s="1798"/>
      <c r="K3" s="1798"/>
      <c r="L3" s="1798"/>
      <c r="M3" s="1798"/>
      <c r="N3" s="1798"/>
      <c r="O3" s="1798"/>
      <c r="P3" s="1798"/>
      <c r="Q3" s="1798"/>
      <c r="R3" s="1798"/>
      <c r="S3" s="1799"/>
      <c r="T3" s="1799"/>
      <c r="U3" s="1799"/>
      <c r="V3" s="1799"/>
      <c r="W3" s="1799"/>
      <c r="X3" s="1799"/>
      <c r="Y3" s="1799"/>
      <c r="Z3" s="1799"/>
      <c r="AA3" s="1799"/>
      <c r="AB3" s="1799"/>
    </row>
    <row r="4" spans="1:34" ht="24" customHeight="1">
      <c r="A4" s="1426" t="s">
        <v>61</v>
      </c>
      <c r="B4" s="416" t="s">
        <v>688</v>
      </c>
      <c r="C4" s="216" t="s">
        <v>81</v>
      </c>
      <c r="D4" s="216" t="s">
        <v>69</v>
      </c>
      <c r="E4" s="216"/>
      <c r="F4" s="217"/>
      <c r="G4" s="217"/>
      <c r="H4" s="1075"/>
      <c r="I4" s="1800"/>
      <c r="J4" s="1800"/>
      <c r="K4" s="1800"/>
      <c r="L4" s="1800"/>
      <c r="M4" s="1800"/>
      <c r="N4" s="1800"/>
      <c r="O4" s="1798"/>
      <c r="P4" s="1800"/>
      <c r="Q4" s="1798"/>
      <c r="R4" s="1798"/>
      <c r="S4" s="1799"/>
      <c r="T4" s="1799"/>
      <c r="U4" s="1799"/>
      <c r="V4" s="1799"/>
      <c r="W4" s="1799"/>
      <c r="X4" s="1799"/>
      <c r="Y4" s="1799"/>
      <c r="Z4" s="1799"/>
      <c r="AA4" s="1799"/>
      <c r="AB4" s="1799"/>
    </row>
    <row r="5" spans="1:34">
      <c r="A5" s="1199" t="s">
        <v>62</v>
      </c>
      <c r="B5" s="784">
        <v>200900048</v>
      </c>
      <c r="C5" s="1796"/>
      <c r="D5" s="1796"/>
      <c r="E5" s="1796"/>
      <c r="F5" s="1801"/>
      <c r="G5" s="1801"/>
      <c r="H5" s="1796"/>
      <c r="J5" s="1800"/>
      <c r="K5" s="429"/>
      <c r="L5" s="1800"/>
      <c r="M5" s="1800"/>
      <c r="N5" s="1800"/>
      <c r="O5" s="1798"/>
      <c r="P5" s="1800"/>
      <c r="Q5" s="1798"/>
      <c r="R5" s="1798"/>
      <c r="S5" s="1800"/>
      <c r="T5" s="1799"/>
      <c r="U5" s="1799"/>
      <c r="V5" s="1799"/>
      <c r="W5" s="1799"/>
      <c r="X5" s="1799"/>
      <c r="Y5" s="1799"/>
      <c r="Z5" s="1799"/>
      <c r="AA5" s="1799"/>
      <c r="AB5" s="1799"/>
    </row>
    <row r="6" spans="1:34">
      <c r="A6" s="1199" t="s">
        <v>51</v>
      </c>
      <c r="B6" s="415" t="s">
        <v>687</v>
      </c>
      <c r="C6" s="1796"/>
      <c r="D6" s="1796"/>
      <c r="E6" s="1796"/>
      <c r="F6" s="1801"/>
      <c r="G6" s="1801"/>
      <c r="H6" s="1802"/>
      <c r="I6" s="1803"/>
      <c r="J6" s="1804"/>
      <c r="K6" s="1805"/>
      <c r="L6" s="1805"/>
      <c r="M6" s="1799"/>
      <c r="N6" s="428"/>
      <c r="O6" s="428"/>
      <c r="P6" s="428"/>
      <c r="Q6" s="1799"/>
      <c r="R6" s="1798"/>
      <c r="S6" s="1799"/>
      <c r="T6" s="1799"/>
      <c r="U6" s="1799"/>
      <c r="V6" s="1799"/>
      <c r="W6" s="1799"/>
      <c r="X6" s="1799"/>
      <c r="Y6" s="1799"/>
      <c r="Z6" s="1799"/>
      <c r="AA6" s="1799"/>
      <c r="AB6" s="1799"/>
    </row>
    <row r="7" spans="1:34">
      <c r="A7" s="195"/>
      <c r="B7" s="196"/>
      <c r="C7" s="1798"/>
      <c r="D7" s="1798"/>
      <c r="E7" s="1798"/>
      <c r="F7" s="1800"/>
      <c r="G7" s="1800"/>
      <c r="H7" s="1806"/>
      <c r="I7" s="1803"/>
      <c r="J7" s="1804"/>
      <c r="K7" s="1805"/>
      <c r="L7" s="1805"/>
      <c r="M7" s="1799"/>
      <c r="N7" s="428"/>
      <c r="O7" s="428"/>
      <c r="P7" s="428"/>
      <c r="Q7" s="1799"/>
      <c r="R7" s="1798"/>
      <c r="S7" s="1799"/>
      <c r="T7" s="1799"/>
      <c r="U7" s="1799"/>
      <c r="V7" s="1799"/>
      <c r="W7" s="1799"/>
      <c r="X7" s="1799"/>
      <c r="Y7" s="1799"/>
      <c r="Z7" s="1799"/>
      <c r="AA7" s="1799"/>
      <c r="AB7" s="1799"/>
    </row>
    <row r="8" spans="1:34" s="197" customFormat="1" ht="8.25">
      <c r="A8" s="1201" t="s">
        <v>0</v>
      </c>
      <c r="B8" s="1201" t="s">
        <v>1</v>
      </c>
      <c r="C8" s="1807" t="s">
        <v>2</v>
      </c>
      <c r="D8" s="1808" t="s">
        <v>3</v>
      </c>
      <c r="E8" s="1809"/>
      <c r="F8" s="1810"/>
      <c r="G8" s="1811" t="s">
        <v>4</v>
      </c>
      <c r="H8" s="1812"/>
      <c r="I8" s="1811" t="s">
        <v>5</v>
      </c>
      <c r="J8" s="1812"/>
      <c r="K8" s="1813" t="s">
        <v>6</v>
      </c>
      <c r="L8" s="1813"/>
      <c r="M8" s="1813"/>
      <c r="N8" s="1813"/>
      <c r="O8" s="1809" t="s">
        <v>7</v>
      </c>
      <c r="P8" s="1810"/>
      <c r="Q8" s="1809" t="s">
        <v>8</v>
      </c>
      <c r="R8" s="1810"/>
      <c r="S8" s="1814"/>
      <c r="T8" s="1815"/>
      <c r="U8" s="90" t="s">
        <v>82</v>
      </c>
      <c r="V8" s="91"/>
      <c r="W8" s="92"/>
      <c r="X8" s="2450" t="str">
        <f>"Production cumulée au 31/12/"&amp;(YEAR($E$1)-1)</f>
        <v>Production cumulée au 31/12/2014</v>
      </c>
      <c r="Y8" s="2450" t="str">
        <f>"sous traitance cumulée au 31/12/"&amp;(YEAR($E$1)-1)</f>
        <v>sous traitance cumulée au 31/12/2014</v>
      </c>
      <c r="Z8" s="2450" t="str">
        <f>"Facturation cumulée au 31/12/"&amp;(YEAR($E$1)-1)</f>
        <v>Facturation cumulée au 31/12/2014</v>
      </c>
      <c r="AA8" s="2450" t="str">
        <f>"Encaissement cumulé au 31/12/"&amp;(YEAR($E$1)-1)</f>
        <v>Encaissement cumulé au 31/12/2014</v>
      </c>
      <c r="AB8" s="2450" t="s">
        <v>64</v>
      </c>
      <c r="AC8" s="1816"/>
      <c r="AD8" s="1816"/>
      <c r="AE8" s="1817"/>
      <c r="AF8" s="1817"/>
      <c r="AG8" s="1817"/>
      <c r="AH8" s="1817"/>
    </row>
    <row r="9" spans="1:34" s="197" customFormat="1" ht="8.25" customHeight="1">
      <c r="A9" s="1203" t="s">
        <v>9</v>
      </c>
      <c r="B9" s="1205"/>
      <c r="C9" s="1818"/>
      <c r="D9" s="1819"/>
      <c r="E9" s="1820"/>
      <c r="F9" s="1821"/>
      <c r="G9" s="1822"/>
      <c r="H9" s="1823"/>
      <c r="I9" s="1822" t="s">
        <v>10</v>
      </c>
      <c r="J9" s="1822"/>
      <c r="K9" s="1824" t="s">
        <v>11</v>
      </c>
      <c r="L9" s="1824"/>
      <c r="M9" s="1824"/>
      <c r="N9" s="1824" t="s">
        <v>12</v>
      </c>
      <c r="O9" s="1820"/>
      <c r="P9" s="1821"/>
      <c r="Q9" s="1820"/>
      <c r="R9" s="1825"/>
      <c r="S9" s="1826" t="s">
        <v>13</v>
      </c>
      <c r="T9" s="1827" t="s">
        <v>14</v>
      </c>
      <c r="U9" s="1732"/>
      <c r="V9" s="1733"/>
      <c r="W9" s="1734"/>
      <c r="X9" s="2451"/>
      <c r="Y9" s="2451"/>
      <c r="Z9" s="2451"/>
      <c r="AA9" s="2451"/>
      <c r="AB9" s="2451"/>
      <c r="AC9" s="1816"/>
      <c r="AD9" s="1816"/>
      <c r="AE9" s="1817"/>
      <c r="AF9" s="1817"/>
      <c r="AG9" s="1817"/>
      <c r="AH9" s="1817"/>
    </row>
    <row r="10" spans="1:34" s="197" customFormat="1" ht="8.25" customHeight="1">
      <c r="A10" s="1205"/>
      <c r="B10" s="1205"/>
      <c r="C10" s="1818"/>
      <c r="D10" s="1828" t="s">
        <v>15</v>
      </c>
      <c r="E10" s="1828" t="s">
        <v>16</v>
      </c>
      <c r="F10" s="1813" t="s">
        <v>17</v>
      </c>
      <c r="G10" s="1822"/>
      <c r="H10" s="1823"/>
      <c r="I10" s="1822"/>
      <c r="J10" s="1822"/>
      <c r="K10" s="1829" t="s">
        <v>18</v>
      </c>
      <c r="L10" s="1829" t="s">
        <v>17</v>
      </c>
      <c r="M10" s="1829" t="s">
        <v>19</v>
      </c>
      <c r="N10" s="1829" t="s">
        <v>20</v>
      </c>
      <c r="O10" s="1828" t="s">
        <v>16</v>
      </c>
      <c r="P10" s="1813" t="s">
        <v>17</v>
      </c>
      <c r="Q10" s="1828" t="s">
        <v>16</v>
      </c>
      <c r="R10" s="1813" t="s">
        <v>17</v>
      </c>
      <c r="S10" s="1826" t="s">
        <v>21</v>
      </c>
      <c r="T10" s="1827" t="s">
        <v>22</v>
      </c>
      <c r="U10" s="1741" t="s">
        <v>15</v>
      </c>
      <c r="V10" s="1741" t="s">
        <v>16</v>
      </c>
      <c r="W10" s="1728" t="s">
        <v>17</v>
      </c>
      <c r="X10" s="2451"/>
      <c r="Y10" s="2451"/>
      <c r="Z10" s="2451"/>
      <c r="AA10" s="2451"/>
      <c r="AB10" s="2451"/>
      <c r="AC10" s="1816"/>
      <c r="AD10" s="1816"/>
      <c r="AE10" s="1817"/>
      <c r="AF10" s="1817"/>
      <c r="AG10" s="1817"/>
      <c r="AH10" s="1817"/>
    </row>
    <row r="11" spans="1:34" s="197" customFormat="1" ht="8.25" customHeight="1">
      <c r="A11" s="1205"/>
      <c r="B11" s="1205"/>
      <c r="C11" s="1818"/>
      <c r="D11" s="1826" t="s">
        <v>23</v>
      </c>
      <c r="E11" s="1826"/>
      <c r="F11" s="1824" t="s">
        <v>23</v>
      </c>
      <c r="G11" s="1813" t="s">
        <v>24</v>
      </c>
      <c r="H11" s="1813" t="s">
        <v>25</v>
      </c>
      <c r="I11" s="1813" t="s">
        <v>26</v>
      </c>
      <c r="J11" s="1813" t="s">
        <v>27</v>
      </c>
      <c r="K11" s="1824" t="s">
        <v>28</v>
      </c>
      <c r="L11" s="1824" t="s">
        <v>29</v>
      </c>
      <c r="M11" s="1824" t="s">
        <v>30</v>
      </c>
      <c r="N11" s="1824" t="s">
        <v>31</v>
      </c>
      <c r="O11" s="1826"/>
      <c r="P11" s="1824" t="s">
        <v>23</v>
      </c>
      <c r="Q11" s="1826"/>
      <c r="R11" s="1824" t="s">
        <v>23</v>
      </c>
      <c r="S11" s="1818"/>
      <c r="T11" s="1827" t="s">
        <v>32</v>
      </c>
      <c r="U11" s="1739" t="s">
        <v>56</v>
      </c>
      <c r="V11" s="1739"/>
      <c r="W11" s="1737" t="s">
        <v>56</v>
      </c>
      <c r="X11" s="2451"/>
      <c r="Y11" s="2451"/>
      <c r="Z11" s="2451"/>
      <c r="AA11" s="2451"/>
      <c r="AB11" s="2451"/>
      <c r="AC11" s="1816"/>
      <c r="AD11" s="1816"/>
      <c r="AE11" s="1817"/>
      <c r="AF11" s="1817"/>
      <c r="AG11" s="1817"/>
      <c r="AH11" s="1817"/>
    </row>
    <row r="12" spans="1:34">
      <c r="A12" s="1205"/>
      <c r="B12" s="1205"/>
      <c r="C12" s="1818"/>
      <c r="D12" s="1818"/>
      <c r="E12" s="1818"/>
      <c r="F12" s="1830"/>
      <c r="G12" s="1830"/>
      <c r="H12" s="1830"/>
      <c r="I12" s="1830"/>
      <c r="J12" s="1824" t="s">
        <v>33</v>
      </c>
      <c r="K12" s="1824" t="s">
        <v>34</v>
      </c>
      <c r="L12" s="1824"/>
      <c r="M12" s="1824"/>
      <c r="N12" s="1824"/>
      <c r="O12" s="1818"/>
      <c r="P12" s="1830"/>
      <c r="Q12" s="1818"/>
      <c r="R12" s="1830"/>
      <c r="S12" s="1831"/>
      <c r="T12" s="1832"/>
      <c r="U12" s="1731"/>
      <c r="V12" s="1731"/>
      <c r="W12" s="1743"/>
      <c r="X12" s="2452"/>
      <c r="Y12" s="2452"/>
      <c r="Z12" s="2452"/>
      <c r="AA12" s="2452"/>
      <c r="AB12" s="2452"/>
    </row>
    <row r="13" spans="1:34">
      <c r="A13" s="1206"/>
      <c r="B13" s="1206" t="s">
        <v>35</v>
      </c>
      <c r="C13" s="1833" t="s">
        <v>36</v>
      </c>
      <c r="D13" s="1833"/>
      <c r="E13" s="1833"/>
      <c r="F13" s="1834" t="s">
        <v>37</v>
      </c>
      <c r="G13" s="1834" t="s">
        <v>38</v>
      </c>
      <c r="H13" s="1834" t="s">
        <v>39</v>
      </c>
      <c r="I13" s="1834" t="s">
        <v>40</v>
      </c>
      <c r="J13" s="1834" t="s">
        <v>41</v>
      </c>
      <c r="K13" s="1834" t="s">
        <v>42</v>
      </c>
      <c r="L13" s="1834" t="s">
        <v>43</v>
      </c>
      <c r="M13" s="1834" t="s">
        <v>44</v>
      </c>
      <c r="N13" s="1834" t="s">
        <v>45</v>
      </c>
      <c r="O13" s="1833"/>
      <c r="P13" s="1834" t="s">
        <v>37</v>
      </c>
      <c r="Q13" s="1833" t="s">
        <v>46</v>
      </c>
      <c r="R13" s="1833"/>
      <c r="S13" s="1835" t="s">
        <v>47</v>
      </c>
      <c r="T13" s="1836" t="s">
        <v>48</v>
      </c>
      <c r="U13" s="1836" t="s">
        <v>91</v>
      </c>
      <c r="V13" s="1836" t="s">
        <v>92</v>
      </c>
      <c r="W13" s="1836" t="s">
        <v>93</v>
      </c>
      <c r="X13" s="1837" t="s">
        <v>86</v>
      </c>
      <c r="Y13" s="1837"/>
      <c r="Z13" s="1837"/>
      <c r="AA13" s="1837"/>
      <c r="AB13" s="1837"/>
    </row>
    <row r="14" spans="1:34">
      <c r="A14" s="198">
        <v>1</v>
      </c>
      <c r="B14" s="199" t="s">
        <v>686</v>
      </c>
      <c r="C14" s="1838"/>
      <c r="D14" s="1838"/>
      <c r="E14" s="1838"/>
      <c r="F14" s="1839">
        <f t="shared" ref="F14:F45" si="0">+D14*E14</f>
        <v>0</v>
      </c>
      <c r="G14" s="1839"/>
      <c r="H14" s="1839"/>
      <c r="I14" s="1839"/>
      <c r="J14" s="1839"/>
      <c r="K14" s="1839"/>
      <c r="L14" s="1839">
        <f t="shared" ref="L14:L45" si="1">+I14-J14+K14</f>
        <v>0</v>
      </c>
      <c r="M14" s="1839"/>
      <c r="N14" s="1839"/>
      <c r="O14" s="1839"/>
      <c r="P14" s="1838"/>
      <c r="Q14" s="1839"/>
      <c r="R14" s="1840"/>
      <c r="S14" s="1840"/>
      <c r="T14" s="1841"/>
      <c r="U14" s="1841"/>
      <c r="V14" s="1841"/>
      <c r="W14" s="1841"/>
      <c r="X14" s="1839">
        <v>0</v>
      </c>
      <c r="Y14" s="1839"/>
      <c r="Z14" s="1838"/>
      <c r="AA14" s="1840"/>
      <c r="AB14" s="1841"/>
    </row>
    <row r="15" spans="1:34">
      <c r="A15" s="200" t="s">
        <v>685</v>
      </c>
      <c r="B15" s="201" t="s">
        <v>684</v>
      </c>
      <c r="C15" s="1838"/>
      <c r="D15" s="1838"/>
      <c r="E15" s="1842"/>
      <c r="F15" s="1839">
        <f t="shared" si="0"/>
        <v>0</v>
      </c>
      <c r="G15" s="1839"/>
      <c r="H15" s="1839"/>
      <c r="I15" s="1839"/>
      <c r="J15" s="1839"/>
      <c r="K15" s="1839"/>
      <c r="L15" s="1839">
        <f t="shared" si="1"/>
        <v>0</v>
      </c>
      <c r="M15" s="1839"/>
      <c r="N15" s="1839"/>
      <c r="O15" s="1839"/>
      <c r="P15" s="1838"/>
      <c r="Q15" s="1839"/>
      <c r="R15" s="1840"/>
      <c r="S15" s="1840"/>
      <c r="T15" s="1843"/>
      <c r="U15" s="1843"/>
      <c r="V15" s="1843"/>
      <c r="W15" s="1843"/>
      <c r="X15" s="1839">
        <v>0</v>
      </c>
      <c r="Y15" s="1839"/>
      <c r="Z15" s="1838"/>
      <c r="AA15" s="1840"/>
      <c r="AB15" s="1843"/>
    </row>
    <row r="16" spans="1:34">
      <c r="A16" s="202" t="s">
        <v>683</v>
      </c>
      <c r="B16" s="193" t="s">
        <v>682</v>
      </c>
      <c r="C16" s="1214"/>
      <c r="D16" s="1214"/>
      <c r="E16" s="1213"/>
      <c r="F16" s="1839">
        <f t="shared" si="0"/>
        <v>0</v>
      </c>
      <c r="G16" s="1844"/>
      <c r="H16" s="1844"/>
      <c r="I16" s="1844"/>
      <c r="J16" s="1844"/>
      <c r="K16" s="1844"/>
      <c r="L16" s="1839">
        <f t="shared" si="1"/>
        <v>0</v>
      </c>
      <c r="M16" s="1844"/>
      <c r="N16" s="1844"/>
      <c r="O16" s="1844"/>
      <c r="P16" s="1844"/>
      <c r="Q16" s="1844"/>
      <c r="R16" s="1844"/>
      <c r="S16" s="1844"/>
      <c r="T16" s="1844"/>
      <c r="U16" s="1844"/>
      <c r="V16" s="1844"/>
      <c r="W16" s="1844"/>
      <c r="X16" s="1839">
        <v>0</v>
      </c>
      <c r="Y16" s="1844"/>
      <c r="Z16" s="1844"/>
      <c r="AA16" s="1844"/>
      <c r="AB16" s="1844"/>
    </row>
    <row r="17" spans="1:30" ht="12" customHeight="1">
      <c r="A17" s="202" t="s">
        <v>681</v>
      </c>
      <c r="B17" s="203" t="s">
        <v>680</v>
      </c>
      <c r="C17" s="1212"/>
      <c r="D17" s="1212"/>
      <c r="E17" s="1213"/>
      <c r="F17" s="1839">
        <f t="shared" si="0"/>
        <v>0</v>
      </c>
      <c r="G17" s="1844"/>
      <c r="H17" s="1844"/>
      <c r="I17" s="1844"/>
      <c r="J17" s="1844"/>
      <c r="K17" s="1844"/>
      <c r="L17" s="1839">
        <f t="shared" si="1"/>
        <v>0</v>
      </c>
      <c r="M17" s="1844"/>
      <c r="N17" s="1844"/>
      <c r="O17" s="1844"/>
      <c r="P17" s="1844"/>
      <c r="Q17" s="1844"/>
      <c r="R17" s="1844"/>
      <c r="S17" s="1844"/>
      <c r="T17" s="1844"/>
      <c r="U17" s="1844"/>
      <c r="V17" s="1844"/>
      <c r="W17" s="1844"/>
      <c r="X17" s="1839">
        <v>0</v>
      </c>
      <c r="Y17" s="1844"/>
      <c r="Z17" s="1844"/>
      <c r="AA17" s="1844"/>
      <c r="AB17" s="1844"/>
      <c r="AC17" s="429"/>
      <c r="AD17" s="429"/>
    </row>
    <row r="18" spans="1:30">
      <c r="A18" s="202" t="s">
        <v>679</v>
      </c>
      <c r="B18" s="203" t="s">
        <v>678</v>
      </c>
      <c r="C18" s="1212"/>
      <c r="D18" s="1212"/>
      <c r="E18" s="1213"/>
      <c r="F18" s="1839">
        <f t="shared" si="0"/>
        <v>0</v>
      </c>
      <c r="G18" s="1844"/>
      <c r="H18" s="1844"/>
      <c r="I18" s="1844"/>
      <c r="J18" s="1844"/>
      <c r="K18" s="1844"/>
      <c r="L18" s="1839">
        <f t="shared" si="1"/>
        <v>0</v>
      </c>
      <c r="M18" s="1844"/>
      <c r="N18" s="1844"/>
      <c r="O18" s="1844"/>
      <c r="P18" s="1844"/>
      <c r="Q18" s="1844"/>
      <c r="R18" s="1844"/>
      <c r="S18" s="1844"/>
      <c r="T18" s="1844"/>
      <c r="U18" s="1844"/>
      <c r="V18" s="1844"/>
      <c r="W18" s="1844"/>
      <c r="X18" s="1839">
        <v>0</v>
      </c>
      <c r="Y18" s="1844"/>
      <c r="Z18" s="1844"/>
      <c r="AA18" s="1844"/>
      <c r="AB18" s="1844"/>
      <c r="AC18" s="429"/>
      <c r="AD18" s="429"/>
    </row>
    <row r="19" spans="1:30">
      <c r="A19" s="204" t="s">
        <v>677</v>
      </c>
      <c r="B19" s="203" t="s">
        <v>676</v>
      </c>
      <c r="C19" s="1212"/>
      <c r="D19" s="1212"/>
      <c r="E19" s="1213"/>
      <c r="F19" s="1839">
        <f t="shared" si="0"/>
        <v>0</v>
      </c>
      <c r="G19" s="1844"/>
      <c r="H19" s="1844"/>
      <c r="I19" s="1844"/>
      <c r="J19" s="1844"/>
      <c r="K19" s="1844"/>
      <c r="L19" s="1839">
        <f t="shared" si="1"/>
        <v>0</v>
      </c>
      <c r="M19" s="1844"/>
      <c r="N19" s="1844"/>
      <c r="O19" s="1844"/>
      <c r="P19" s="1844"/>
      <c r="Q19" s="1844"/>
      <c r="R19" s="1844"/>
      <c r="S19" s="1844"/>
      <c r="T19" s="1844"/>
      <c r="U19" s="1844"/>
      <c r="V19" s="1844"/>
      <c r="W19" s="1844"/>
      <c r="X19" s="1839">
        <v>0</v>
      </c>
      <c r="Y19" s="1844"/>
      <c r="Z19" s="1844"/>
      <c r="AA19" s="1844"/>
      <c r="AB19" s="1844"/>
      <c r="AC19" s="429"/>
      <c r="AD19" s="429"/>
    </row>
    <row r="20" spans="1:30" ht="12.75" customHeight="1">
      <c r="A20" s="202" t="s">
        <v>675</v>
      </c>
      <c r="B20" s="203" t="s">
        <v>674</v>
      </c>
      <c r="C20" s="1212"/>
      <c r="D20" s="1212"/>
      <c r="E20" s="1213"/>
      <c r="F20" s="1839">
        <f t="shared" si="0"/>
        <v>0</v>
      </c>
      <c r="G20" s="1844"/>
      <c r="H20" s="1844"/>
      <c r="I20" s="1844"/>
      <c r="J20" s="1844"/>
      <c r="K20" s="1844"/>
      <c r="L20" s="1839">
        <f t="shared" si="1"/>
        <v>0</v>
      </c>
      <c r="M20" s="1844"/>
      <c r="N20" s="1844"/>
      <c r="O20" s="1844"/>
      <c r="P20" s="1844"/>
      <c r="Q20" s="1844"/>
      <c r="R20" s="1844"/>
      <c r="S20" s="1844"/>
      <c r="T20" s="1844"/>
      <c r="U20" s="1844"/>
      <c r="V20" s="1844"/>
      <c r="W20" s="1844"/>
      <c r="X20" s="1839">
        <v>0</v>
      </c>
      <c r="Y20" s="1844"/>
      <c r="Z20" s="1844"/>
      <c r="AA20" s="1844"/>
      <c r="AB20" s="1844"/>
      <c r="AC20" s="429"/>
      <c r="AD20" s="429"/>
    </row>
    <row r="21" spans="1:30" ht="12.75" customHeight="1">
      <c r="A21" s="202" t="s">
        <v>673</v>
      </c>
      <c r="B21" s="203" t="s">
        <v>672</v>
      </c>
      <c r="C21" s="1212">
        <f>21972000/58.57</f>
        <v>375140.85709407547</v>
      </c>
      <c r="D21" s="1212">
        <f>14648000/58.57</f>
        <v>250093.90472938365</v>
      </c>
      <c r="E21" s="1845">
        <v>1.5</v>
      </c>
      <c r="F21" s="1839">
        <f t="shared" si="0"/>
        <v>375140.85709407547</v>
      </c>
      <c r="G21" s="1844"/>
      <c r="H21" s="1844"/>
      <c r="I21" s="1844">
        <f>W21</f>
        <v>375140.85709407547</v>
      </c>
      <c r="J21" s="1844">
        <v>0</v>
      </c>
      <c r="K21" s="1844"/>
      <c r="L21" s="1839">
        <f t="shared" si="1"/>
        <v>375140.85709407547</v>
      </c>
      <c r="M21" s="1844"/>
      <c r="N21" s="1844"/>
      <c r="O21" s="1844"/>
      <c r="P21" s="1844"/>
      <c r="Q21" s="1844"/>
      <c r="R21" s="1844"/>
      <c r="S21" s="1844"/>
      <c r="T21" s="1844"/>
      <c r="U21" s="1844">
        <f>D21</f>
        <v>250093.90472938365</v>
      </c>
      <c r="V21" s="1844">
        <f>E21</f>
        <v>1.5</v>
      </c>
      <c r="W21" s="1844">
        <f>F21</f>
        <v>375140.85709407547</v>
      </c>
      <c r="X21" s="1839">
        <v>375140.85709407547</v>
      </c>
      <c r="Y21" s="1844"/>
      <c r="Z21" s="1844"/>
      <c r="AA21" s="1844"/>
      <c r="AB21" s="1844"/>
      <c r="AC21" s="429"/>
      <c r="AD21" s="429"/>
    </row>
    <row r="22" spans="1:30">
      <c r="A22" s="202" t="s">
        <v>671</v>
      </c>
      <c r="B22" s="203" t="s">
        <v>670</v>
      </c>
      <c r="C22" s="1212"/>
      <c r="D22" s="1212"/>
      <c r="E22" s="1213"/>
      <c r="F22" s="1839">
        <f t="shared" si="0"/>
        <v>0</v>
      </c>
      <c r="G22" s="1844"/>
      <c r="H22" s="1844"/>
      <c r="I22" s="1844"/>
      <c r="J22" s="1844"/>
      <c r="K22" s="1844"/>
      <c r="L22" s="1839">
        <f t="shared" si="1"/>
        <v>0</v>
      </c>
      <c r="M22" s="1844"/>
      <c r="N22" s="1844"/>
      <c r="O22" s="1844"/>
      <c r="P22" s="1844"/>
      <c r="Q22" s="1844"/>
      <c r="R22" s="1844"/>
      <c r="S22" s="1844"/>
      <c r="T22" s="1844"/>
      <c r="U22" s="1844"/>
      <c r="V22" s="1844"/>
      <c r="W22" s="1844"/>
      <c r="X22" s="1839">
        <v>0</v>
      </c>
      <c r="Y22" s="1844"/>
      <c r="Z22" s="1844"/>
      <c r="AA22" s="1844"/>
      <c r="AB22" s="1844"/>
      <c r="AC22" s="429"/>
      <c r="AD22" s="429"/>
    </row>
    <row r="23" spans="1:30">
      <c r="A23" s="205" t="s">
        <v>669</v>
      </c>
      <c r="B23" s="206" t="s">
        <v>668</v>
      </c>
      <c r="C23" s="1844"/>
      <c r="D23" s="1844"/>
      <c r="E23" s="1842"/>
      <c r="F23" s="1839">
        <f t="shared" si="0"/>
        <v>0</v>
      </c>
      <c r="G23" s="1844"/>
      <c r="H23" s="1844"/>
      <c r="I23" s="1844"/>
      <c r="J23" s="1844"/>
      <c r="K23" s="1844"/>
      <c r="L23" s="1839">
        <f t="shared" si="1"/>
        <v>0</v>
      </c>
      <c r="M23" s="1844"/>
      <c r="N23" s="1844"/>
      <c r="O23" s="1844"/>
      <c r="P23" s="1844"/>
      <c r="Q23" s="1844"/>
      <c r="R23" s="1844"/>
      <c r="S23" s="1844"/>
      <c r="T23" s="1844"/>
      <c r="U23" s="1844"/>
      <c r="V23" s="1844"/>
      <c r="W23" s="1844"/>
      <c r="X23" s="1839">
        <v>0</v>
      </c>
      <c r="Y23" s="1844"/>
      <c r="Z23" s="1844"/>
      <c r="AA23" s="1844"/>
      <c r="AB23" s="1844"/>
      <c r="AC23" s="429"/>
      <c r="AD23" s="429"/>
    </row>
    <row r="24" spans="1:30">
      <c r="A24" s="200" t="s">
        <v>667</v>
      </c>
      <c r="B24" s="206" t="s">
        <v>666</v>
      </c>
      <c r="C24" s="1838"/>
      <c r="D24" s="1838"/>
      <c r="E24" s="1842"/>
      <c r="F24" s="1839">
        <f t="shared" si="0"/>
        <v>0</v>
      </c>
      <c r="G24" s="1844"/>
      <c r="H24" s="1844"/>
      <c r="I24" s="1844"/>
      <c r="J24" s="1844"/>
      <c r="K24" s="1844"/>
      <c r="L24" s="1839">
        <f t="shared" si="1"/>
        <v>0</v>
      </c>
      <c r="M24" s="1844"/>
      <c r="N24" s="1844"/>
      <c r="O24" s="1844"/>
      <c r="P24" s="1844"/>
      <c r="Q24" s="1844"/>
      <c r="R24" s="1844"/>
      <c r="S24" s="1844"/>
      <c r="T24" s="1844"/>
      <c r="U24" s="1844"/>
      <c r="V24" s="1844"/>
      <c r="W24" s="1844"/>
      <c r="X24" s="1839">
        <v>0</v>
      </c>
      <c r="Y24" s="1844"/>
      <c r="Z24" s="1844"/>
      <c r="AA24" s="1844"/>
      <c r="AB24" s="1844"/>
      <c r="AC24" s="429"/>
      <c r="AD24" s="429"/>
    </row>
    <row r="25" spans="1:30">
      <c r="A25" s="205" t="s">
        <v>665</v>
      </c>
      <c r="B25" s="206" t="s">
        <v>664</v>
      </c>
      <c r="C25" s="1844"/>
      <c r="D25" s="1844"/>
      <c r="E25" s="1842"/>
      <c r="F25" s="1839">
        <f t="shared" si="0"/>
        <v>0</v>
      </c>
      <c r="G25" s="1844"/>
      <c r="H25" s="1844"/>
      <c r="I25" s="1844"/>
      <c r="J25" s="1844"/>
      <c r="K25" s="1844"/>
      <c r="L25" s="1839">
        <f t="shared" si="1"/>
        <v>0</v>
      </c>
      <c r="M25" s="1844"/>
      <c r="N25" s="1844"/>
      <c r="O25" s="1844"/>
      <c r="P25" s="1844"/>
      <c r="Q25" s="1844"/>
      <c r="R25" s="1844"/>
      <c r="S25" s="1844"/>
      <c r="T25" s="1844"/>
      <c r="U25" s="1844"/>
      <c r="V25" s="1844"/>
      <c r="W25" s="1844"/>
      <c r="X25" s="1839">
        <v>0</v>
      </c>
      <c r="Y25" s="1844"/>
      <c r="Z25" s="1844"/>
      <c r="AA25" s="1844"/>
      <c r="AB25" s="1844"/>
      <c r="AC25" s="429"/>
      <c r="AD25" s="429"/>
    </row>
    <row r="26" spans="1:30">
      <c r="A26" s="200">
        <v>2</v>
      </c>
      <c r="B26" s="206" t="s">
        <v>663</v>
      </c>
      <c r="C26" s="1844"/>
      <c r="D26" s="1844"/>
      <c r="E26" s="1842"/>
      <c r="F26" s="1839">
        <f t="shared" si="0"/>
        <v>0</v>
      </c>
      <c r="G26" s="1844"/>
      <c r="H26" s="1844"/>
      <c r="I26" s="1844"/>
      <c r="J26" s="1844"/>
      <c r="K26" s="1844"/>
      <c r="L26" s="1839">
        <f t="shared" si="1"/>
        <v>0</v>
      </c>
      <c r="M26" s="1844"/>
      <c r="N26" s="1844"/>
      <c r="O26" s="1844"/>
      <c r="P26" s="1844"/>
      <c r="Q26" s="1844"/>
      <c r="R26" s="1844"/>
      <c r="S26" s="1844"/>
      <c r="T26" s="1844"/>
      <c r="U26" s="1844"/>
      <c r="V26" s="1844"/>
      <c r="W26" s="1844"/>
      <c r="X26" s="1839">
        <v>0</v>
      </c>
      <c r="Y26" s="1844"/>
      <c r="Z26" s="1844"/>
      <c r="AA26" s="1844"/>
      <c r="AB26" s="1844"/>
      <c r="AC26" s="429"/>
      <c r="AD26" s="429"/>
    </row>
    <row r="27" spans="1:30">
      <c r="A27" s="207" t="s">
        <v>662</v>
      </c>
      <c r="B27" s="206" t="s">
        <v>661</v>
      </c>
      <c r="C27" s="1844"/>
      <c r="D27" s="1844"/>
      <c r="E27" s="1842"/>
      <c r="F27" s="1839">
        <f t="shared" si="0"/>
        <v>0</v>
      </c>
      <c r="G27" s="1844"/>
      <c r="H27" s="1844"/>
      <c r="I27" s="1844"/>
      <c r="J27" s="1844"/>
      <c r="K27" s="1844"/>
      <c r="L27" s="1839">
        <f t="shared" si="1"/>
        <v>0</v>
      </c>
      <c r="M27" s="1844"/>
      <c r="N27" s="1844"/>
      <c r="O27" s="1844"/>
      <c r="P27" s="1844"/>
      <c r="Q27" s="1844"/>
      <c r="R27" s="1844"/>
      <c r="S27" s="1844"/>
      <c r="T27" s="1844"/>
      <c r="U27" s="1844"/>
      <c r="V27" s="1844"/>
      <c r="W27" s="1844"/>
      <c r="X27" s="1839">
        <v>0</v>
      </c>
      <c r="Y27" s="1844"/>
      <c r="Z27" s="1844"/>
      <c r="AA27" s="1844"/>
      <c r="AB27" s="1844"/>
      <c r="AC27" s="429"/>
      <c r="AD27" s="429"/>
    </row>
    <row r="28" spans="1:30">
      <c r="A28" s="207">
        <v>3</v>
      </c>
      <c r="B28" s="206" t="s">
        <v>660</v>
      </c>
      <c r="C28" s="1844"/>
      <c r="D28" s="1844"/>
      <c r="E28" s="1842"/>
      <c r="F28" s="1839">
        <f t="shared" si="0"/>
        <v>0</v>
      </c>
      <c r="G28" s="1844"/>
      <c r="H28" s="1844"/>
      <c r="I28" s="1844"/>
      <c r="J28" s="1844"/>
      <c r="K28" s="1844"/>
      <c r="L28" s="1839">
        <f t="shared" si="1"/>
        <v>0</v>
      </c>
      <c r="M28" s="1844"/>
      <c r="N28" s="1844"/>
      <c r="O28" s="1844"/>
      <c r="P28" s="1844"/>
      <c r="Q28" s="1844"/>
      <c r="R28" s="1844"/>
      <c r="S28" s="1844"/>
      <c r="T28" s="1844"/>
      <c r="U28" s="1844"/>
      <c r="V28" s="1844"/>
      <c r="W28" s="1844"/>
      <c r="X28" s="1839">
        <v>0</v>
      </c>
      <c r="Y28" s="1844"/>
      <c r="Z28" s="1844"/>
      <c r="AA28" s="1844"/>
      <c r="AB28" s="1844"/>
      <c r="AC28" s="429"/>
      <c r="AD28" s="429"/>
    </row>
    <row r="29" spans="1:30" ht="13.5" customHeight="1">
      <c r="A29" s="207" t="s">
        <v>659</v>
      </c>
      <c r="B29" s="206" t="s">
        <v>658</v>
      </c>
      <c r="C29" s="1846"/>
      <c r="D29" s="1844"/>
      <c r="E29" s="1842"/>
      <c r="F29" s="1839">
        <f t="shared" si="0"/>
        <v>0</v>
      </c>
      <c r="G29" s="1844"/>
      <c r="H29" s="1844"/>
      <c r="I29" s="1844"/>
      <c r="J29" s="1844"/>
      <c r="K29" s="1844"/>
      <c r="L29" s="1839">
        <f t="shared" si="1"/>
        <v>0</v>
      </c>
      <c r="M29" s="1844"/>
      <c r="N29" s="1844"/>
      <c r="O29" s="1844"/>
      <c r="P29" s="1844"/>
      <c r="Q29" s="1844"/>
      <c r="R29" s="1844"/>
      <c r="S29" s="1844"/>
      <c r="T29" s="1844"/>
      <c r="U29" s="1844"/>
      <c r="V29" s="1844"/>
      <c r="W29" s="1844"/>
      <c r="X29" s="1839">
        <v>0</v>
      </c>
      <c r="Y29" s="1844"/>
      <c r="Z29" s="1844"/>
      <c r="AA29" s="1844"/>
      <c r="AB29" s="1844"/>
      <c r="AC29" s="429"/>
      <c r="AD29" s="429"/>
    </row>
    <row r="30" spans="1:30">
      <c r="A30" s="207" t="s">
        <v>657</v>
      </c>
      <c r="B30" s="206" t="s">
        <v>656</v>
      </c>
      <c r="C30" s="1838"/>
      <c r="D30" s="1844"/>
      <c r="E30" s="1842"/>
      <c r="F30" s="1839">
        <f t="shared" si="0"/>
        <v>0</v>
      </c>
      <c r="G30" s="1844"/>
      <c r="H30" s="1844"/>
      <c r="I30" s="1844"/>
      <c r="J30" s="1844"/>
      <c r="K30" s="1844"/>
      <c r="L30" s="1839">
        <f t="shared" si="1"/>
        <v>0</v>
      </c>
      <c r="M30" s="1844"/>
      <c r="N30" s="1844"/>
      <c r="O30" s="1844"/>
      <c r="P30" s="1844"/>
      <c r="Q30" s="1844"/>
      <c r="R30" s="1844"/>
      <c r="S30" s="1844"/>
      <c r="T30" s="1844"/>
      <c r="U30" s="1844"/>
      <c r="V30" s="1844"/>
      <c r="W30" s="1844"/>
      <c r="X30" s="1839">
        <v>0</v>
      </c>
      <c r="Y30" s="1844"/>
      <c r="Z30" s="1844"/>
      <c r="AA30" s="1844"/>
      <c r="AB30" s="1844"/>
      <c r="AC30" s="429"/>
      <c r="AD30" s="429"/>
    </row>
    <row r="31" spans="1:30">
      <c r="A31" s="207" t="s">
        <v>655</v>
      </c>
      <c r="B31" s="199" t="s">
        <v>654</v>
      </c>
      <c r="C31" s="1846"/>
      <c r="D31" s="1844"/>
      <c r="E31" s="1847"/>
      <c r="F31" s="1839">
        <f t="shared" si="0"/>
        <v>0</v>
      </c>
      <c r="G31" s="1844"/>
      <c r="H31" s="1844"/>
      <c r="I31" s="1844"/>
      <c r="J31" s="1844"/>
      <c r="K31" s="1844"/>
      <c r="L31" s="1839">
        <f t="shared" si="1"/>
        <v>0</v>
      </c>
      <c r="M31" s="1844"/>
      <c r="N31" s="1844"/>
      <c r="O31" s="1844"/>
      <c r="P31" s="1844"/>
      <c r="Q31" s="1844"/>
      <c r="R31" s="1844"/>
      <c r="S31" s="1844"/>
      <c r="T31" s="1844"/>
      <c r="U31" s="1844"/>
      <c r="V31" s="1844"/>
      <c r="W31" s="1844"/>
      <c r="X31" s="1839">
        <v>0</v>
      </c>
      <c r="Y31" s="1844"/>
      <c r="Z31" s="1844"/>
      <c r="AA31" s="1844"/>
      <c r="AB31" s="1844"/>
      <c r="AC31" s="429"/>
      <c r="AD31" s="429"/>
    </row>
    <row r="32" spans="1:30">
      <c r="A32" s="207" t="s">
        <v>653</v>
      </c>
      <c r="B32" s="206" t="s">
        <v>652</v>
      </c>
      <c r="C32" s="1846"/>
      <c r="D32" s="1844"/>
      <c r="E32" s="1848"/>
      <c r="F32" s="1839">
        <f t="shared" si="0"/>
        <v>0</v>
      </c>
      <c r="G32" s="1844"/>
      <c r="H32" s="1844"/>
      <c r="I32" s="1844"/>
      <c r="J32" s="1844"/>
      <c r="K32" s="1844"/>
      <c r="L32" s="1839">
        <f t="shared" si="1"/>
        <v>0</v>
      </c>
      <c r="M32" s="1844"/>
      <c r="N32" s="1844"/>
      <c r="O32" s="1844"/>
      <c r="P32" s="1844"/>
      <c r="Q32" s="1844"/>
      <c r="R32" s="1844"/>
      <c r="S32" s="1844"/>
      <c r="T32" s="1844"/>
      <c r="U32" s="1844"/>
      <c r="V32" s="1844"/>
      <c r="W32" s="1844"/>
      <c r="X32" s="1839">
        <v>0</v>
      </c>
      <c r="Y32" s="1844"/>
      <c r="Z32" s="1844"/>
      <c r="AA32" s="1844"/>
      <c r="AB32" s="1844"/>
      <c r="AC32" s="429"/>
      <c r="AD32" s="429"/>
    </row>
    <row r="33" spans="1:30">
      <c r="A33" s="207" t="s">
        <v>651</v>
      </c>
      <c r="B33" s="206" t="s">
        <v>650</v>
      </c>
      <c r="C33" s="1846"/>
      <c r="D33" s="1844"/>
      <c r="E33" s="1848"/>
      <c r="F33" s="1839">
        <f t="shared" si="0"/>
        <v>0</v>
      </c>
      <c r="G33" s="1844"/>
      <c r="H33" s="1844"/>
      <c r="I33" s="1844"/>
      <c r="J33" s="1844"/>
      <c r="K33" s="1844"/>
      <c r="L33" s="1839">
        <f t="shared" si="1"/>
        <v>0</v>
      </c>
      <c r="M33" s="1844"/>
      <c r="N33" s="1844"/>
      <c r="O33" s="1844"/>
      <c r="P33" s="1844"/>
      <c r="Q33" s="1844"/>
      <c r="R33" s="1844"/>
      <c r="S33" s="1844"/>
      <c r="T33" s="1844"/>
      <c r="U33" s="1844"/>
      <c r="V33" s="1844"/>
      <c r="W33" s="1844"/>
      <c r="X33" s="1839">
        <v>0</v>
      </c>
      <c r="Y33" s="1844"/>
      <c r="Z33" s="1844"/>
      <c r="AA33" s="1844"/>
      <c r="AB33" s="1844"/>
      <c r="AC33" s="429"/>
      <c r="AD33" s="429"/>
    </row>
    <row r="34" spans="1:30">
      <c r="A34" s="207" t="s">
        <v>649</v>
      </c>
      <c r="B34" s="206" t="s">
        <v>648</v>
      </c>
      <c r="C34" s="1846"/>
      <c r="D34" s="1844"/>
      <c r="E34" s="1848"/>
      <c r="F34" s="1839">
        <f t="shared" si="0"/>
        <v>0</v>
      </c>
      <c r="G34" s="1844"/>
      <c r="H34" s="1844"/>
      <c r="I34" s="1844"/>
      <c r="J34" s="1844"/>
      <c r="K34" s="1844"/>
      <c r="L34" s="1839">
        <f t="shared" si="1"/>
        <v>0</v>
      </c>
      <c r="M34" s="1844"/>
      <c r="N34" s="1844"/>
      <c r="O34" s="1844"/>
      <c r="P34" s="1844"/>
      <c r="Q34" s="1844"/>
      <c r="R34" s="1844"/>
      <c r="S34" s="1844"/>
      <c r="T34" s="1844"/>
      <c r="U34" s="1844"/>
      <c r="V34" s="1844"/>
      <c r="W34" s="1844"/>
      <c r="X34" s="1839">
        <v>0</v>
      </c>
      <c r="Y34" s="1844"/>
      <c r="Z34" s="1844"/>
      <c r="AA34" s="1844"/>
      <c r="AB34" s="1844"/>
      <c r="AC34" s="429"/>
      <c r="AD34" s="429"/>
    </row>
    <row r="35" spans="1:30">
      <c r="A35" s="207" t="s">
        <v>647</v>
      </c>
      <c r="B35" s="206" t="s">
        <v>646</v>
      </c>
      <c r="C35" s="1844"/>
      <c r="D35" s="1844"/>
      <c r="E35" s="1847"/>
      <c r="F35" s="1839">
        <f t="shared" si="0"/>
        <v>0</v>
      </c>
      <c r="G35" s="1838"/>
      <c r="H35" s="1838"/>
      <c r="I35" s="1840"/>
      <c r="J35" s="1838"/>
      <c r="K35" s="1838"/>
      <c r="L35" s="1839">
        <f t="shared" si="1"/>
        <v>0</v>
      </c>
      <c r="M35" s="1838"/>
      <c r="N35" s="1838"/>
      <c r="O35" s="1838"/>
      <c r="P35" s="1844"/>
      <c r="Q35" s="1838"/>
      <c r="R35" s="1844"/>
      <c r="S35" s="1844"/>
      <c r="T35" s="1843"/>
      <c r="U35" s="1843"/>
      <c r="V35" s="1843"/>
      <c r="W35" s="1843"/>
      <c r="X35" s="1839">
        <v>0</v>
      </c>
      <c r="Y35" s="1838"/>
      <c r="Z35" s="1844"/>
      <c r="AA35" s="1844"/>
      <c r="AB35" s="1843"/>
      <c r="AC35" s="429"/>
      <c r="AD35" s="429"/>
    </row>
    <row r="36" spans="1:30">
      <c r="A36" s="207" t="s">
        <v>645</v>
      </c>
      <c r="B36" s="206" t="s">
        <v>644</v>
      </c>
      <c r="C36" s="1838"/>
      <c r="D36" s="1838"/>
      <c r="E36" s="1848"/>
      <c r="F36" s="1839">
        <f t="shared" si="0"/>
        <v>0</v>
      </c>
      <c r="G36" s="1838"/>
      <c r="H36" s="1838"/>
      <c r="I36" s="1840"/>
      <c r="J36" s="1838"/>
      <c r="K36" s="1838"/>
      <c r="L36" s="1839">
        <f t="shared" si="1"/>
        <v>0</v>
      </c>
      <c r="M36" s="1838"/>
      <c r="N36" s="1838"/>
      <c r="O36" s="1838"/>
      <c r="P36" s="1844"/>
      <c r="Q36" s="1838"/>
      <c r="R36" s="1844"/>
      <c r="S36" s="1844"/>
      <c r="T36" s="1843"/>
      <c r="U36" s="1843"/>
      <c r="V36" s="1843"/>
      <c r="W36" s="1843"/>
      <c r="X36" s="1839">
        <v>0</v>
      </c>
      <c r="Y36" s="1838"/>
      <c r="Z36" s="1844"/>
      <c r="AA36" s="1844"/>
      <c r="AB36" s="1843"/>
      <c r="AC36" s="429"/>
      <c r="AD36" s="429"/>
    </row>
    <row r="37" spans="1:30">
      <c r="A37" s="207">
        <v>4</v>
      </c>
      <c r="B37" s="206" t="s">
        <v>643</v>
      </c>
      <c r="C37" s="1838"/>
      <c r="D37" s="1838"/>
      <c r="E37" s="1847"/>
      <c r="F37" s="1839">
        <f t="shared" si="0"/>
        <v>0</v>
      </c>
      <c r="G37" s="1838"/>
      <c r="H37" s="1838"/>
      <c r="I37" s="1840"/>
      <c r="J37" s="1838"/>
      <c r="K37" s="1838"/>
      <c r="L37" s="1839">
        <f t="shared" si="1"/>
        <v>0</v>
      </c>
      <c r="M37" s="1838"/>
      <c r="N37" s="1838"/>
      <c r="O37" s="1838"/>
      <c r="P37" s="1844"/>
      <c r="Q37" s="1838"/>
      <c r="R37" s="1844"/>
      <c r="S37" s="1844"/>
      <c r="T37" s="1843"/>
      <c r="U37" s="1843"/>
      <c r="V37" s="1843"/>
      <c r="W37" s="1843"/>
      <c r="X37" s="1839">
        <v>0</v>
      </c>
      <c r="Y37" s="1838"/>
      <c r="Z37" s="1844"/>
      <c r="AA37" s="1844"/>
      <c r="AB37" s="1843"/>
      <c r="AC37" s="429"/>
      <c r="AD37" s="429"/>
    </row>
    <row r="38" spans="1:30" ht="22.5">
      <c r="A38" s="207" t="s">
        <v>642</v>
      </c>
      <c r="B38" s="206" t="s">
        <v>641</v>
      </c>
      <c r="C38" s="1838"/>
      <c r="D38" s="1838"/>
      <c r="E38" s="1847"/>
      <c r="F38" s="1839">
        <f t="shared" si="0"/>
        <v>0</v>
      </c>
      <c r="G38" s="1838"/>
      <c r="H38" s="1838"/>
      <c r="I38" s="1840"/>
      <c r="J38" s="1838"/>
      <c r="K38" s="1838"/>
      <c r="L38" s="1839">
        <f t="shared" si="1"/>
        <v>0</v>
      </c>
      <c r="M38" s="1838"/>
      <c r="N38" s="1838"/>
      <c r="O38" s="1838"/>
      <c r="P38" s="1844"/>
      <c r="Q38" s="1838"/>
      <c r="R38" s="1844"/>
      <c r="S38" s="1844"/>
      <c r="T38" s="1843"/>
      <c r="U38" s="1843"/>
      <c r="V38" s="1843"/>
      <c r="W38" s="1843"/>
      <c r="X38" s="1839">
        <v>0</v>
      </c>
      <c r="Y38" s="1838"/>
      <c r="Z38" s="1844"/>
      <c r="AA38" s="1844"/>
      <c r="AB38" s="1843"/>
      <c r="AC38" s="429"/>
      <c r="AD38" s="429"/>
    </row>
    <row r="39" spans="1:30" ht="22.5">
      <c r="A39" s="207" t="s">
        <v>640</v>
      </c>
      <c r="B39" s="206" t="s">
        <v>639</v>
      </c>
      <c r="C39" s="1838"/>
      <c r="D39" s="1838"/>
      <c r="E39" s="1847"/>
      <c r="F39" s="1839">
        <f t="shared" si="0"/>
        <v>0</v>
      </c>
      <c r="G39" s="1838"/>
      <c r="H39" s="1838"/>
      <c r="I39" s="1840"/>
      <c r="J39" s="1838"/>
      <c r="K39" s="1838"/>
      <c r="L39" s="1839">
        <f t="shared" si="1"/>
        <v>0</v>
      </c>
      <c r="M39" s="1838"/>
      <c r="N39" s="1838"/>
      <c r="O39" s="1838"/>
      <c r="P39" s="1844"/>
      <c r="Q39" s="1838"/>
      <c r="R39" s="1844"/>
      <c r="S39" s="1844"/>
      <c r="T39" s="1843"/>
      <c r="U39" s="1843"/>
      <c r="V39" s="1843"/>
      <c r="W39" s="1843"/>
      <c r="X39" s="1839">
        <v>0</v>
      </c>
      <c r="Y39" s="1838"/>
      <c r="Z39" s="1844"/>
      <c r="AA39" s="1844"/>
      <c r="AB39" s="1843"/>
      <c r="AC39" s="429"/>
      <c r="AD39" s="429"/>
    </row>
    <row r="40" spans="1:30">
      <c r="A40" s="207" t="s">
        <v>638</v>
      </c>
      <c r="B40" s="206" t="s">
        <v>637</v>
      </c>
      <c r="C40" s="1838"/>
      <c r="D40" s="1838"/>
      <c r="E40" s="1847"/>
      <c r="F40" s="1839">
        <f t="shared" si="0"/>
        <v>0</v>
      </c>
      <c r="G40" s="1838"/>
      <c r="H40" s="1838"/>
      <c r="I40" s="1840"/>
      <c r="J40" s="1838"/>
      <c r="K40" s="1838"/>
      <c r="L40" s="1839">
        <f t="shared" si="1"/>
        <v>0</v>
      </c>
      <c r="M40" s="1838"/>
      <c r="N40" s="1838"/>
      <c r="O40" s="1838"/>
      <c r="P40" s="1844"/>
      <c r="Q40" s="1838"/>
      <c r="R40" s="1844"/>
      <c r="S40" s="1844"/>
      <c r="T40" s="1843"/>
      <c r="U40" s="1843"/>
      <c r="V40" s="1843"/>
      <c r="W40" s="1843"/>
      <c r="X40" s="1839">
        <v>0</v>
      </c>
      <c r="Y40" s="1838"/>
      <c r="Z40" s="1844"/>
      <c r="AA40" s="1844"/>
      <c r="AB40" s="1843"/>
      <c r="AC40" s="429"/>
      <c r="AD40" s="429"/>
    </row>
    <row r="41" spans="1:30">
      <c r="A41" s="207" t="s">
        <v>636</v>
      </c>
      <c r="B41" s="206" t="s">
        <v>635</v>
      </c>
      <c r="C41" s="1838"/>
      <c r="D41" s="1838"/>
      <c r="E41" s="1847"/>
      <c r="F41" s="1839">
        <f t="shared" si="0"/>
        <v>0</v>
      </c>
      <c r="G41" s="1838"/>
      <c r="H41" s="1838"/>
      <c r="I41" s="1840"/>
      <c r="J41" s="1838"/>
      <c r="K41" s="1838"/>
      <c r="L41" s="1839">
        <f t="shared" si="1"/>
        <v>0</v>
      </c>
      <c r="M41" s="1838"/>
      <c r="N41" s="1838"/>
      <c r="O41" s="1838"/>
      <c r="P41" s="1844"/>
      <c r="Q41" s="1838"/>
      <c r="R41" s="1844"/>
      <c r="S41" s="1844"/>
      <c r="T41" s="1843"/>
      <c r="U41" s="1843"/>
      <c r="V41" s="1843"/>
      <c r="W41" s="1843"/>
      <c r="X41" s="1839">
        <v>0</v>
      </c>
      <c r="Y41" s="1838"/>
      <c r="Z41" s="1844"/>
      <c r="AA41" s="1844"/>
      <c r="AB41" s="1843"/>
      <c r="AC41" s="429"/>
      <c r="AD41" s="429"/>
    </row>
    <row r="42" spans="1:30">
      <c r="A42" s="207" t="s">
        <v>634</v>
      </c>
      <c r="B42" s="206" t="s">
        <v>633</v>
      </c>
      <c r="C42" s="1838"/>
      <c r="D42" s="1838"/>
      <c r="E42" s="1847"/>
      <c r="F42" s="1839">
        <f t="shared" si="0"/>
        <v>0</v>
      </c>
      <c r="G42" s="1838"/>
      <c r="H42" s="1838"/>
      <c r="I42" s="1840"/>
      <c r="J42" s="1838"/>
      <c r="K42" s="1838"/>
      <c r="L42" s="1839">
        <f t="shared" si="1"/>
        <v>0</v>
      </c>
      <c r="M42" s="1838"/>
      <c r="N42" s="1838"/>
      <c r="O42" s="1838"/>
      <c r="P42" s="1844"/>
      <c r="Q42" s="1838"/>
      <c r="R42" s="1844"/>
      <c r="S42" s="1844"/>
      <c r="T42" s="1843"/>
      <c r="U42" s="1843"/>
      <c r="V42" s="1843"/>
      <c r="W42" s="1843"/>
      <c r="X42" s="1839">
        <v>0</v>
      </c>
      <c r="Y42" s="1838"/>
      <c r="Z42" s="1844"/>
      <c r="AA42" s="1844"/>
      <c r="AB42" s="1843"/>
      <c r="AC42" s="429"/>
      <c r="AD42" s="429"/>
    </row>
    <row r="43" spans="1:30">
      <c r="A43" s="207" t="s">
        <v>632</v>
      </c>
      <c r="B43" s="206" t="s">
        <v>631</v>
      </c>
      <c r="C43" s="1838"/>
      <c r="D43" s="1838"/>
      <c r="E43" s="1849"/>
      <c r="F43" s="1839">
        <f t="shared" si="0"/>
        <v>0</v>
      </c>
      <c r="G43" s="1838"/>
      <c r="H43" s="1838"/>
      <c r="I43" s="1840"/>
      <c r="J43" s="1838"/>
      <c r="K43" s="1838"/>
      <c r="L43" s="1839">
        <f t="shared" si="1"/>
        <v>0</v>
      </c>
      <c r="M43" s="1838"/>
      <c r="N43" s="1838"/>
      <c r="O43" s="1838"/>
      <c r="P43" s="1844"/>
      <c r="Q43" s="1838"/>
      <c r="R43" s="1844"/>
      <c r="S43" s="1844"/>
      <c r="T43" s="1843"/>
      <c r="U43" s="1843"/>
      <c r="V43" s="1843"/>
      <c r="W43" s="1843"/>
      <c r="X43" s="1839">
        <v>0</v>
      </c>
      <c r="Y43" s="1838"/>
      <c r="Z43" s="1844"/>
      <c r="AA43" s="1844"/>
      <c r="AB43" s="1843"/>
      <c r="AC43" s="429"/>
      <c r="AD43" s="429"/>
    </row>
    <row r="44" spans="1:30">
      <c r="A44" s="207">
        <v>5</v>
      </c>
      <c r="B44" s="206" t="s">
        <v>630</v>
      </c>
      <c r="C44" s="1838"/>
      <c r="D44" s="1838"/>
      <c r="E44" s="1849"/>
      <c r="F44" s="1839">
        <f t="shared" si="0"/>
        <v>0</v>
      </c>
      <c r="G44" s="1838"/>
      <c r="H44" s="1838"/>
      <c r="I44" s="1840"/>
      <c r="J44" s="1838"/>
      <c r="K44" s="1838"/>
      <c r="L44" s="1839">
        <f t="shared" si="1"/>
        <v>0</v>
      </c>
      <c r="M44" s="1838"/>
      <c r="N44" s="1838"/>
      <c r="O44" s="1838"/>
      <c r="P44" s="1844"/>
      <c r="Q44" s="1838"/>
      <c r="R44" s="1844"/>
      <c r="S44" s="1844"/>
      <c r="T44" s="1843"/>
      <c r="U44" s="1843"/>
      <c r="V44" s="1843"/>
      <c r="W44" s="1843"/>
      <c r="X44" s="1839">
        <v>0</v>
      </c>
      <c r="Y44" s="1838"/>
      <c r="Z44" s="1844"/>
      <c r="AA44" s="1844"/>
      <c r="AB44" s="1843"/>
      <c r="AC44" s="429"/>
      <c r="AD44" s="429"/>
    </row>
    <row r="45" spans="1:30">
      <c r="A45" s="207" t="s">
        <v>629</v>
      </c>
      <c r="B45" s="206" t="s">
        <v>628</v>
      </c>
      <c r="C45" s="1838"/>
      <c r="D45" s="1838"/>
      <c r="E45" s="1849"/>
      <c r="F45" s="1839">
        <f t="shared" si="0"/>
        <v>0</v>
      </c>
      <c r="G45" s="1838"/>
      <c r="H45" s="1838"/>
      <c r="I45" s="1840"/>
      <c r="J45" s="1838"/>
      <c r="K45" s="1838"/>
      <c r="L45" s="1839">
        <f t="shared" si="1"/>
        <v>0</v>
      </c>
      <c r="M45" s="1838"/>
      <c r="N45" s="1838"/>
      <c r="O45" s="1838"/>
      <c r="P45" s="1844"/>
      <c r="Q45" s="1838"/>
      <c r="R45" s="1844"/>
      <c r="S45" s="1844"/>
      <c r="T45" s="1843"/>
      <c r="U45" s="1843"/>
      <c r="V45" s="1843"/>
      <c r="W45" s="1843"/>
      <c r="X45" s="1839">
        <v>0</v>
      </c>
      <c r="Y45" s="1838"/>
      <c r="Z45" s="1844"/>
      <c r="AA45" s="1844"/>
      <c r="AB45" s="1843"/>
      <c r="AC45" s="429"/>
      <c r="AD45" s="429"/>
    </row>
    <row r="46" spans="1:30">
      <c r="A46" s="207" t="s">
        <v>627</v>
      </c>
      <c r="B46" s="206" t="s">
        <v>626</v>
      </c>
      <c r="C46" s="1838"/>
      <c r="D46" s="1838"/>
      <c r="E46" s="1849"/>
      <c r="F46" s="1839">
        <f t="shared" ref="F46:F68" si="2">+D46*E46</f>
        <v>0</v>
      </c>
      <c r="G46" s="1838"/>
      <c r="H46" s="1838"/>
      <c r="I46" s="1840"/>
      <c r="J46" s="1838"/>
      <c r="K46" s="1838"/>
      <c r="L46" s="1839">
        <f t="shared" ref="L46:L68" si="3">+I46-J46+K46</f>
        <v>0</v>
      </c>
      <c r="M46" s="1838"/>
      <c r="N46" s="1838"/>
      <c r="O46" s="1838"/>
      <c r="P46" s="1844"/>
      <c r="Q46" s="1838"/>
      <c r="R46" s="1844"/>
      <c r="S46" s="1844"/>
      <c r="T46" s="1843"/>
      <c r="U46" s="1843"/>
      <c r="V46" s="1843"/>
      <c r="W46" s="1843"/>
      <c r="X46" s="1839">
        <v>0</v>
      </c>
      <c r="Y46" s="1838"/>
      <c r="Z46" s="1844"/>
      <c r="AA46" s="1844"/>
      <c r="AB46" s="1843"/>
      <c r="AC46" s="429"/>
      <c r="AD46" s="429"/>
    </row>
    <row r="47" spans="1:30" ht="12" customHeight="1">
      <c r="A47" s="207" t="s">
        <v>625</v>
      </c>
      <c r="B47" s="206" t="s">
        <v>624</v>
      </c>
      <c r="C47" s="1838"/>
      <c r="D47" s="1838"/>
      <c r="E47" s="1849"/>
      <c r="F47" s="1839">
        <f t="shared" si="2"/>
        <v>0</v>
      </c>
      <c r="G47" s="1838"/>
      <c r="H47" s="1838"/>
      <c r="I47" s="1840"/>
      <c r="J47" s="1838"/>
      <c r="K47" s="1838"/>
      <c r="L47" s="1839">
        <f t="shared" si="3"/>
        <v>0</v>
      </c>
      <c r="M47" s="1838"/>
      <c r="N47" s="1838"/>
      <c r="O47" s="1838"/>
      <c r="P47" s="1844"/>
      <c r="Q47" s="1838"/>
      <c r="R47" s="1844"/>
      <c r="S47" s="1844"/>
      <c r="T47" s="1843"/>
      <c r="U47" s="1843"/>
      <c r="V47" s="1843"/>
      <c r="W47" s="1843"/>
      <c r="X47" s="1839">
        <v>0</v>
      </c>
      <c r="Y47" s="1838"/>
      <c r="Z47" s="1844"/>
      <c r="AA47" s="1844"/>
      <c r="AB47" s="1843"/>
      <c r="AC47" s="429"/>
      <c r="AD47" s="429"/>
    </row>
    <row r="48" spans="1:30" ht="12.75" customHeight="1">
      <c r="A48" s="207" t="s">
        <v>623</v>
      </c>
      <c r="B48" s="206" t="s">
        <v>622</v>
      </c>
      <c r="C48" s="1838"/>
      <c r="D48" s="1838"/>
      <c r="E48" s="1849"/>
      <c r="F48" s="1839">
        <f t="shared" si="2"/>
        <v>0</v>
      </c>
      <c r="G48" s="1838"/>
      <c r="H48" s="1838"/>
      <c r="I48" s="1840"/>
      <c r="J48" s="1838"/>
      <c r="K48" s="1838"/>
      <c r="L48" s="1839">
        <f t="shared" si="3"/>
        <v>0</v>
      </c>
      <c r="M48" s="1838"/>
      <c r="N48" s="1838"/>
      <c r="O48" s="1838"/>
      <c r="P48" s="1844"/>
      <c r="Q48" s="1838"/>
      <c r="R48" s="1844"/>
      <c r="S48" s="1844"/>
      <c r="T48" s="1843"/>
      <c r="U48" s="1843"/>
      <c r="V48" s="1843"/>
      <c r="W48" s="1843"/>
      <c r="X48" s="1839">
        <v>0</v>
      </c>
      <c r="Y48" s="1838"/>
      <c r="Z48" s="1844"/>
      <c r="AA48" s="1844"/>
      <c r="AB48" s="1843"/>
      <c r="AC48" s="429"/>
      <c r="AD48" s="429"/>
    </row>
    <row r="49" spans="1:30">
      <c r="A49" s="207" t="s">
        <v>621</v>
      </c>
      <c r="B49" s="206" t="s">
        <v>620</v>
      </c>
      <c r="C49" s="1838"/>
      <c r="D49" s="1838"/>
      <c r="E49" s="1849"/>
      <c r="F49" s="1839">
        <f t="shared" si="2"/>
        <v>0</v>
      </c>
      <c r="G49" s="1838"/>
      <c r="H49" s="1838"/>
      <c r="I49" s="1840"/>
      <c r="J49" s="1838"/>
      <c r="K49" s="1838"/>
      <c r="L49" s="1839">
        <f t="shared" si="3"/>
        <v>0</v>
      </c>
      <c r="M49" s="1838"/>
      <c r="N49" s="1838"/>
      <c r="O49" s="1838"/>
      <c r="P49" s="1844"/>
      <c r="Q49" s="1838"/>
      <c r="R49" s="1844"/>
      <c r="S49" s="1844"/>
      <c r="T49" s="1843"/>
      <c r="U49" s="1843"/>
      <c r="V49" s="1843"/>
      <c r="W49" s="1843"/>
      <c r="X49" s="1839">
        <v>0</v>
      </c>
      <c r="Y49" s="1838"/>
      <c r="Z49" s="1844"/>
      <c r="AA49" s="1844"/>
      <c r="AB49" s="1843"/>
      <c r="AC49" s="429"/>
      <c r="AD49" s="429"/>
    </row>
    <row r="50" spans="1:30">
      <c r="A50" s="207" t="s">
        <v>619</v>
      </c>
      <c r="B50" s="206" t="s">
        <v>618</v>
      </c>
      <c r="C50" s="1838"/>
      <c r="D50" s="1838"/>
      <c r="E50" s="1849"/>
      <c r="F50" s="1839">
        <f t="shared" si="2"/>
        <v>0</v>
      </c>
      <c r="G50" s="1838"/>
      <c r="H50" s="1838"/>
      <c r="I50" s="1840"/>
      <c r="J50" s="1838"/>
      <c r="K50" s="1838"/>
      <c r="L50" s="1839">
        <f t="shared" si="3"/>
        <v>0</v>
      </c>
      <c r="M50" s="1838"/>
      <c r="N50" s="1838"/>
      <c r="O50" s="1838"/>
      <c r="P50" s="1844"/>
      <c r="Q50" s="1838"/>
      <c r="R50" s="1844"/>
      <c r="S50" s="1844"/>
      <c r="T50" s="1843"/>
      <c r="U50" s="1843"/>
      <c r="V50" s="1843"/>
      <c r="W50" s="1843"/>
      <c r="X50" s="1839">
        <v>0</v>
      </c>
      <c r="Y50" s="1838"/>
      <c r="Z50" s="1844"/>
      <c r="AA50" s="1844"/>
      <c r="AB50" s="1843"/>
      <c r="AC50" s="429"/>
      <c r="AD50" s="429"/>
    </row>
    <row r="51" spans="1:30">
      <c r="A51" s="207" t="s">
        <v>617</v>
      </c>
      <c r="B51" s="206" t="s">
        <v>616</v>
      </c>
      <c r="C51" s="1838"/>
      <c r="D51" s="1838"/>
      <c r="E51" s="1849"/>
      <c r="F51" s="1839">
        <f t="shared" si="2"/>
        <v>0</v>
      </c>
      <c r="G51" s="1838"/>
      <c r="H51" s="1838"/>
      <c r="I51" s="1840"/>
      <c r="J51" s="1838"/>
      <c r="K51" s="1838"/>
      <c r="L51" s="1839">
        <f t="shared" si="3"/>
        <v>0</v>
      </c>
      <c r="M51" s="1838"/>
      <c r="N51" s="1838"/>
      <c r="O51" s="1838"/>
      <c r="P51" s="1844"/>
      <c r="Q51" s="1838"/>
      <c r="R51" s="1844"/>
      <c r="S51" s="1844"/>
      <c r="T51" s="1843"/>
      <c r="U51" s="1843"/>
      <c r="V51" s="1843"/>
      <c r="W51" s="1843"/>
      <c r="X51" s="1839">
        <v>0</v>
      </c>
      <c r="Y51" s="1838"/>
      <c r="Z51" s="1844"/>
      <c r="AA51" s="1844"/>
      <c r="AB51" s="1843"/>
      <c r="AC51" s="429"/>
      <c r="AD51" s="429"/>
    </row>
    <row r="52" spans="1:30" ht="12.75" customHeight="1">
      <c r="A52" s="207" t="s">
        <v>615</v>
      </c>
      <c r="B52" s="206" t="s">
        <v>614</v>
      </c>
      <c r="C52" s="1844"/>
      <c r="D52" s="1838"/>
      <c r="E52" s="1838"/>
      <c r="F52" s="1839">
        <f t="shared" si="2"/>
        <v>0</v>
      </c>
      <c r="G52" s="1838"/>
      <c r="H52" s="1838"/>
      <c r="I52" s="1838"/>
      <c r="J52" s="1838"/>
      <c r="K52" s="1838"/>
      <c r="L52" s="1839">
        <f t="shared" si="3"/>
        <v>0</v>
      </c>
      <c r="M52" s="1838"/>
      <c r="N52" s="1838"/>
      <c r="O52" s="1838"/>
      <c r="P52" s="1844"/>
      <c r="Q52" s="1838"/>
      <c r="R52" s="1844"/>
      <c r="S52" s="1844"/>
      <c r="T52" s="1843"/>
      <c r="U52" s="1843"/>
      <c r="V52" s="1843"/>
      <c r="W52" s="1843"/>
      <c r="X52" s="1839">
        <v>0</v>
      </c>
      <c r="Y52" s="1838"/>
      <c r="Z52" s="1844"/>
      <c r="AA52" s="1844"/>
      <c r="AB52" s="1843"/>
      <c r="AC52" s="429"/>
      <c r="AD52" s="429"/>
    </row>
    <row r="53" spans="1:30">
      <c r="A53" s="207" t="s">
        <v>613</v>
      </c>
      <c r="B53" s="199" t="s">
        <v>612</v>
      </c>
      <c r="C53" s="1850"/>
      <c r="D53" s="1838"/>
      <c r="E53" s="1838"/>
      <c r="F53" s="1839">
        <f t="shared" si="2"/>
        <v>0</v>
      </c>
      <c r="G53" s="1839"/>
      <c r="H53" s="1839"/>
      <c r="I53" s="1839"/>
      <c r="J53" s="1839"/>
      <c r="K53" s="1839"/>
      <c r="L53" s="1839">
        <f t="shared" si="3"/>
        <v>0</v>
      </c>
      <c r="M53" s="1839"/>
      <c r="N53" s="1839"/>
      <c r="O53" s="1846"/>
      <c r="P53" s="1844">
        <f>O53*D53</f>
        <v>0</v>
      </c>
      <c r="Q53" s="1846"/>
      <c r="R53" s="1844">
        <f>Q53*D53</f>
        <v>0</v>
      </c>
      <c r="S53" s="1844">
        <f>+P53-R53</f>
        <v>0</v>
      </c>
      <c r="T53" s="1843"/>
      <c r="U53" s="1843"/>
      <c r="V53" s="1843">
        <f>+L53-U53</f>
        <v>0</v>
      </c>
      <c r="W53" s="1843">
        <f>+L53-U53</f>
        <v>0</v>
      </c>
      <c r="X53" s="1839">
        <v>0</v>
      </c>
      <c r="Y53" s="1839"/>
      <c r="Z53" s="1844">
        <v>0</v>
      </c>
      <c r="AA53" s="1844">
        <v>0</v>
      </c>
      <c r="AB53" s="1843"/>
      <c r="AC53" s="429"/>
      <c r="AD53" s="429"/>
    </row>
    <row r="54" spans="1:30">
      <c r="A54" s="207" t="s">
        <v>611</v>
      </c>
      <c r="B54" s="199" t="s">
        <v>610</v>
      </c>
      <c r="C54" s="1850"/>
      <c r="D54" s="1838"/>
      <c r="E54" s="1838"/>
      <c r="F54" s="1839">
        <f t="shared" si="2"/>
        <v>0</v>
      </c>
      <c r="G54" s="1839"/>
      <c r="H54" s="1839"/>
      <c r="I54" s="1839"/>
      <c r="J54" s="1839"/>
      <c r="K54" s="1839"/>
      <c r="L54" s="1839">
        <f t="shared" si="3"/>
        <v>0</v>
      </c>
      <c r="M54" s="1839"/>
      <c r="N54" s="1839"/>
      <c r="O54" s="1846"/>
      <c r="P54" s="1844"/>
      <c r="Q54" s="1846"/>
      <c r="R54" s="1844"/>
      <c r="S54" s="1844"/>
      <c r="T54" s="1843"/>
      <c r="U54" s="1843"/>
      <c r="V54" s="1843"/>
      <c r="W54" s="1843"/>
      <c r="X54" s="1839">
        <v>0</v>
      </c>
      <c r="Y54" s="1839"/>
      <c r="Z54" s="1844"/>
      <c r="AA54" s="1844"/>
      <c r="AB54" s="1843"/>
      <c r="AC54" s="429"/>
      <c r="AD54" s="429"/>
    </row>
    <row r="55" spans="1:30">
      <c r="A55" s="207" t="s">
        <v>609</v>
      </c>
      <c r="B55" s="199" t="s">
        <v>608</v>
      </c>
      <c r="C55" s="1850"/>
      <c r="D55" s="1838"/>
      <c r="E55" s="1838"/>
      <c r="F55" s="1839">
        <f t="shared" si="2"/>
        <v>0</v>
      </c>
      <c r="G55" s="1839"/>
      <c r="H55" s="1839"/>
      <c r="I55" s="1839"/>
      <c r="J55" s="1839"/>
      <c r="K55" s="1839"/>
      <c r="L55" s="1839">
        <f t="shared" si="3"/>
        <v>0</v>
      </c>
      <c r="M55" s="1839"/>
      <c r="N55" s="1839"/>
      <c r="O55" s="1846"/>
      <c r="P55" s="1844"/>
      <c r="Q55" s="1846"/>
      <c r="R55" s="1844"/>
      <c r="S55" s="1844"/>
      <c r="T55" s="1843"/>
      <c r="U55" s="1843"/>
      <c r="V55" s="1843"/>
      <c r="W55" s="1843"/>
      <c r="X55" s="1839">
        <v>0</v>
      </c>
      <c r="Y55" s="1839"/>
      <c r="Z55" s="1844"/>
      <c r="AA55" s="1844"/>
      <c r="AB55" s="1843"/>
      <c r="AC55" s="429"/>
      <c r="AD55" s="429"/>
    </row>
    <row r="56" spans="1:30" ht="33.75">
      <c r="A56" s="207" t="s">
        <v>607</v>
      </c>
      <c r="B56" s="206" t="s">
        <v>606</v>
      </c>
      <c r="C56" s="1850"/>
      <c r="D56" s="1838"/>
      <c r="E56" s="1838"/>
      <c r="F56" s="1839">
        <f t="shared" si="2"/>
        <v>0</v>
      </c>
      <c r="G56" s="1839"/>
      <c r="H56" s="1839"/>
      <c r="I56" s="1839"/>
      <c r="J56" s="1839"/>
      <c r="K56" s="1839"/>
      <c r="L56" s="1839">
        <f t="shared" si="3"/>
        <v>0</v>
      </c>
      <c r="M56" s="1839"/>
      <c r="N56" s="1839"/>
      <c r="O56" s="1846"/>
      <c r="P56" s="1844"/>
      <c r="Q56" s="1846"/>
      <c r="R56" s="1844"/>
      <c r="S56" s="1844"/>
      <c r="T56" s="1843"/>
      <c r="U56" s="1843"/>
      <c r="V56" s="1843"/>
      <c r="W56" s="1843"/>
      <c r="X56" s="1839">
        <v>0</v>
      </c>
      <c r="Y56" s="1839"/>
      <c r="Z56" s="1844"/>
      <c r="AA56" s="1844"/>
      <c r="AB56" s="1843"/>
      <c r="AC56" s="429"/>
      <c r="AD56" s="429"/>
    </row>
    <row r="57" spans="1:30">
      <c r="A57" s="207" t="s">
        <v>605</v>
      </c>
      <c r="B57" s="199" t="s">
        <v>604</v>
      </c>
      <c r="C57" s="1850"/>
      <c r="D57" s="1838"/>
      <c r="E57" s="1838"/>
      <c r="F57" s="1839">
        <f t="shared" si="2"/>
        <v>0</v>
      </c>
      <c r="G57" s="1839"/>
      <c r="H57" s="1839"/>
      <c r="I57" s="1839"/>
      <c r="J57" s="1839"/>
      <c r="K57" s="1839"/>
      <c r="L57" s="1839">
        <f t="shared" si="3"/>
        <v>0</v>
      </c>
      <c r="M57" s="1839"/>
      <c r="N57" s="1839"/>
      <c r="O57" s="1846"/>
      <c r="P57" s="1844"/>
      <c r="Q57" s="1846"/>
      <c r="R57" s="1844"/>
      <c r="S57" s="1844"/>
      <c r="T57" s="1843"/>
      <c r="U57" s="1843"/>
      <c r="V57" s="1843"/>
      <c r="W57" s="1843"/>
      <c r="X57" s="1839">
        <v>0</v>
      </c>
      <c r="Y57" s="1839"/>
      <c r="Z57" s="1844"/>
      <c r="AA57" s="1844"/>
      <c r="AB57" s="1843"/>
      <c r="AC57" s="429"/>
      <c r="AD57" s="429"/>
    </row>
    <row r="58" spans="1:30">
      <c r="A58" s="207" t="s">
        <v>603</v>
      </c>
      <c r="B58" s="199" t="s">
        <v>602</v>
      </c>
      <c r="C58" s="1850"/>
      <c r="D58" s="1838"/>
      <c r="E58" s="1838"/>
      <c r="F58" s="1839">
        <f t="shared" si="2"/>
        <v>0</v>
      </c>
      <c r="G58" s="1839"/>
      <c r="H58" s="1839"/>
      <c r="I58" s="1839"/>
      <c r="J58" s="1839"/>
      <c r="K58" s="1839"/>
      <c r="L58" s="1839">
        <f t="shared" si="3"/>
        <v>0</v>
      </c>
      <c r="M58" s="1839"/>
      <c r="N58" s="1839"/>
      <c r="O58" s="1846"/>
      <c r="P58" s="1844"/>
      <c r="Q58" s="1846"/>
      <c r="R58" s="1844"/>
      <c r="S58" s="1844"/>
      <c r="T58" s="1843"/>
      <c r="U58" s="1843"/>
      <c r="V58" s="1843"/>
      <c r="W58" s="1843"/>
      <c r="X58" s="1839">
        <v>0</v>
      </c>
      <c r="Y58" s="1839"/>
      <c r="Z58" s="1844"/>
      <c r="AA58" s="1844"/>
      <c r="AB58" s="1843"/>
      <c r="AC58" s="429"/>
      <c r="AD58" s="429"/>
    </row>
    <row r="59" spans="1:30">
      <c r="A59" s="207" t="s">
        <v>601</v>
      </c>
      <c r="B59" s="199" t="s">
        <v>600</v>
      </c>
      <c r="C59" s="1850"/>
      <c r="D59" s="1838"/>
      <c r="E59" s="1838"/>
      <c r="F59" s="1839">
        <f t="shared" si="2"/>
        <v>0</v>
      </c>
      <c r="G59" s="1839"/>
      <c r="H59" s="1839"/>
      <c r="I59" s="1839"/>
      <c r="J59" s="1839"/>
      <c r="K59" s="1839"/>
      <c r="L59" s="1839">
        <f t="shared" si="3"/>
        <v>0</v>
      </c>
      <c r="M59" s="1839"/>
      <c r="N59" s="1839"/>
      <c r="O59" s="1846"/>
      <c r="P59" s="1844"/>
      <c r="Q59" s="1846"/>
      <c r="R59" s="1844"/>
      <c r="S59" s="1844"/>
      <c r="T59" s="1843"/>
      <c r="U59" s="1843"/>
      <c r="V59" s="1843"/>
      <c r="W59" s="1843"/>
      <c r="X59" s="1839">
        <v>0</v>
      </c>
      <c r="Y59" s="1839"/>
      <c r="Z59" s="1844"/>
      <c r="AA59" s="1844"/>
      <c r="AB59" s="1843"/>
      <c r="AC59" s="429"/>
      <c r="AD59" s="429"/>
    </row>
    <row r="60" spans="1:30">
      <c r="A60" s="207" t="s">
        <v>599</v>
      </c>
      <c r="B60" s="199" t="s">
        <v>598</v>
      </c>
      <c r="C60" s="1850"/>
      <c r="D60" s="1838"/>
      <c r="E60" s="1838"/>
      <c r="F60" s="1839">
        <f t="shared" si="2"/>
        <v>0</v>
      </c>
      <c r="G60" s="1839"/>
      <c r="H60" s="1839"/>
      <c r="I60" s="1839"/>
      <c r="J60" s="1839"/>
      <c r="K60" s="1839"/>
      <c r="L60" s="1839">
        <f t="shared" si="3"/>
        <v>0</v>
      </c>
      <c r="M60" s="1839"/>
      <c r="N60" s="1839"/>
      <c r="O60" s="1846"/>
      <c r="P60" s="1844"/>
      <c r="Q60" s="1846"/>
      <c r="R60" s="1844"/>
      <c r="S60" s="1844"/>
      <c r="T60" s="1843"/>
      <c r="U60" s="1843"/>
      <c r="V60" s="1843"/>
      <c r="W60" s="1843"/>
      <c r="X60" s="1839">
        <v>0</v>
      </c>
      <c r="Y60" s="1839"/>
      <c r="Z60" s="1844"/>
      <c r="AA60" s="1844"/>
      <c r="AB60" s="1843"/>
      <c r="AC60" s="429"/>
      <c r="AD60" s="429"/>
    </row>
    <row r="61" spans="1:30">
      <c r="A61" s="207" t="s">
        <v>597</v>
      </c>
      <c r="B61" s="199" t="s">
        <v>596</v>
      </c>
      <c r="C61" s="1850"/>
      <c r="D61" s="1838"/>
      <c r="E61" s="1838"/>
      <c r="F61" s="1839">
        <f t="shared" si="2"/>
        <v>0</v>
      </c>
      <c r="G61" s="1839"/>
      <c r="H61" s="1839"/>
      <c r="I61" s="1839"/>
      <c r="J61" s="1839"/>
      <c r="K61" s="1839"/>
      <c r="L61" s="1839">
        <f t="shared" si="3"/>
        <v>0</v>
      </c>
      <c r="M61" s="1839"/>
      <c r="N61" s="1839"/>
      <c r="O61" s="1846"/>
      <c r="P61" s="1844"/>
      <c r="Q61" s="1846"/>
      <c r="R61" s="1844"/>
      <c r="S61" s="1844"/>
      <c r="T61" s="1843"/>
      <c r="U61" s="1843"/>
      <c r="V61" s="1843"/>
      <c r="W61" s="1843"/>
      <c r="X61" s="1839">
        <v>0</v>
      </c>
      <c r="Y61" s="1839"/>
      <c r="Z61" s="1844"/>
      <c r="AA61" s="1844"/>
      <c r="AB61" s="1843"/>
      <c r="AC61" s="429"/>
      <c r="AD61" s="429"/>
    </row>
    <row r="62" spans="1:30">
      <c r="A62" s="207" t="s">
        <v>595</v>
      </c>
      <c r="B62" s="199" t="s">
        <v>594</v>
      </c>
      <c r="C62" s="1850"/>
      <c r="D62" s="1838"/>
      <c r="E62" s="1838"/>
      <c r="F62" s="1839">
        <f t="shared" si="2"/>
        <v>0</v>
      </c>
      <c r="G62" s="1839"/>
      <c r="H62" s="1839"/>
      <c r="I62" s="1839"/>
      <c r="J62" s="1839"/>
      <c r="K62" s="1839"/>
      <c r="L62" s="1839">
        <f t="shared" si="3"/>
        <v>0</v>
      </c>
      <c r="M62" s="1839"/>
      <c r="N62" s="1839"/>
      <c r="O62" s="1846"/>
      <c r="P62" s="1844"/>
      <c r="Q62" s="1846"/>
      <c r="R62" s="1844"/>
      <c r="S62" s="1844"/>
      <c r="T62" s="1843"/>
      <c r="U62" s="1843"/>
      <c r="V62" s="1843"/>
      <c r="W62" s="1843"/>
      <c r="X62" s="1839">
        <v>0</v>
      </c>
      <c r="Y62" s="1839"/>
      <c r="Z62" s="1844"/>
      <c r="AA62" s="1844"/>
      <c r="AB62" s="1843"/>
      <c r="AC62" s="429"/>
      <c r="AD62" s="429"/>
    </row>
    <row r="63" spans="1:30">
      <c r="A63" s="207" t="s">
        <v>593</v>
      </c>
      <c r="B63" s="199" t="s">
        <v>592</v>
      </c>
      <c r="C63" s="1850"/>
      <c r="D63" s="1838"/>
      <c r="E63" s="1838"/>
      <c r="F63" s="1839">
        <f t="shared" si="2"/>
        <v>0</v>
      </c>
      <c r="G63" s="1839"/>
      <c r="H63" s="1839"/>
      <c r="I63" s="1839"/>
      <c r="J63" s="1839"/>
      <c r="K63" s="1839"/>
      <c r="L63" s="1839">
        <f t="shared" si="3"/>
        <v>0</v>
      </c>
      <c r="M63" s="1839"/>
      <c r="N63" s="1839"/>
      <c r="O63" s="1846"/>
      <c r="P63" s="1844"/>
      <c r="Q63" s="1846"/>
      <c r="R63" s="1844"/>
      <c r="S63" s="1844"/>
      <c r="T63" s="1843"/>
      <c r="U63" s="1843"/>
      <c r="V63" s="1843"/>
      <c r="W63" s="1843"/>
      <c r="X63" s="1839">
        <v>0</v>
      </c>
      <c r="Y63" s="1839"/>
      <c r="Z63" s="1844"/>
      <c r="AA63" s="1844"/>
      <c r="AB63" s="1843"/>
      <c r="AC63" s="429"/>
      <c r="AD63" s="429"/>
    </row>
    <row r="64" spans="1:30">
      <c r="A64" s="207" t="s">
        <v>591</v>
      </c>
      <c r="B64" s="199" t="s">
        <v>590</v>
      </c>
      <c r="C64" s="1850"/>
      <c r="D64" s="1838"/>
      <c r="E64" s="1838"/>
      <c r="F64" s="1839">
        <f t="shared" si="2"/>
        <v>0</v>
      </c>
      <c r="G64" s="1839"/>
      <c r="H64" s="1839"/>
      <c r="I64" s="1839"/>
      <c r="J64" s="1839"/>
      <c r="K64" s="1839"/>
      <c r="L64" s="1839">
        <f t="shared" si="3"/>
        <v>0</v>
      </c>
      <c r="M64" s="1839"/>
      <c r="N64" s="1839"/>
      <c r="O64" s="1846"/>
      <c r="P64" s="1844"/>
      <c r="Q64" s="1846"/>
      <c r="R64" s="1844"/>
      <c r="S64" s="1844"/>
      <c r="T64" s="1843"/>
      <c r="U64" s="1843"/>
      <c r="V64" s="1843"/>
      <c r="W64" s="1843"/>
      <c r="X64" s="1839">
        <v>0</v>
      </c>
      <c r="Y64" s="1839"/>
      <c r="Z64" s="1844"/>
      <c r="AA64" s="1844"/>
      <c r="AB64" s="1843"/>
      <c r="AC64" s="429"/>
      <c r="AD64" s="429"/>
    </row>
    <row r="65" spans="1:30">
      <c r="A65" s="207" t="s">
        <v>589</v>
      </c>
      <c r="B65" s="199" t="s">
        <v>588</v>
      </c>
      <c r="C65" s="1850"/>
      <c r="D65" s="1838"/>
      <c r="E65" s="1838"/>
      <c r="F65" s="1839">
        <f t="shared" si="2"/>
        <v>0</v>
      </c>
      <c r="G65" s="1839"/>
      <c r="H65" s="1839"/>
      <c r="I65" s="1839"/>
      <c r="J65" s="1839"/>
      <c r="K65" s="1839"/>
      <c r="L65" s="1839">
        <f t="shared" si="3"/>
        <v>0</v>
      </c>
      <c r="M65" s="1839"/>
      <c r="N65" s="1839"/>
      <c r="O65" s="1846"/>
      <c r="P65" s="1844"/>
      <c r="Q65" s="1846"/>
      <c r="R65" s="1844"/>
      <c r="S65" s="1844"/>
      <c r="T65" s="1843"/>
      <c r="U65" s="1843"/>
      <c r="V65" s="1843"/>
      <c r="W65" s="1843"/>
      <c r="X65" s="1839">
        <v>0</v>
      </c>
      <c r="Y65" s="1839"/>
      <c r="Z65" s="1844"/>
      <c r="AA65" s="1844"/>
      <c r="AB65" s="1843"/>
      <c r="AC65" s="429"/>
      <c r="AD65" s="429"/>
    </row>
    <row r="66" spans="1:30">
      <c r="A66" s="207" t="s">
        <v>587</v>
      </c>
      <c r="B66" s="199" t="s">
        <v>586</v>
      </c>
      <c r="C66" s="1850"/>
      <c r="D66" s="1838"/>
      <c r="E66" s="1838"/>
      <c r="F66" s="1839">
        <f t="shared" si="2"/>
        <v>0</v>
      </c>
      <c r="G66" s="1839"/>
      <c r="H66" s="1839"/>
      <c r="I66" s="1839"/>
      <c r="J66" s="1839"/>
      <c r="K66" s="1839"/>
      <c r="L66" s="1839">
        <f t="shared" si="3"/>
        <v>0</v>
      </c>
      <c r="M66" s="1839"/>
      <c r="N66" s="1839"/>
      <c r="O66" s="1846"/>
      <c r="P66" s="1844"/>
      <c r="Q66" s="1846"/>
      <c r="R66" s="1844"/>
      <c r="S66" s="1844"/>
      <c r="T66" s="1843"/>
      <c r="U66" s="1843"/>
      <c r="V66" s="1843"/>
      <c r="W66" s="1843"/>
      <c r="X66" s="1839">
        <v>0</v>
      </c>
      <c r="Y66" s="1839"/>
      <c r="Z66" s="1844"/>
      <c r="AA66" s="1844"/>
      <c r="AB66" s="1843"/>
      <c r="AC66" s="429"/>
      <c r="AD66" s="429"/>
    </row>
    <row r="67" spans="1:30">
      <c r="A67" s="207" t="s">
        <v>585</v>
      </c>
      <c r="B67" s="199" t="s">
        <v>584</v>
      </c>
      <c r="C67" s="1850"/>
      <c r="D67" s="1838"/>
      <c r="E67" s="1838"/>
      <c r="F67" s="1839">
        <f t="shared" si="2"/>
        <v>0</v>
      </c>
      <c r="G67" s="1839"/>
      <c r="H67" s="1839"/>
      <c r="I67" s="1839"/>
      <c r="J67" s="1839"/>
      <c r="K67" s="1839"/>
      <c r="L67" s="1839">
        <f t="shared" si="3"/>
        <v>0</v>
      </c>
      <c r="M67" s="1839"/>
      <c r="N67" s="1839"/>
      <c r="O67" s="1846"/>
      <c r="P67" s="1844"/>
      <c r="Q67" s="1846"/>
      <c r="R67" s="1844"/>
      <c r="S67" s="1844"/>
      <c r="T67" s="1843"/>
      <c r="U67" s="1843"/>
      <c r="V67" s="1843"/>
      <c r="W67" s="1843"/>
      <c r="X67" s="1839">
        <v>0</v>
      </c>
      <c r="Y67" s="1839"/>
      <c r="Z67" s="1844"/>
      <c r="AA67" s="1844"/>
      <c r="AB67" s="1843"/>
      <c r="AC67" s="429"/>
      <c r="AD67" s="429"/>
    </row>
    <row r="68" spans="1:30">
      <c r="A68" s="207" t="s">
        <v>583</v>
      </c>
      <c r="B68" s="199" t="s">
        <v>582</v>
      </c>
      <c r="C68" s="1850"/>
      <c r="D68" s="1838"/>
      <c r="E68" s="1838"/>
      <c r="F68" s="1839">
        <f t="shared" si="2"/>
        <v>0</v>
      </c>
      <c r="G68" s="1839"/>
      <c r="H68" s="1839"/>
      <c r="I68" s="1839"/>
      <c r="J68" s="1839"/>
      <c r="K68" s="1839"/>
      <c r="L68" s="1839">
        <f t="shared" si="3"/>
        <v>0</v>
      </c>
      <c r="M68" s="1839"/>
      <c r="N68" s="1839"/>
      <c r="O68" s="1846"/>
      <c r="P68" s="1844"/>
      <c r="Q68" s="1846"/>
      <c r="R68" s="1844"/>
      <c r="S68" s="1844"/>
      <c r="T68" s="1843"/>
      <c r="U68" s="1843"/>
      <c r="V68" s="1843"/>
      <c r="W68" s="1843"/>
      <c r="X68" s="1839">
        <v>0</v>
      </c>
      <c r="Y68" s="1839"/>
      <c r="Z68" s="1844"/>
      <c r="AA68" s="1844"/>
      <c r="AB68" s="1843"/>
      <c r="AC68" s="429"/>
      <c r="AD68" s="429"/>
    </row>
    <row r="69" spans="1:30">
      <c r="A69" s="208"/>
      <c r="B69" s="209" t="s">
        <v>17</v>
      </c>
      <c r="C69" s="1851">
        <f>SUM(C14:C68)</f>
        <v>375140.85709407547</v>
      </c>
      <c r="D69" s="1851"/>
      <c r="E69" s="1851"/>
      <c r="F69" s="1851">
        <f t="shared" ref="F69:N69" si="4">SUM(F14:F68)</f>
        <v>375140.85709407547</v>
      </c>
      <c r="G69" s="1851">
        <f t="shared" si="4"/>
        <v>0</v>
      </c>
      <c r="H69" s="1851">
        <f t="shared" si="4"/>
        <v>0</v>
      </c>
      <c r="I69" s="1851">
        <f t="shared" si="4"/>
        <v>375140.85709407547</v>
      </c>
      <c r="J69" s="1851">
        <f t="shared" si="4"/>
        <v>0</v>
      </c>
      <c r="K69" s="1851">
        <f t="shared" si="4"/>
        <v>0</v>
      </c>
      <c r="L69" s="1851">
        <f t="shared" si="4"/>
        <v>375140.85709407547</v>
      </c>
      <c r="M69" s="1851">
        <f t="shared" si="4"/>
        <v>0</v>
      </c>
      <c r="N69" s="1851">
        <f t="shared" si="4"/>
        <v>0</v>
      </c>
      <c r="O69" s="1851"/>
      <c r="P69" s="1851">
        <f>SUM(P14:P68)</f>
        <v>0</v>
      </c>
      <c r="Q69" s="1851"/>
      <c r="R69" s="1851">
        <f>SUM(R14:R68)</f>
        <v>0</v>
      </c>
      <c r="S69" s="1851">
        <f>SUM(S14:S68)</f>
        <v>0</v>
      </c>
      <c r="T69" s="1852">
        <f>W69-L69</f>
        <v>0</v>
      </c>
      <c r="U69" s="1852">
        <f t="shared" ref="U69:AB69" si="5">SUM(U14:U68)</f>
        <v>250093.90472938365</v>
      </c>
      <c r="V69" s="1852">
        <f t="shared" si="5"/>
        <v>1.5</v>
      </c>
      <c r="W69" s="1852">
        <f t="shared" si="5"/>
        <v>375140.85709407547</v>
      </c>
      <c r="X69" s="1852">
        <f t="shared" si="5"/>
        <v>375140.85709407547</v>
      </c>
      <c r="Y69" s="1852">
        <f t="shared" si="5"/>
        <v>0</v>
      </c>
      <c r="Z69" s="1852">
        <f t="shared" si="5"/>
        <v>0</v>
      </c>
      <c r="AA69" s="1852">
        <f t="shared" si="5"/>
        <v>0</v>
      </c>
      <c r="AB69" s="1852">
        <f t="shared" si="5"/>
        <v>0</v>
      </c>
      <c r="AC69" s="429"/>
      <c r="AD69" s="429"/>
    </row>
    <row r="70" spans="1:30">
      <c r="A70" s="210"/>
      <c r="B70" s="211"/>
      <c r="F70" s="1853"/>
      <c r="G70" s="1853"/>
      <c r="H70" s="1853"/>
      <c r="I70" s="1853"/>
      <c r="J70" s="1853"/>
      <c r="K70" s="1853"/>
      <c r="L70" s="1853"/>
      <c r="M70" s="1853"/>
      <c r="N70" s="1853"/>
      <c r="P70" s="1853"/>
      <c r="Q70" s="1797"/>
      <c r="R70" s="1797"/>
      <c r="AC70" s="429"/>
      <c r="AD70" s="429"/>
    </row>
    <row r="71" spans="1:30">
      <c r="A71" s="210"/>
      <c r="B71" s="211"/>
      <c r="F71" s="1853"/>
      <c r="G71" s="1853"/>
      <c r="H71" s="1853"/>
      <c r="I71" s="1853"/>
      <c r="J71" s="1853"/>
      <c r="K71" s="1853"/>
      <c r="L71" s="1853"/>
      <c r="M71" s="1853"/>
      <c r="N71" s="1853"/>
      <c r="P71" s="1853"/>
      <c r="Q71" s="1797"/>
      <c r="R71" s="1797"/>
      <c r="AC71" s="429"/>
      <c r="AD71" s="429"/>
    </row>
    <row r="72" spans="1:30">
      <c r="F72" s="1853"/>
      <c r="R72" s="1797"/>
      <c r="AC72" s="429"/>
      <c r="AD72" s="429"/>
    </row>
    <row r="73" spans="1:30">
      <c r="F73" s="1853"/>
      <c r="R73" s="1797"/>
      <c r="AC73" s="429"/>
      <c r="AD73" s="429"/>
    </row>
    <row r="74" spans="1:30">
      <c r="R74" s="1797"/>
      <c r="AC74" s="429"/>
      <c r="AD74" s="429"/>
    </row>
    <row r="75" spans="1:30">
      <c r="A75" s="194" t="s">
        <v>59</v>
      </c>
      <c r="F75" s="1853"/>
      <c r="AC75" s="429"/>
      <c r="AD75" s="429"/>
    </row>
  </sheetData>
  <mergeCells count="6">
    <mergeCell ref="AB8:AB12"/>
    <mergeCell ref="E1:F1"/>
    <mergeCell ref="X8:X12"/>
    <mergeCell ref="Y8:Y12"/>
    <mergeCell ref="Z8:Z12"/>
    <mergeCell ref="AA8:AA12"/>
  </mergeCells>
  <conditionalFormatting sqref="U8:Y8 U9:W12 AC8:AC12">
    <cfRule type="cellIs" dxfId="7" priority="4" stopIfTrue="1" operator="equal">
      <formula>0</formula>
    </cfRule>
  </conditionalFormatting>
  <conditionalFormatting sqref="Z8">
    <cfRule type="cellIs" dxfId="6" priority="3" stopIfTrue="1" operator="equal">
      <formula>0</formula>
    </cfRule>
  </conditionalFormatting>
  <conditionalFormatting sqref="AA8">
    <cfRule type="cellIs" dxfId="5" priority="2" stopIfTrue="1" operator="equal">
      <formula>0</formula>
    </cfRule>
  </conditionalFormatting>
  <conditionalFormatting sqref="AB8">
    <cfRule type="cellIs" dxfId="4" priority="1" stopIfTrue="1" operator="equal">
      <formula>0</formula>
    </cfRule>
  </conditionalFormatting>
  <pageMargins left="0.2" right="0.2" top="0.28000000000000003" bottom="0.26" header="0.17" footer="0.16"/>
  <pageSetup paperSize="9" scale="57" orientation="landscape" r:id="rId1"/>
  <headerFooter alignWithMargins="0"/>
  <colBreaks count="1" manualBreakCount="1">
    <brk id="20" max="1048575" man="1"/>
  </colBreaks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/>
  <dimension ref="A1:AH77"/>
  <sheetViews>
    <sheetView showGridLines="0" showZeros="0" topLeftCell="M1" zoomScaleNormal="100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3" width="14.875" style="792" bestFit="1" customWidth="1"/>
    <col min="4" max="34" width="11" style="792"/>
  </cols>
  <sheetData>
    <row r="1" spans="1:34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4" s="787" customFormat="1" ht="12.75" customHeight="1">
      <c r="A2" s="789" t="s">
        <v>65</v>
      </c>
      <c r="B2" s="2511" t="s">
        <v>700</v>
      </c>
      <c r="C2" s="2511"/>
      <c r="D2" s="2511"/>
      <c r="E2" s="2511"/>
      <c r="F2" s="2511"/>
      <c r="G2" s="2511"/>
      <c r="H2" s="2511"/>
      <c r="I2" s="2511"/>
      <c r="J2" s="216"/>
      <c r="K2" s="216"/>
      <c r="L2" s="216"/>
      <c r="M2" s="216"/>
      <c r="N2" s="216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8"/>
      <c r="AF2" s="788"/>
      <c r="AG2" s="788"/>
    </row>
    <row r="3" spans="1:34" s="792" customFormat="1" ht="12.75">
      <c r="A3" s="793" t="s">
        <v>70</v>
      </c>
      <c r="B3" s="214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499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</row>
    <row r="4" spans="1:34" s="787" customFormat="1" ht="12.75">
      <c r="A4" s="789" t="s">
        <v>73</v>
      </c>
      <c r="B4" s="66" t="s">
        <v>699</v>
      </c>
      <c r="C4" s="1646" t="s">
        <v>81</v>
      </c>
      <c r="D4" s="216"/>
      <c r="E4" s="216"/>
      <c r="F4" s="217"/>
      <c r="G4" s="217"/>
      <c r="H4" s="217"/>
      <c r="I4" s="217"/>
      <c r="J4" s="217"/>
      <c r="K4" s="217"/>
      <c r="L4" s="791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8"/>
      <c r="AF4" s="788"/>
      <c r="AG4" s="788"/>
    </row>
    <row r="5" spans="1:34" s="787" customFormat="1" ht="12" customHeight="1">
      <c r="A5" s="789" t="s">
        <v>74</v>
      </c>
      <c r="B5" s="73">
        <v>200900027</v>
      </c>
      <c r="C5" s="216"/>
      <c r="D5" s="216"/>
      <c r="E5" s="216"/>
      <c r="F5" s="217"/>
      <c r="G5" s="217"/>
      <c r="H5" s="789"/>
      <c r="I5" s="2447"/>
      <c r="J5" s="2447"/>
      <c r="K5" s="2447"/>
      <c r="L5" s="2447"/>
      <c r="M5" s="2447"/>
      <c r="N5" s="2447"/>
      <c r="O5" s="2447"/>
      <c r="P5" s="2447"/>
      <c r="Q5" s="2447"/>
      <c r="R5" s="2447"/>
      <c r="S5" s="2447"/>
      <c r="T5" s="2447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8"/>
      <c r="AF5" s="788"/>
      <c r="AG5" s="788"/>
    </row>
    <row r="6" spans="1:34" s="787" customFormat="1" ht="12.75">
      <c r="A6" s="789" t="s">
        <v>75</v>
      </c>
      <c r="B6" s="66"/>
      <c r="C6" s="216"/>
      <c r="D6" s="216"/>
      <c r="E6" s="216"/>
      <c r="F6" s="217"/>
      <c r="G6" s="217"/>
      <c r="H6" s="790"/>
      <c r="I6" s="790"/>
      <c r="J6" s="1427"/>
      <c r="K6" s="789"/>
      <c r="L6" s="789"/>
      <c r="M6" s="789"/>
      <c r="N6" s="789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8"/>
      <c r="AF6" s="788"/>
      <c r="AG6" s="788"/>
    </row>
    <row r="7" spans="1:34" s="12" customFormat="1" ht="12.75">
      <c r="A7" s="3"/>
      <c r="B7" s="3"/>
      <c r="C7" s="216"/>
      <c r="D7" s="216"/>
      <c r="E7" s="216"/>
      <c r="F7" s="217"/>
      <c r="G7" s="217"/>
      <c r="H7" s="790"/>
      <c r="I7" s="1723" t="s">
        <v>76</v>
      </c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  <c r="X7" s="212"/>
      <c r="Y7" s="212"/>
      <c r="Z7" s="212"/>
      <c r="AA7" s="212"/>
      <c r="AB7" s="212"/>
      <c r="AC7" s="788"/>
      <c r="AD7" s="788"/>
      <c r="AE7" s="788"/>
      <c r="AF7" s="788"/>
      <c r="AG7" s="788"/>
      <c r="AH7" s="787"/>
    </row>
    <row r="8" spans="1:34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">
        <v>698</v>
      </c>
      <c r="AA8" s="2396" t="s">
        <v>697</v>
      </c>
      <c r="AB8" s="2396" t="s">
        <v>64</v>
      </c>
      <c r="AC8" s="788"/>
      <c r="AD8" s="788"/>
      <c r="AE8" s="788"/>
      <c r="AF8" s="788"/>
      <c r="AG8" s="788"/>
      <c r="AH8" s="787"/>
    </row>
    <row r="9" spans="1:34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8"/>
      <c r="AF9" s="788"/>
      <c r="AG9" s="788"/>
      <c r="AH9" s="787"/>
    </row>
    <row r="10" spans="1:34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8"/>
      <c r="AF10" s="788"/>
      <c r="AG10" s="788"/>
      <c r="AH10" s="787"/>
    </row>
    <row r="11" spans="1:34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8"/>
      <c r="AF11" s="788"/>
      <c r="AG11" s="788"/>
      <c r="AH11" s="787"/>
    </row>
    <row r="12" spans="1:34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8"/>
      <c r="AF12" s="788"/>
      <c r="AG12" s="788"/>
      <c r="AH12" s="787"/>
    </row>
    <row r="13" spans="1:34" s="12" customFormat="1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8"/>
      <c r="AF13" s="788"/>
      <c r="AG13" s="788"/>
      <c r="AH13" s="787"/>
    </row>
    <row r="14" spans="1:34" s="12" customFormat="1" ht="12.75">
      <c r="A14" s="22"/>
      <c r="B14" s="23"/>
      <c r="C14" s="1739"/>
      <c r="D14" s="1739"/>
      <c r="E14" s="1739"/>
      <c r="F14" s="1739"/>
      <c r="G14" s="1737"/>
      <c r="H14" s="1737"/>
      <c r="I14" s="1739"/>
      <c r="J14" s="1739"/>
      <c r="K14" s="1739"/>
      <c r="L14" s="1739"/>
      <c r="M14" s="1739"/>
      <c r="N14" s="1739"/>
      <c r="O14" s="1739"/>
      <c r="P14" s="1739"/>
      <c r="Q14" s="1739"/>
      <c r="R14" s="1739"/>
      <c r="S14" s="1739"/>
      <c r="T14" s="1739"/>
      <c r="U14" s="1739"/>
      <c r="V14" s="1739"/>
      <c r="W14" s="1739"/>
      <c r="X14" s="1739"/>
      <c r="Y14" s="1739"/>
      <c r="Z14" s="1739"/>
      <c r="AA14" s="1739"/>
      <c r="AB14" s="464"/>
      <c r="AC14" s="788"/>
      <c r="AD14" s="788"/>
      <c r="AE14" s="788"/>
      <c r="AF14" s="788"/>
      <c r="AG14" s="788"/>
      <c r="AH14" s="787"/>
    </row>
    <row r="15" spans="1:34" s="12" customFormat="1" ht="12.75">
      <c r="A15" s="1386"/>
      <c r="B15" s="1387"/>
      <c r="C15" s="1751"/>
      <c r="D15" s="1751"/>
      <c r="E15" s="1751"/>
      <c r="F15" s="1751"/>
      <c r="G15" s="886"/>
      <c r="H15" s="886"/>
      <c r="I15" s="1751"/>
      <c r="J15" s="1751"/>
      <c r="K15" s="1751"/>
      <c r="L15" s="1751"/>
      <c r="M15" s="1751"/>
      <c r="N15" s="1751"/>
      <c r="O15" s="1751"/>
      <c r="P15" s="1751"/>
      <c r="Q15" s="1751"/>
      <c r="R15" s="1751"/>
      <c r="S15" s="1751"/>
      <c r="T15" s="1751"/>
      <c r="U15" s="1751"/>
      <c r="V15" s="1751"/>
      <c r="W15" s="1751"/>
      <c r="X15" s="1751"/>
      <c r="Y15" s="1751"/>
      <c r="Z15" s="1751"/>
      <c r="AA15" s="1751"/>
      <c r="AB15" s="824"/>
      <c r="AC15" s="788"/>
      <c r="AD15" s="788"/>
      <c r="AE15" s="788"/>
      <c r="AF15" s="788"/>
      <c r="AG15" s="788"/>
      <c r="AH15" s="787"/>
    </row>
    <row r="16" spans="1:34" s="12" customFormat="1" ht="12.75">
      <c r="A16" s="881"/>
      <c r="B16" s="887"/>
      <c r="C16" s="502"/>
      <c r="D16" s="502"/>
      <c r="E16" s="511"/>
      <c r="F16" s="500"/>
      <c r="G16" s="500"/>
      <c r="H16" s="500"/>
      <c r="I16" s="500"/>
      <c r="J16" s="500"/>
      <c r="K16" s="500"/>
      <c r="L16" s="500"/>
      <c r="M16" s="500"/>
      <c r="N16" s="500"/>
      <c r="O16" s="511"/>
      <c r="P16" s="500"/>
      <c r="Q16" s="502"/>
      <c r="R16" s="502"/>
      <c r="S16" s="502"/>
      <c r="T16" s="502"/>
      <c r="U16" s="502"/>
      <c r="V16" s="511"/>
      <c r="W16" s="500"/>
      <c r="X16" s="500"/>
      <c r="Y16" s="500"/>
      <c r="Z16" s="500"/>
      <c r="AA16" s="502"/>
      <c r="AB16" s="891"/>
      <c r="AC16" s="788"/>
      <c r="AD16" s="788"/>
      <c r="AE16" s="788"/>
      <c r="AF16" s="788"/>
      <c r="AG16" s="788"/>
      <c r="AH16" s="787"/>
    </row>
    <row r="17" spans="1:34" s="785" customFormat="1">
      <c r="A17" s="1222">
        <v>1</v>
      </c>
      <c r="B17" s="130" t="s">
        <v>696</v>
      </c>
      <c r="C17" s="500">
        <v>964697</v>
      </c>
      <c r="D17" s="502">
        <f>C17/7</f>
        <v>137813.85714285713</v>
      </c>
      <c r="E17" s="511">
        <v>7</v>
      </c>
      <c r="F17" s="500">
        <f>D17*E17</f>
        <v>964696.99999999988</v>
      </c>
      <c r="G17" s="500"/>
      <c r="H17" s="500"/>
      <c r="I17" s="500">
        <f>W17</f>
        <v>964696.99999999988</v>
      </c>
      <c r="J17" s="500"/>
      <c r="K17" s="500"/>
      <c r="L17" s="500">
        <f>I17-J17+K17</f>
        <v>964696.99999999988</v>
      </c>
      <c r="M17" s="500"/>
      <c r="N17" s="500"/>
      <c r="O17" s="511">
        <v>7</v>
      </c>
      <c r="P17" s="500">
        <f>O17*U17</f>
        <v>964696.99999999988</v>
      </c>
      <c r="Q17" s="500"/>
      <c r="R17" s="502">
        <v>619655.12722055335</v>
      </c>
      <c r="S17" s="502">
        <f>P17-R17</f>
        <v>345041.87277944654</v>
      </c>
      <c r="T17" s="502">
        <f t="shared" ref="T17:T42" si="0">W17-L17</f>
        <v>0</v>
      </c>
      <c r="U17" s="502">
        <f t="shared" ref="U17:V21" si="1">D17</f>
        <v>137813.85714285713</v>
      </c>
      <c r="V17" s="511">
        <f t="shared" si="1"/>
        <v>7</v>
      </c>
      <c r="W17" s="500">
        <f>U17*V17</f>
        <v>964696.99999999988</v>
      </c>
      <c r="X17" s="500">
        <v>964697</v>
      </c>
      <c r="Y17" s="500"/>
      <c r="Z17" s="500">
        <v>964697</v>
      </c>
      <c r="AA17" s="502">
        <v>619655.12722055335</v>
      </c>
      <c r="AB17" s="891">
        <f>F17</f>
        <v>964696.99999999988</v>
      </c>
      <c r="AC17" s="1784"/>
      <c r="AD17" s="1784"/>
      <c r="AE17" s="1784"/>
      <c r="AF17" s="1784"/>
      <c r="AG17" s="1784"/>
      <c r="AH17" s="1794"/>
    </row>
    <row r="18" spans="1:34" s="785" customFormat="1">
      <c r="A18" s="1223">
        <v>3</v>
      </c>
      <c r="B18" s="130" t="s">
        <v>695</v>
      </c>
      <c r="C18" s="500">
        <v>361762</v>
      </c>
      <c r="D18" s="500">
        <f>C18/3</f>
        <v>120587.33333333333</v>
      </c>
      <c r="E18" s="511">
        <v>3</v>
      </c>
      <c r="F18" s="500">
        <f>D18*E18</f>
        <v>361762</v>
      </c>
      <c r="G18" s="500">
        <v>241571.63</v>
      </c>
      <c r="H18" s="500" t="s">
        <v>694</v>
      </c>
      <c r="I18" s="500">
        <f>W18</f>
        <v>361762</v>
      </c>
      <c r="J18" s="500"/>
      <c r="K18" s="500"/>
      <c r="L18" s="500">
        <f>I18-J18+K18</f>
        <v>361762</v>
      </c>
      <c r="M18" s="500"/>
      <c r="N18" s="500">
        <v>241571.63</v>
      </c>
      <c r="O18" s="511">
        <v>3</v>
      </c>
      <c r="P18" s="500">
        <f>O18*U18</f>
        <v>361762</v>
      </c>
      <c r="Q18" s="500"/>
      <c r="R18" s="502">
        <v>232371.0741648018</v>
      </c>
      <c r="S18" s="502">
        <f>P18-R18</f>
        <v>129390.9258351982</v>
      </c>
      <c r="T18" s="502">
        <f t="shared" si="0"/>
        <v>0</v>
      </c>
      <c r="U18" s="500">
        <f t="shared" si="1"/>
        <v>120587.33333333333</v>
      </c>
      <c r="V18" s="511">
        <f t="shared" si="1"/>
        <v>3</v>
      </c>
      <c r="W18" s="500">
        <f>U18*V18</f>
        <v>361762</v>
      </c>
      <c r="X18" s="500">
        <v>361762</v>
      </c>
      <c r="Y18" s="500">
        <v>241571.63</v>
      </c>
      <c r="Z18" s="500">
        <v>361762</v>
      </c>
      <c r="AA18" s="502">
        <v>232371.0741648018</v>
      </c>
      <c r="AB18" s="891">
        <f>F18</f>
        <v>361762</v>
      </c>
      <c r="AC18" s="1784"/>
      <c r="AD18" s="1784"/>
      <c r="AE18" s="1784"/>
      <c r="AF18" s="1784"/>
      <c r="AG18" s="1784"/>
      <c r="AH18" s="1794"/>
    </row>
    <row r="19" spans="1:34" s="785" customFormat="1">
      <c r="A19" s="1223">
        <v>13</v>
      </c>
      <c r="B19" s="130" t="s">
        <v>693</v>
      </c>
      <c r="C19" s="502">
        <v>209305</v>
      </c>
      <c r="D19" s="500">
        <f>C19/135</f>
        <v>1550.4074074074074</v>
      </c>
      <c r="E19" s="511">
        <v>135</v>
      </c>
      <c r="F19" s="500">
        <f>D19*E19</f>
        <v>209305</v>
      </c>
      <c r="G19" s="797"/>
      <c r="H19" s="797"/>
      <c r="I19" s="500">
        <f>W19</f>
        <v>209305</v>
      </c>
      <c r="J19" s="797"/>
      <c r="K19" s="797"/>
      <c r="L19" s="500">
        <f>I19-J19+K19</f>
        <v>209305</v>
      </c>
      <c r="M19" s="797"/>
      <c r="N19" s="797"/>
      <c r="O19" s="511">
        <v>135</v>
      </c>
      <c r="P19" s="500">
        <f>O19*U19</f>
        <v>209305</v>
      </c>
      <c r="Q19" s="797"/>
      <c r="R19" s="797">
        <v>134443.16340042304</v>
      </c>
      <c r="S19" s="502">
        <f>P19-R19</f>
        <v>74861.836599576956</v>
      </c>
      <c r="T19" s="502">
        <f t="shared" si="0"/>
        <v>0</v>
      </c>
      <c r="U19" s="500">
        <f t="shared" si="1"/>
        <v>1550.4074074074074</v>
      </c>
      <c r="V19" s="511">
        <f t="shared" si="1"/>
        <v>135</v>
      </c>
      <c r="W19" s="500">
        <f>U19*V19</f>
        <v>209305</v>
      </c>
      <c r="X19" s="500">
        <v>209305</v>
      </c>
      <c r="Y19" s="797"/>
      <c r="Z19" s="500">
        <v>209305</v>
      </c>
      <c r="AA19" s="797">
        <v>134443.16340042304</v>
      </c>
      <c r="AB19" s="891">
        <f>F19</f>
        <v>209305</v>
      </c>
      <c r="AC19" s="1784"/>
      <c r="AD19" s="1784"/>
      <c r="AE19" s="1784"/>
      <c r="AF19" s="1784"/>
      <c r="AG19" s="1784"/>
      <c r="AH19" s="1794"/>
    </row>
    <row r="20" spans="1:34" s="785" customFormat="1">
      <c r="A20" s="1223">
        <v>21</v>
      </c>
      <c r="B20" s="130" t="s">
        <v>692</v>
      </c>
      <c r="C20" s="502">
        <v>72352</v>
      </c>
      <c r="D20" s="500">
        <f>C20/7</f>
        <v>10336</v>
      </c>
      <c r="E20" s="511">
        <v>7</v>
      </c>
      <c r="F20" s="500">
        <f>D20*E20</f>
        <v>72352</v>
      </c>
      <c r="G20" s="797"/>
      <c r="H20" s="797"/>
      <c r="I20" s="797">
        <f>W20</f>
        <v>72352</v>
      </c>
      <c r="J20" s="797"/>
      <c r="K20" s="797"/>
      <c r="L20" s="500">
        <f>I20-J20+K20</f>
        <v>72352</v>
      </c>
      <c r="M20" s="797"/>
      <c r="N20" s="797"/>
      <c r="O20" s="511">
        <v>7</v>
      </c>
      <c r="P20" s="500">
        <f>O20*U20</f>
        <v>72352</v>
      </c>
      <c r="Q20" s="797"/>
      <c r="R20" s="797">
        <v>46473.957900419999</v>
      </c>
      <c r="S20" s="502">
        <f>P20-R20</f>
        <v>25878.042099580001</v>
      </c>
      <c r="T20" s="502">
        <f t="shared" si="0"/>
        <v>0</v>
      </c>
      <c r="U20" s="500">
        <f t="shared" si="1"/>
        <v>10336</v>
      </c>
      <c r="V20" s="511">
        <f t="shared" si="1"/>
        <v>7</v>
      </c>
      <c r="W20" s="500">
        <f>U20*V20</f>
        <v>72352</v>
      </c>
      <c r="X20" s="500">
        <v>72352</v>
      </c>
      <c r="Y20" s="797"/>
      <c r="Z20" s="500">
        <v>72352</v>
      </c>
      <c r="AA20" s="797">
        <v>46473.957900419999</v>
      </c>
      <c r="AB20" s="891">
        <f>F20</f>
        <v>72352</v>
      </c>
      <c r="AC20" s="1784"/>
      <c r="AD20" s="1784"/>
      <c r="AE20" s="1784"/>
      <c r="AF20" s="1784"/>
      <c r="AG20" s="1784"/>
      <c r="AH20" s="1794"/>
    </row>
    <row r="21" spans="1:34" s="785" customFormat="1">
      <c r="A21" s="1223">
        <v>23</v>
      </c>
      <c r="B21" s="130" t="s">
        <v>691</v>
      </c>
      <c r="C21" s="502">
        <v>18088</v>
      </c>
      <c r="D21" s="500">
        <f>C21/350</f>
        <v>51.68</v>
      </c>
      <c r="E21" s="511">
        <v>350</v>
      </c>
      <c r="F21" s="500">
        <f>D21*E21</f>
        <v>18088</v>
      </c>
      <c r="G21" s="797"/>
      <c r="H21" s="797"/>
      <c r="I21" s="500">
        <f>W21</f>
        <v>18088</v>
      </c>
      <c r="J21" s="797"/>
      <c r="K21" s="797"/>
      <c r="L21" s="500">
        <f>I21-J21+K21</f>
        <v>18088</v>
      </c>
      <c r="M21" s="797"/>
      <c r="N21" s="797"/>
      <c r="O21" s="511">
        <v>350</v>
      </c>
      <c r="P21" s="500">
        <f>O21*U21</f>
        <v>18088</v>
      </c>
      <c r="Q21" s="797"/>
      <c r="R21" s="797">
        <v>11618.489475105</v>
      </c>
      <c r="S21" s="502">
        <f>P21-R21</f>
        <v>6469.5105248950003</v>
      </c>
      <c r="T21" s="502">
        <f t="shared" si="0"/>
        <v>0</v>
      </c>
      <c r="U21" s="500">
        <f t="shared" si="1"/>
        <v>51.68</v>
      </c>
      <c r="V21" s="511">
        <f t="shared" si="1"/>
        <v>350</v>
      </c>
      <c r="W21" s="500">
        <f>U21*V21</f>
        <v>18088</v>
      </c>
      <c r="X21" s="500">
        <v>18088</v>
      </c>
      <c r="Y21" s="797"/>
      <c r="Z21" s="500">
        <v>18088</v>
      </c>
      <c r="AA21" s="797">
        <v>11618.489475105</v>
      </c>
      <c r="AB21" s="891">
        <f>F21</f>
        <v>18088</v>
      </c>
      <c r="AC21" s="1784"/>
      <c r="AD21" s="1784"/>
      <c r="AE21" s="1784"/>
      <c r="AF21" s="1784"/>
      <c r="AG21" s="1784"/>
      <c r="AH21" s="1794"/>
    </row>
    <row r="22" spans="1:34" s="12" customFormat="1" ht="12.75">
      <c r="A22" s="815"/>
      <c r="B22" s="811"/>
      <c r="C22" s="502"/>
      <c r="D22" s="797"/>
      <c r="E22" s="511"/>
      <c r="F22" s="500"/>
      <c r="G22" s="797"/>
      <c r="H22" s="797"/>
      <c r="I22" s="797"/>
      <c r="J22" s="797"/>
      <c r="K22" s="797"/>
      <c r="L22" s="500"/>
      <c r="M22" s="797"/>
      <c r="N22" s="797"/>
      <c r="O22" s="797"/>
      <c r="P22" s="797"/>
      <c r="Q22" s="797"/>
      <c r="R22" s="1795"/>
      <c r="S22" s="502"/>
      <c r="T22" s="502">
        <f t="shared" si="0"/>
        <v>0</v>
      </c>
      <c r="U22" s="797"/>
      <c r="V22" s="511"/>
      <c r="W22" s="500"/>
      <c r="X22" s="500"/>
      <c r="Y22" s="797"/>
      <c r="Z22" s="797"/>
      <c r="AA22" s="797"/>
      <c r="AB22" s="891"/>
      <c r="AC22" s="788"/>
      <c r="AD22" s="788"/>
      <c r="AE22" s="788"/>
      <c r="AF22" s="788"/>
      <c r="AG22" s="788"/>
      <c r="AH22" s="787"/>
    </row>
    <row r="23" spans="1:34" s="12" customFormat="1" ht="12.75">
      <c r="A23" s="815"/>
      <c r="B23" s="811"/>
      <c r="C23" s="502"/>
      <c r="D23" s="797"/>
      <c r="E23" s="511"/>
      <c r="F23" s="500"/>
      <c r="G23" s="797"/>
      <c r="H23" s="797"/>
      <c r="I23" s="797"/>
      <c r="J23" s="797"/>
      <c r="K23" s="797"/>
      <c r="L23" s="500"/>
      <c r="M23" s="797"/>
      <c r="N23" s="797"/>
      <c r="O23" s="797"/>
      <c r="P23" s="797"/>
      <c r="Q23" s="797"/>
      <c r="R23" s="797"/>
      <c r="S23" s="502">
        <f t="shared" ref="S23:S49" si="2">P23-R23</f>
        <v>0</v>
      </c>
      <c r="T23" s="502">
        <f t="shared" si="0"/>
        <v>0</v>
      </c>
      <c r="U23" s="797"/>
      <c r="V23" s="511"/>
      <c r="W23" s="500"/>
      <c r="X23" s="500"/>
      <c r="Y23" s="797"/>
      <c r="Z23" s="797"/>
      <c r="AA23" s="797"/>
      <c r="AB23" s="891"/>
      <c r="AC23" s="788"/>
      <c r="AD23" s="788"/>
      <c r="AE23" s="788"/>
      <c r="AF23" s="788"/>
      <c r="AG23" s="788"/>
      <c r="AH23" s="787"/>
    </row>
    <row r="24" spans="1:34" s="12" customFormat="1" ht="12.75">
      <c r="A24" s="815"/>
      <c r="B24" s="811"/>
      <c r="C24" s="502"/>
      <c r="D24" s="797"/>
      <c r="E24" s="511"/>
      <c r="F24" s="500"/>
      <c r="G24" s="797"/>
      <c r="H24" s="797"/>
      <c r="I24" s="797"/>
      <c r="J24" s="797"/>
      <c r="K24" s="797"/>
      <c r="L24" s="500"/>
      <c r="M24" s="797"/>
      <c r="N24" s="797"/>
      <c r="O24" s="797"/>
      <c r="P24" s="797"/>
      <c r="Q24" s="797"/>
      <c r="R24" s="797"/>
      <c r="S24" s="502">
        <f t="shared" si="2"/>
        <v>0</v>
      </c>
      <c r="T24" s="502">
        <f t="shared" si="0"/>
        <v>0</v>
      </c>
      <c r="U24" s="797"/>
      <c r="V24" s="511"/>
      <c r="W24" s="500"/>
      <c r="X24" s="500"/>
      <c r="Y24" s="797"/>
      <c r="Z24" s="797"/>
      <c r="AA24" s="797"/>
      <c r="AB24" s="891"/>
      <c r="AC24" s="788"/>
      <c r="AD24" s="788"/>
      <c r="AE24" s="788"/>
      <c r="AF24" s="788"/>
      <c r="AG24" s="788"/>
      <c r="AH24" s="787"/>
    </row>
    <row r="25" spans="1:34" s="12" customFormat="1" ht="12.75">
      <c r="A25" s="815"/>
      <c r="B25" s="811"/>
      <c r="C25" s="797"/>
      <c r="D25" s="797"/>
      <c r="E25" s="511"/>
      <c r="F25" s="500"/>
      <c r="G25" s="797"/>
      <c r="H25" s="797"/>
      <c r="I25" s="797"/>
      <c r="J25" s="797"/>
      <c r="K25" s="797"/>
      <c r="L25" s="500"/>
      <c r="M25" s="797"/>
      <c r="N25" s="797"/>
      <c r="O25" s="797"/>
      <c r="P25" s="797"/>
      <c r="Q25" s="797"/>
      <c r="R25" s="797"/>
      <c r="S25" s="502">
        <f t="shared" si="2"/>
        <v>0</v>
      </c>
      <c r="T25" s="502">
        <f t="shared" si="0"/>
        <v>0</v>
      </c>
      <c r="U25" s="797"/>
      <c r="V25" s="511"/>
      <c r="W25" s="500"/>
      <c r="X25" s="500"/>
      <c r="Y25" s="797"/>
      <c r="Z25" s="797"/>
      <c r="AA25" s="797"/>
      <c r="AB25" s="891"/>
      <c r="AC25" s="788"/>
      <c r="AD25" s="788"/>
      <c r="AE25" s="788"/>
      <c r="AF25" s="788"/>
      <c r="AG25" s="788"/>
      <c r="AH25" s="787"/>
    </row>
    <row r="26" spans="1:34" s="12" customFormat="1" ht="12.75">
      <c r="A26" s="815"/>
      <c r="B26" s="811"/>
      <c r="C26" s="797"/>
      <c r="D26" s="797"/>
      <c r="E26" s="511"/>
      <c r="F26" s="500"/>
      <c r="G26" s="797"/>
      <c r="H26" s="797"/>
      <c r="I26" s="797"/>
      <c r="J26" s="797"/>
      <c r="K26" s="797"/>
      <c r="L26" s="500"/>
      <c r="M26" s="797"/>
      <c r="N26" s="797"/>
      <c r="O26" s="797"/>
      <c r="P26" s="797"/>
      <c r="Q26" s="797"/>
      <c r="R26" s="797"/>
      <c r="S26" s="502">
        <f t="shared" si="2"/>
        <v>0</v>
      </c>
      <c r="T26" s="502">
        <f t="shared" si="0"/>
        <v>0</v>
      </c>
      <c r="U26" s="797"/>
      <c r="V26" s="511"/>
      <c r="W26" s="500"/>
      <c r="X26" s="500"/>
      <c r="Y26" s="797"/>
      <c r="Z26" s="797"/>
      <c r="AA26" s="797"/>
      <c r="AB26" s="891"/>
      <c r="AC26" s="788"/>
      <c r="AD26" s="788"/>
      <c r="AE26" s="788"/>
      <c r="AF26" s="788"/>
      <c r="AG26" s="788"/>
      <c r="AH26" s="787"/>
    </row>
    <row r="27" spans="1:34" s="12" customFormat="1" ht="12.75">
      <c r="A27" s="815"/>
      <c r="B27" s="812"/>
      <c r="C27" s="500"/>
      <c r="D27" s="502"/>
      <c r="E27" s="511"/>
      <c r="F27" s="500"/>
      <c r="G27" s="500"/>
      <c r="H27" s="500"/>
      <c r="I27" s="1795"/>
      <c r="J27" s="797"/>
      <c r="K27" s="797"/>
      <c r="L27" s="500"/>
      <c r="M27" s="797"/>
      <c r="N27" s="797"/>
      <c r="O27" s="797"/>
      <c r="P27" s="797"/>
      <c r="Q27" s="797"/>
      <c r="R27" s="797"/>
      <c r="S27" s="502">
        <f t="shared" si="2"/>
        <v>0</v>
      </c>
      <c r="T27" s="502">
        <f t="shared" si="0"/>
        <v>0</v>
      </c>
      <c r="U27" s="797"/>
      <c r="V27" s="511"/>
      <c r="W27" s="500"/>
      <c r="X27" s="500"/>
      <c r="Y27" s="797"/>
      <c r="Z27" s="797"/>
      <c r="AA27" s="797"/>
      <c r="AB27" s="889"/>
      <c r="AC27" s="788"/>
      <c r="AD27" s="788"/>
      <c r="AE27" s="788"/>
      <c r="AF27" s="788"/>
      <c r="AG27" s="788"/>
      <c r="AH27" s="787"/>
    </row>
    <row r="28" spans="1:34" s="12" customFormat="1" ht="12.75">
      <c r="A28" s="815"/>
      <c r="B28" s="812"/>
      <c r="C28" s="502"/>
      <c r="D28" s="502"/>
      <c r="E28" s="511"/>
      <c r="F28" s="500"/>
      <c r="G28" s="500"/>
      <c r="H28" s="500"/>
      <c r="I28" s="500"/>
      <c r="J28" s="797"/>
      <c r="K28" s="797"/>
      <c r="L28" s="500"/>
      <c r="M28" s="797"/>
      <c r="N28" s="797"/>
      <c r="O28" s="797"/>
      <c r="P28" s="797"/>
      <c r="Q28" s="797"/>
      <c r="R28" s="797"/>
      <c r="S28" s="502">
        <f t="shared" si="2"/>
        <v>0</v>
      </c>
      <c r="T28" s="502">
        <f t="shared" si="0"/>
        <v>0</v>
      </c>
      <c r="U28" s="797"/>
      <c r="V28" s="511"/>
      <c r="W28" s="500"/>
      <c r="X28" s="500"/>
      <c r="Y28" s="797"/>
      <c r="Z28" s="797"/>
      <c r="AA28" s="797"/>
      <c r="AB28" s="889"/>
      <c r="AC28" s="788"/>
      <c r="AD28" s="788"/>
      <c r="AE28" s="788"/>
      <c r="AF28" s="788"/>
      <c r="AG28" s="788"/>
      <c r="AH28" s="787"/>
    </row>
    <row r="29" spans="1:34" s="12" customFormat="1" ht="12.75">
      <c r="A29" s="815"/>
      <c r="B29" s="812"/>
      <c r="C29" s="1429"/>
      <c r="D29" s="1429"/>
      <c r="E29" s="511"/>
      <c r="F29" s="500"/>
      <c r="G29" s="500"/>
      <c r="H29" s="500"/>
      <c r="I29" s="500"/>
      <c r="J29" s="797"/>
      <c r="K29" s="797"/>
      <c r="L29" s="500"/>
      <c r="M29" s="797"/>
      <c r="N29" s="797"/>
      <c r="O29" s="797"/>
      <c r="P29" s="797"/>
      <c r="Q29" s="797"/>
      <c r="R29" s="797"/>
      <c r="S29" s="502">
        <f t="shared" si="2"/>
        <v>0</v>
      </c>
      <c r="T29" s="502">
        <f t="shared" si="0"/>
        <v>0</v>
      </c>
      <c r="U29" s="797"/>
      <c r="V29" s="511"/>
      <c r="W29" s="500"/>
      <c r="X29" s="500"/>
      <c r="Y29" s="797"/>
      <c r="Z29" s="797"/>
      <c r="AA29" s="797"/>
      <c r="AB29" s="891"/>
      <c r="AC29" s="788"/>
      <c r="AD29" s="788"/>
      <c r="AE29" s="788"/>
      <c r="AF29" s="788"/>
      <c r="AG29" s="788"/>
      <c r="AH29" s="787"/>
    </row>
    <row r="30" spans="1:34" s="12" customFormat="1" ht="12.75">
      <c r="A30" s="815"/>
      <c r="B30" s="812"/>
      <c r="C30" s="500"/>
      <c r="D30" s="500"/>
      <c r="E30" s="511"/>
      <c r="F30" s="500"/>
      <c r="G30" s="500"/>
      <c r="H30" s="500"/>
      <c r="I30" s="500"/>
      <c r="J30" s="797"/>
      <c r="K30" s="797"/>
      <c r="L30" s="500"/>
      <c r="M30" s="797"/>
      <c r="N30" s="797"/>
      <c r="O30" s="797"/>
      <c r="P30" s="797"/>
      <c r="Q30" s="797"/>
      <c r="R30" s="797"/>
      <c r="S30" s="502">
        <f t="shared" si="2"/>
        <v>0</v>
      </c>
      <c r="T30" s="502">
        <f t="shared" si="0"/>
        <v>0</v>
      </c>
      <c r="U30" s="797"/>
      <c r="V30" s="511"/>
      <c r="W30" s="500"/>
      <c r="X30" s="500"/>
      <c r="Y30" s="797"/>
      <c r="Z30" s="797"/>
      <c r="AA30" s="797"/>
      <c r="AB30" s="891"/>
      <c r="AC30" s="788"/>
      <c r="AD30" s="788"/>
      <c r="AE30" s="788"/>
      <c r="AF30" s="788"/>
      <c r="AG30" s="788"/>
      <c r="AH30" s="787"/>
    </row>
    <row r="31" spans="1:34" s="12" customFormat="1" ht="12.75">
      <c r="A31" s="815"/>
      <c r="B31" s="812"/>
      <c r="C31" s="502"/>
      <c r="D31" s="797"/>
      <c r="E31" s="511"/>
      <c r="F31" s="500"/>
      <c r="G31" s="500"/>
      <c r="H31" s="500"/>
      <c r="I31" s="500"/>
      <c r="J31" s="797"/>
      <c r="K31" s="797"/>
      <c r="L31" s="500"/>
      <c r="M31" s="797"/>
      <c r="N31" s="797"/>
      <c r="O31" s="797"/>
      <c r="P31" s="797"/>
      <c r="Q31" s="797"/>
      <c r="R31" s="797"/>
      <c r="S31" s="502">
        <f t="shared" si="2"/>
        <v>0</v>
      </c>
      <c r="T31" s="502">
        <f t="shared" si="0"/>
        <v>0</v>
      </c>
      <c r="U31" s="797"/>
      <c r="V31" s="511"/>
      <c r="W31" s="500"/>
      <c r="X31" s="500"/>
      <c r="Y31" s="797"/>
      <c r="Z31" s="797"/>
      <c r="AA31" s="797"/>
      <c r="AB31" s="891"/>
      <c r="AC31" s="788"/>
      <c r="AD31" s="788"/>
      <c r="AE31" s="788"/>
      <c r="AF31" s="788"/>
      <c r="AG31" s="788"/>
      <c r="AH31" s="787"/>
    </row>
    <row r="32" spans="1:34" s="12" customFormat="1" ht="12.75">
      <c r="A32" s="815"/>
      <c r="B32" s="812"/>
      <c r="C32" s="502"/>
      <c r="D32" s="500"/>
      <c r="E32" s="511"/>
      <c r="F32" s="500"/>
      <c r="G32" s="797"/>
      <c r="H32" s="797"/>
      <c r="I32" s="1795"/>
      <c r="J32" s="797"/>
      <c r="K32" s="797"/>
      <c r="L32" s="500"/>
      <c r="M32" s="797"/>
      <c r="N32" s="797"/>
      <c r="O32" s="797"/>
      <c r="P32" s="797"/>
      <c r="Q32" s="797"/>
      <c r="R32" s="797"/>
      <c r="S32" s="502">
        <f t="shared" si="2"/>
        <v>0</v>
      </c>
      <c r="T32" s="502">
        <f t="shared" si="0"/>
        <v>0</v>
      </c>
      <c r="U32" s="797"/>
      <c r="V32" s="511"/>
      <c r="W32" s="500"/>
      <c r="X32" s="500"/>
      <c r="Y32" s="797"/>
      <c r="Z32" s="797"/>
      <c r="AA32" s="797"/>
      <c r="AB32" s="891"/>
      <c r="AC32" s="788"/>
      <c r="AD32" s="788"/>
      <c r="AE32" s="788"/>
      <c r="AF32" s="788"/>
      <c r="AG32" s="788"/>
      <c r="AH32" s="787"/>
    </row>
    <row r="33" spans="1:34" s="12" customFormat="1" ht="12.75">
      <c r="A33" s="815"/>
      <c r="B33" s="812"/>
      <c r="C33" s="502"/>
      <c r="D33" s="502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502">
        <f t="shared" si="2"/>
        <v>0</v>
      </c>
      <c r="T33" s="502">
        <f t="shared" si="0"/>
        <v>0</v>
      </c>
      <c r="U33" s="797"/>
      <c r="V33" s="511"/>
      <c r="W33" s="500"/>
      <c r="X33" s="500"/>
      <c r="Y33" s="797"/>
      <c r="Z33" s="797"/>
      <c r="AA33" s="797"/>
      <c r="AB33" s="891"/>
      <c r="AC33" s="788"/>
      <c r="AD33" s="788"/>
      <c r="AE33" s="788"/>
      <c r="AF33" s="788"/>
      <c r="AG33" s="788"/>
      <c r="AH33" s="787"/>
    </row>
    <row r="34" spans="1:34" s="12" customFormat="1" ht="12.75">
      <c r="A34" s="815"/>
      <c r="B34" s="812"/>
      <c r="C34" s="502"/>
      <c r="D34" s="500"/>
      <c r="E34" s="511"/>
      <c r="F34" s="500"/>
      <c r="G34" s="797"/>
      <c r="H34" s="797"/>
      <c r="I34" s="1795"/>
      <c r="J34" s="797"/>
      <c r="K34" s="797"/>
      <c r="L34" s="500"/>
      <c r="M34" s="797"/>
      <c r="N34" s="797"/>
      <c r="O34" s="797"/>
      <c r="P34" s="797"/>
      <c r="Q34" s="797"/>
      <c r="R34" s="797"/>
      <c r="S34" s="502">
        <f t="shared" si="2"/>
        <v>0</v>
      </c>
      <c r="T34" s="502">
        <f t="shared" si="0"/>
        <v>0</v>
      </c>
      <c r="U34" s="797"/>
      <c r="V34" s="511"/>
      <c r="W34" s="500"/>
      <c r="X34" s="500"/>
      <c r="Y34" s="797"/>
      <c r="Z34" s="797"/>
      <c r="AA34" s="797"/>
      <c r="AB34" s="891"/>
      <c r="AC34" s="788"/>
      <c r="AD34" s="788"/>
      <c r="AE34" s="788"/>
      <c r="AF34" s="788"/>
      <c r="AG34" s="788"/>
      <c r="AH34" s="787"/>
    </row>
    <row r="35" spans="1:34" s="12" customFormat="1" ht="12.75">
      <c r="A35" s="815"/>
      <c r="B35" s="812"/>
      <c r="C35" s="502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502">
        <f t="shared" si="2"/>
        <v>0</v>
      </c>
      <c r="T35" s="502">
        <f t="shared" si="0"/>
        <v>0</v>
      </c>
      <c r="U35" s="797"/>
      <c r="V35" s="511"/>
      <c r="W35" s="500"/>
      <c r="X35" s="500"/>
      <c r="Y35" s="797"/>
      <c r="Z35" s="797"/>
      <c r="AA35" s="797"/>
      <c r="AB35" s="891"/>
      <c r="AC35" s="788"/>
      <c r="AD35" s="788"/>
      <c r="AE35" s="788"/>
      <c r="AF35" s="788"/>
      <c r="AG35" s="788"/>
      <c r="AH35" s="787"/>
    </row>
    <row r="36" spans="1:34" s="12" customFormat="1" ht="12.75">
      <c r="A36" s="815"/>
      <c r="B36" s="812"/>
      <c r="C36" s="502"/>
      <c r="D36" s="500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502">
        <f t="shared" si="2"/>
        <v>0</v>
      </c>
      <c r="T36" s="502">
        <f t="shared" si="0"/>
        <v>0</v>
      </c>
      <c r="U36" s="797"/>
      <c r="V36" s="511"/>
      <c r="W36" s="500"/>
      <c r="X36" s="500"/>
      <c r="Y36" s="797"/>
      <c r="Z36" s="797"/>
      <c r="AA36" s="797"/>
      <c r="AB36" s="891"/>
      <c r="AC36" s="788"/>
      <c r="AD36" s="788"/>
      <c r="AE36" s="788"/>
      <c r="AF36" s="788"/>
      <c r="AG36" s="788"/>
      <c r="AH36" s="787"/>
    </row>
    <row r="37" spans="1:34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/>
      <c r="Q37" s="797"/>
      <c r="R37" s="797"/>
      <c r="S37" s="502">
        <f t="shared" si="2"/>
        <v>0</v>
      </c>
      <c r="T37" s="502">
        <f t="shared" si="0"/>
        <v>0</v>
      </c>
      <c r="U37" s="797"/>
      <c r="V37" s="511"/>
      <c r="W37" s="500"/>
      <c r="X37" s="500"/>
      <c r="Y37" s="797"/>
      <c r="Z37" s="797"/>
      <c r="AA37" s="797"/>
      <c r="AB37" s="891"/>
      <c r="AC37" s="788"/>
      <c r="AD37" s="788"/>
      <c r="AE37" s="788"/>
      <c r="AF37" s="788"/>
      <c r="AG37" s="788"/>
      <c r="AH37" s="787"/>
    </row>
    <row r="38" spans="1:34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502">
        <f t="shared" si="2"/>
        <v>0</v>
      </c>
      <c r="T38" s="502">
        <f t="shared" si="0"/>
        <v>0</v>
      </c>
      <c r="U38" s="797"/>
      <c r="V38" s="511"/>
      <c r="W38" s="500"/>
      <c r="X38" s="500"/>
      <c r="Y38" s="797"/>
      <c r="Z38" s="797"/>
      <c r="AA38" s="797"/>
      <c r="AB38" s="891"/>
      <c r="AC38" s="788"/>
      <c r="AD38" s="788"/>
      <c r="AE38" s="788"/>
      <c r="AF38" s="788"/>
      <c r="AG38" s="788"/>
      <c r="AH38" s="787"/>
    </row>
    <row r="39" spans="1:34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502">
        <f t="shared" si="2"/>
        <v>0</v>
      </c>
      <c r="T39" s="502">
        <f t="shared" si="0"/>
        <v>0</v>
      </c>
      <c r="U39" s="797"/>
      <c r="V39" s="511"/>
      <c r="W39" s="500"/>
      <c r="X39" s="500"/>
      <c r="Y39" s="797"/>
      <c r="Z39" s="797"/>
      <c r="AA39" s="797"/>
      <c r="AB39" s="891"/>
      <c r="AC39" s="788"/>
      <c r="AD39" s="788"/>
      <c r="AE39" s="788"/>
      <c r="AF39" s="788"/>
      <c r="AG39" s="788"/>
      <c r="AH39" s="787"/>
    </row>
    <row r="40" spans="1:34" s="12" customFormat="1">
      <c r="A40" s="815"/>
      <c r="B40" s="814"/>
      <c r="C40" s="797"/>
      <c r="D40" s="797"/>
      <c r="E40" s="511"/>
      <c r="F40" s="797"/>
      <c r="G40" s="797"/>
      <c r="H40" s="797"/>
      <c r="I40" s="797"/>
      <c r="J40" s="797"/>
      <c r="K40" s="797"/>
      <c r="L40" s="797"/>
      <c r="M40" s="797"/>
      <c r="N40" s="797"/>
      <c r="O40" s="797"/>
      <c r="P40" s="797"/>
      <c r="Q40" s="797"/>
      <c r="R40" s="797">
        <v>0</v>
      </c>
      <c r="S40" s="502">
        <f t="shared" si="2"/>
        <v>0</v>
      </c>
      <c r="T40" s="502">
        <f t="shared" si="0"/>
        <v>0</v>
      </c>
      <c r="U40" s="797"/>
      <c r="V40" s="511"/>
      <c r="W40" s="797"/>
      <c r="X40" s="797"/>
      <c r="Y40" s="797"/>
      <c r="Z40" s="797"/>
      <c r="AA40" s="797"/>
      <c r="AB40" s="891"/>
      <c r="AC40" s="788"/>
      <c r="AD40" s="788"/>
      <c r="AE40" s="788"/>
      <c r="AF40" s="788"/>
      <c r="AG40" s="788"/>
      <c r="AH40" s="787"/>
    </row>
    <row r="41" spans="1:34" s="12" customFormat="1">
      <c r="A41" s="815"/>
      <c r="B41" s="814"/>
      <c r="C41" s="797"/>
      <c r="D41" s="797"/>
      <c r="E41" s="511"/>
      <c r="F41" s="797"/>
      <c r="G41" s="797"/>
      <c r="H41" s="797"/>
      <c r="I41" s="797"/>
      <c r="J41" s="797"/>
      <c r="K41" s="797"/>
      <c r="L41" s="797"/>
      <c r="M41" s="797"/>
      <c r="N41" s="797"/>
      <c r="O41" s="797"/>
      <c r="P41" s="797"/>
      <c r="Q41" s="797"/>
      <c r="R41" s="797">
        <v>0</v>
      </c>
      <c r="S41" s="502">
        <f t="shared" si="2"/>
        <v>0</v>
      </c>
      <c r="T41" s="502">
        <f t="shared" si="0"/>
        <v>0</v>
      </c>
      <c r="U41" s="797"/>
      <c r="V41" s="511"/>
      <c r="W41" s="797"/>
      <c r="X41" s="797"/>
      <c r="Y41" s="797"/>
      <c r="Z41" s="797"/>
      <c r="AA41" s="797"/>
      <c r="AB41" s="891"/>
      <c r="AC41" s="788"/>
      <c r="AD41" s="788"/>
      <c r="AE41" s="788"/>
      <c r="AF41" s="788"/>
      <c r="AG41" s="788"/>
      <c r="AH41" s="787"/>
    </row>
    <row r="42" spans="1:34" s="12" customFormat="1">
      <c r="A42" s="821"/>
      <c r="B42" s="817"/>
      <c r="C42" s="797"/>
      <c r="D42" s="797"/>
      <c r="E42" s="511"/>
      <c r="F42" s="797"/>
      <c r="G42" s="797"/>
      <c r="H42" s="797"/>
      <c r="I42" s="797"/>
      <c r="J42" s="797"/>
      <c r="K42" s="797"/>
      <c r="L42" s="797"/>
      <c r="M42" s="797"/>
      <c r="N42" s="797"/>
      <c r="O42" s="797"/>
      <c r="P42" s="797"/>
      <c r="Q42" s="797"/>
      <c r="R42" s="797"/>
      <c r="S42" s="502">
        <f t="shared" si="2"/>
        <v>0</v>
      </c>
      <c r="T42" s="502">
        <f t="shared" si="0"/>
        <v>0</v>
      </c>
      <c r="U42" s="797"/>
      <c r="V42" s="511"/>
      <c r="W42" s="797"/>
      <c r="X42" s="797"/>
      <c r="Y42" s="797"/>
      <c r="Z42" s="797"/>
      <c r="AA42" s="797"/>
      <c r="AB42" s="891"/>
      <c r="AC42" s="788"/>
      <c r="AD42" s="788"/>
      <c r="AE42" s="788"/>
      <c r="AF42" s="788"/>
      <c r="AG42" s="788"/>
      <c r="AH42" s="787"/>
    </row>
    <row r="43" spans="1:34" s="12" customFormat="1">
      <c r="A43" s="821"/>
      <c r="B43" s="817"/>
      <c r="C43" s="797"/>
      <c r="D43" s="797"/>
      <c r="E43" s="511"/>
      <c r="F43" s="797"/>
      <c r="G43" s="797"/>
      <c r="H43" s="797"/>
      <c r="I43" s="797"/>
      <c r="J43" s="797"/>
      <c r="K43" s="797"/>
      <c r="L43" s="797"/>
      <c r="M43" s="797"/>
      <c r="N43" s="797"/>
      <c r="O43" s="797"/>
      <c r="P43" s="797"/>
      <c r="Q43" s="797"/>
      <c r="R43" s="797"/>
      <c r="S43" s="502">
        <f t="shared" si="2"/>
        <v>0</v>
      </c>
      <c r="T43" s="502"/>
      <c r="U43" s="797"/>
      <c r="V43" s="511"/>
      <c r="W43" s="797"/>
      <c r="X43" s="797"/>
      <c r="Y43" s="797"/>
      <c r="Z43" s="797"/>
      <c r="AA43" s="797"/>
      <c r="AB43" s="891"/>
      <c r="AC43" s="788"/>
      <c r="AD43" s="788"/>
      <c r="AE43" s="788"/>
      <c r="AF43" s="788"/>
      <c r="AG43" s="788"/>
      <c r="AH43" s="787"/>
    </row>
    <row r="44" spans="1:34" s="12" customFormat="1">
      <c r="A44" s="821"/>
      <c r="B44" s="817"/>
      <c r="C44" s="797"/>
      <c r="D44" s="797"/>
      <c r="E44" s="511"/>
      <c r="F44" s="797"/>
      <c r="G44" s="797"/>
      <c r="H44" s="797"/>
      <c r="I44" s="797"/>
      <c r="J44" s="797"/>
      <c r="K44" s="797"/>
      <c r="L44" s="797"/>
      <c r="M44" s="797"/>
      <c r="N44" s="797"/>
      <c r="O44" s="797"/>
      <c r="P44" s="797"/>
      <c r="Q44" s="797"/>
      <c r="R44" s="797"/>
      <c r="S44" s="502">
        <f t="shared" si="2"/>
        <v>0</v>
      </c>
      <c r="T44" s="502"/>
      <c r="U44" s="797"/>
      <c r="V44" s="511"/>
      <c r="W44" s="797"/>
      <c r="X44" s="797"/>
      <c r="Y44" s="797"/>
      <c r="Z44" s="797"/>
      <c r="AA44" s="797"/>
      <c r="AB44" s="891"/>
      <c r="AC44" s="788"/>
      <c r="AD44" s="788"/>
      <c r="AE44" s="788"/>
      <c r="AF44" s="788"/>
      <c r="AG44" s="788"/>
      <c r="AH44" s="787"/>
    </row>
    <row r="45" spans="1:34" s="12" customFormat="1">
      <c r="A45" s="821"/>
      <c r="B45" s="817"/>
      <c r="C45" s="797"/>
      <c r="D45" s="797"/>
      <c r="E45" s="511"/>
      <c r="F45" s="797"/>
      <c r="G45" s="797"/>
      <c r="H45" s="797"/>
      <c r="I45" s="797"/>
      <c r="J45" s="797"/>
      <c r="K45" s="797"/>
      <c r="L45" s="797"/>
      <c r="M45" s="797"/>
      <c r="N45" s="797"/>
      <c r="O45" s="797"/>
      <c r="P45" s="797"/>
      <c r="Q45" s="797"/>
      <c r="R45" s="797"/>
      <c r="S45" s="502">
        <f t="shared" si="2"/>
        <v>0</v>
      </c>
      <c r="T45" s="502"/>
      <c r="U45" s="797"/>
      <c r="V45" s="511"/>
      <c r="W45" s="797"/>
      <c r="X45" s="797"/>
      <c r="Y45" s="797"/>
      <c r="Z45" s="797"/>
      <c r="AA45" s="797"/>
      <c r="AB45" s="891"/>
      <c r="AC45" s="788"/>
      <c r="AD45" s="788"/>
      <c r="AE45" s="788"/>
      <c r="AF45" s="788"/>
      <c r="AG45" s="788"/>
      <c r="AH45" s="787"/>
    </row>
    <row r="46" spans="1:34" s="12" customFormat="1">
      <c r="A46" s="821"/>
      <c r="B46" s="817"/>
      <c r="C46" s="797"/>
      <c r="D46" s="797"/>
      <c r="E46" s="511"/>
      <c r="F46" s="797"/>
      <c r="G46" s="797"/>
      <c r="H46" s="797"/>
      <c r="I46" s="797"/>
      <c r="J46" s="797"/>
      <c r="K46" s="797"/>
      <c r="L46" s="797"/>
      <c r="M46" s="797"/>
      <c r="N46" s="797"/>
      <c r="O46" s="797"/>
      <c r="P46" s="797"/>
      <c r="Q46" s="797"/>
      <c r="R46" s="797"/>
      <c r="S46" s="502">
        <f t="shared" si="2"/>
        <v>0</v>
      </c>
      <c r="T46" s="502"/>
      <c r="U46" s="797"/>
      <c r="V46" s="511"/>
      <c r="W46" s="797"/>
      <c r="X46" s="797"/>
      <c r="Y46" s="797"/>
      <c r="Z46" s="797"/>
      <c r="AA46" s="797"/>
      <c r="AB46" s="891"/>
      <c r="AC46" s="788"/>
      <c r="AD46" s="788"/>
      <c r="AE46" s="788"/>
      <c r="AF46" s="788"/>
      <c r="AG46" s="788"/>
      <c r="AH46" s="787"/>
    </row>
    <row r="47" spans="1:34" s="12" customFormat="1">
      <c r="A47" s="821"/>
      <c r="B47" s="817"/>
      <c r="C47" s="797"/>
      <c r="D47" s="797"/>
      <c r="E47" s="511"/>
      <c r="F47" s="797"/>
      <c r="G47" s="797"/>
      <c r="H47" s="797"/>
      <c r="I47" s="797"/>
      <c r="J47" s="797"/>
      <c r="K47" s="797"/>
      <c r="L47" s="797"/>
      <c r="M47" s="797"/>
      <c r="N47" s="797"/>
      <c r="O47" s="797"/>
      <c r="P47" s="797"/>
      <c r="Q47" s="797"/>
      <c r="R47" s="797"/>
      <c r="S47" s="502">
        <f t="shared" si="2"/>
        <v>0</v>
      </c>
      <c r="T47" s="502">
        <f t="shared" ref="T47:T54" si="3">W47-L47</f>
        <v>0</v>
      </c>
      <c r="U47" s="797"/>
      <c r="V47" s="511"/>
      <c r="W47" s="797"/>
      <c r="X47" s="797"/>
      <c r="Y47" s="797"/>
      <c r="Z47" s="797"/>
      <c r="AA47" s="797"/>
      <c r="AB47" s="891"/>
      <c r="AC47" s="788"/>
      <c r="AD47" s="788"/>
      <c r="AE47" s="788"/>
      <c r="AF47" s="788"/>
      <c r="AG47" s="788"/>
      <c r="AH47" s="787"/>
    </row>
    <row r="48" spans="1:34" s="12" customFormat="1">
      <c r="A48" s="821"/>
      <c r="B48" s="817"/>
      <c r="C48" s="797"/>
      <c r="D48" s="797"/>
      <c r="E48" s="511"/>
      <c r="F48" s="797"/>
      <c r="G48" s="797"/>
      <c r="H48" s="797"/>
      <c r="I48" s="797"/>
      <c r="J48" s="797"/>
      <c r="K48" s="797"/>
      <c r="L48" s="797"/>
      <c r="M48" s="797"/>
      <c r="N48" s="797"/>
      <c r="O48" s="797"/>
      <c r="P48" s="797"/>
      <c r="Q48" s="797"/>
      <c r="R48" s="797"/>
      <c r="S48" s="502">
        <f t="shared" si="2"/>
        <v>0</v>
      </c>
      <c r="T48" s="502">
        <f t="shared" si="3"/>
        <v>0</v>
      </c>
      <c r="U48" s="797"/>
      <c r="V48" s="511"/>
      <c r="W48" s="797"/>
      <c r="X48" s="797"/>
      <c r="Y48" s="797"/>
      <c r="Z48" s="797"/>
      <c r="AA48" s="797"/>
      <c r="AB48" s="891"/>
      <c r="AC48" s="788"/>
      <c r="AD48" s="788"/>
      <c r="AE48" s="788"/>
      <c r="AF48" s="788"/>
      <c r="AG48" s="788"/>
      <c r="AH48" s="787"/>
    </row>
    <row r="49" spans="1:34" s="12" customFormat="1">
      <c r="A49" s="815"/>
      <c r="B49" s="814" t="s">
        <v>690</v>
      </c>
      <c r="C49" s="797"/>
      <c r="D49" s="797"/>
      <c r="E49" s="511"/>
      <c r="F49" s="797"/>
      <c r="G49" s="797"/>
      <c r="H49" s="797"/>
      <c r="I49" s="797"/>
      <c r="J49" s="797"/>
      <c r="K49" s="797"/>
      <c r="L49" s="797"/>
      <c r="M49" s="797"/>
      <c r="N49" s="797"/>
      <c r="O49" s="797"/>
      <c r="P49" s="797">
        <v>-25274.3658928861</v>
      </c>
      <c r="Q49" s="797"/>
      <c r="R49" s="797"/>
      <c r="S49" s="502">
        <f t="shared" si="2"/>
        <v>-25274.3658928861</v>
      </c>
      <c r="T49" s="502">
        <f t="shared" si="3"/>
        <v>0</v>
      </c>
      <c r="U49" s="797"/>
      <c r="V49" s="511"/>
      <c r="W49" s="797"/>
      <c r="X49" s="797"/>
      <c r="Y49" s="797"/>
      <c r="Z49" s="797">
        <v>-25274.3658928861</v>
      </c>
      <c r="AA49" s="797"/>
      <c r="AB49" s="891"/>
      <c r="AC49" s="788"/>
      <c r="AD49" s="788"/>
      <c r="AE49" s="788"/>
      <c r="AF49" s="788"/>
      <c r="AG49" s="788"/>
      <c r="AH49" s="787"/>
    </row>
    <row r="50" spans="1:34" s="12" customFormat="1">
      <c r="A50" s="821"/>
      <c r="B50" s="814"/>
      <c r="C50" s="797"/>
      <c r="D50" s="797"/>
      <c r="E50" s="511"/>
      <c r="F50" s="797"/>
      <c r="G50" s="797"/>
      <c r="H50" s="797"/>
      <c r="I50" s="797"/>
      <c r="J50" s="797"/>
      <c r="K50" s="797"/>
      <c r="L50" s="797"/>
      <c r="M50" s="797"/>
      <c r="N50" s="797"/>
      <c r="O50" s="797"/>
      <c r="P50" s="797"/>
      <c r="Q50" s="797"/>
      <c r="R50" s="797"/>
      <c r="S50" s="502"/>
      <c r="T50" s="502">
        <f t="shared" si="3"/>
        <v>0</v>
      </c>
      <c r="U50" s="797"/>
      <c r="V50" s="511"/>
      <c r="W50" s="797"/>
      <c r="X50" s="797"/>
      <c r="Y50" s="797"/>
      <c r="Z50" s="797"/>
      <c r="AA50" s="797"/>
      <c r="AB50" s="891"/>
      <c r="AC50" s="788"/>
      <c r="AD50" s="788"/>
      <c r="AE50" s="788"/>
      <c r="AF50" s="788"/>
      <c r="AG50" s="788"/>
      <c r="AH50" s="787"/>
    </row>
    <row r="51" spans="1:34" s="12" customFormat="1">
      <c r="A51" s="815"/>
      <c r="B51" s="817"/>
      <c r="C51" s="797"/>
      <c r="D51" s="797"/>
      <c r="E51" s="797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/>
      <c r="T51" s="502">
        <f t="shared" si="3"/>
        <v>0</v>
      </c>
      <c r="U51" s="797"/>
      <c r="V51" s="797"/>
      <c r="W51" s="797"/>
      <c r="X51" s="797"/>
      <c r="Y51" s="797"/>
      <c r="Z51" s="797"/>
      <c r="AA51" s="797"/>
      <c r="AB51" s="891"/>
      <c r="AC51" s="788"/>
      <c r="AD51" s="788"/>
      <c r="AE51" s="788"/>
      <c r="AF51" s="788"/>
      <c r="AG51" s="788"/>
      <c r="AH51" s="787"/>
    </row>
    <row r="52" spans="1:34" s="12" customFormat="1">
      <c r="A52" s="815"/>
      <c r="B52" s="817"/>
      <c r="C52" s="797"/>
      <c r="D52" s="797"/>
      <c r="E52" s="511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/>
      <c r="T52" s="502">
        <f t="shared" si="3"/>
        <v>0</v>
      </c>
      <c r="U52" s="797"/>
      <c r="V52" s="511"/>
      <c r="W52" s="797"/>
      <c r="X52" s="797"/>
      <c r="Y52" s="797"/>
      <c r="Z52" s="797"/>
      <c r="AA52" s="797"/>
      <c r="AB52" s="1795"/>
      <c r="AC52" s="788"/>
      <c r="AD52" s="788"/>
      <c r="AE52" s="788"/>
      <c r="AF52" s="788"/>
      <c r="AG52" s="788"/>
      <c r="AH52" s="787"/>
    </row>
    <row r="53" spans="1:34" s="12" customFormat="1">
      <c r="A53" s="815"/>
      <c r="B53" s="814"/>
      <c r="C53" s="797"/>
      <c r="D53" s="500"/>
      <c r="E53" s="511"/>
      <c r="F53" s="797"/>
      <c r="G53" s="500"/>
      <c r="H53" s="500"/>
      <c r="I53" s="500"/>
      <c r="J53" s="500"/>
      <c r="K53" s="500"/>
      <c r="L53" s="500"/>
      <c r="M53" s="500"/>
      <c r="N53" s="500"/>
      <c r="O53" s="500"/>
      <c r="P53" s="797"/>
      <c r="Q53" s="500"/>
      <c r="R53" s="797"/>
      <c r="S53" s="797"/>
      <c r="T53" s="502">
        <f t="shared" si="3"/>
        <v>0</v>
      </c>
      <c r="U53" s="500"/>
      <c r="V53" s="511"/>
      <c r="W53" s="797"/>
      <c r="X53" s="500"/>
      <c r="Y53" s="500"/>
      <c r="Z53" s="797"/>
      <c r="AA53" s="797"/>
      <c r="AB53" s="891"/>
      <c r="AC53" s="788"/>
      <c r="AD53" s="788"/>
      <c r="AE53" s="788"/>
      <c r="AF53" s="788"/>
      <c r="AG53" s="788"/>
      <c r="AH53" s="787"/>
    </row>
    <row r="54" spans="1:34" s="12" customFormat="1">
      <c r="A54" s="821"/>
      <c r="B54" s="822"/>
      <c r="C54" s="797"/>
      <c r="D54" s="500"/>
      <c r="E54" s="500"/>
      <c r="F54" s="797"/>
      <c r="G54" s="500"/>
      <c r="H54" s="500"/>
      <c r="I54" s="500"/>
      <c r="J54" s="500"/>
      <c r="K54" s="500"/>
      <c r="L54" s="500"/>
      <c r="M54" s="500"/>
      <c r="N54" s="500"/>
      <c r="O54" s="500"/>
      <c r="P54" s="797"/>
      <c r="Q54" s="500"/>
      <c r="R54" s="797"/>
      <c r="S54" s="797"/>
      <c r="T54" s="502">
        <f t="shared" si="3"/>
        <v>0</v>
      </c>
      <c r="U54" s="500"/>
      <c r="V54" s="500"/>
      <c r="W54" s="797"/>
      <c r="X54" s="500"/>
      <c r="Y54" s="500"/>
      <c r="Z54" s="797"/>
      <c r="AA54" s="797"/>
      <c r="AB54" s="891"/>
      <c r="AC54" s="788"/>
      <c r="AD54" s="788"/>
      <c r="AE54" s="788"/>
      <c r="AF54" s="788"/>
      <c r="AG54" s="788"/>
      <c r="AH54" s="787"/>
    </row>
    <row r="55" spans="1:34" s="12" customFormat="1">
      <c r="A55" s="821"/>
      <c r="B55" s="822"/>
      <c r="C55" s="797"/>
      <c r="D55" s="500"/>
      <c r="E55" s="500"/>
      <c r="F55" s="797"/>
      <c r="G55" s="500"/>
      <c r="H55" s="500"/>
      <c r="I55" s="500"/>
      <c r="J55" s="500"/>
      <c r="K55" s="500"/>
      <c r="L55" s="500"/>
      <c r="M55" s="500"/>
      <c r="N55" s="500"/>
      <c r="O55" s="500"/>
      <c r="P55" s="797"/>
      <c r="Q55" s="500"/>
      <c r="R55" s="797"/>
      <c r="S55" s="797"/>
      <c r="T55" s="502"/>
      <c r="U55" s="500"/>
      <c r="V55" s="500"/>
      <c r="W55" s="797"/>
      <c r="X55" s="500"/>
      <c r="Y55" s="500"/>
      <c r="Z55" s="797"/>
      <c r="AA55" s="797"/>
      <c r="AB55" s="891"/>
      <c r="AC55" s="788"/>
      <c r="AD55" s="788"/>
      <c r="AE55" s="788"/>
      <c r="AF55" s="788"/>
      <c r="AG55" s="788"/>
      <c r="AH55" s="787"/>
    </row>
    <row r="56" spans="1:34" s="12" customFormat="1" ht="12.75">
      <c r="A56" s="39"/>
      <c r="B56" s="40"/>
      <c r="C56" s="797"/>
      <c r="D56" s="500"/>
      <c r="E56" s="500"/>
      <c r="F56" s="797"/>
      <c r="G56" s="500"/>
      <c r="H56" s="500"/>
      <c r="I56" s="500"/>
      <c r="J56" s="500"/>
      <c r="K56" s="500"/>
      <c r="L56" s="500">
        <f>I56-J56+K56</f>
        <v>0</v>
      </c>
      <c r="M56" s="500"/>
      <c r="N56" s="500"/>
      <c r="O56" s="500"/>
      <c r="P56" s="500">
        <v>0</v>
      </c>
      <c r="Q56" s="500"/>
      <c r="R56" s="502">
        <v>0</v>
      </c>
      <c r="S56" s="502"/>
      <c r="T56" s="502">
        <f>W56-L56</f>
        <v>0</v>
      </c>
      <c r="U56" s="500"/>
      <c r="V56" s="500"/>
      <c r="W56" s="797"/>
      <c r="X56" s="500">
        <v>0</v>
      </c>
      <c r="Y56" s="500"/>
      <c r="Z56" s="500">
        <v>0</v>
      </c>
      <c r="AA56" s="502">
        <v>0</v>
      </c>
      <c r="AB56" s="891"/>
      <c r="AC56" s="788"/>
      <c r="AD56" s="788"/>
      <c r="AE56" s="788"/>
      <c r="AF56" s="788"/>
      <c r="AG56" s="788"/>
      <c r="AH56" s="787"/>
    </row>
    <row r="57" spans="1:34" s="12" customFormat="1" ht="12.75">
      <c r="A57" s="41"/>
      <c r="B57" s="42" t="s">
        <v>17</v>
      </c>
      <c r="C57" s="501">
        <f>SUM(C16:C56)</f>
        <v>1626204</v>
      </c>
      <c r="D57" s="501">
        <f>SUM(D16:D56)</f>
        <v>270339.27788359788</v>
      </c>
      <c r="E57" s="501"/>
      <c r="F57" s="501">
        <f>SUM(F16:F56)</f>
        <v>1626204</v>
      </c>
      <c r="G57" s="501"/>
      <c r="H57" s="501">
        <f t="shared" ref="H57:T57" si="4">SUM(H14:H56)</f>
        <v>0</v>
      </c>
      <c r="I57" s="501">
        <f t="shared" si="4"/>
        <v>1626204</v>
      </c>
      <c r="J57" s="501">
        <f t="shared" si="4"/>
        <v>0</v>
      </c>
      <c r="K57" s="501">
        <f t="shared" si="4"/>
        <v>0</v>
      </c>
      <c r="L57" s="501">
        <f t="shared" si="4"/>
        <v>1626204</v>
      </c>
      <c r="M57" s="501">
        <f t="shared" si="4"/>
        <v>0</v>
      </c>
      <c r="N57" s="501">
        <f t="shared" si="4"/>
        <v>241571.63</v>
      </c>
      <c r="O57" s="501">
        <f t="shared" si="4"/>
        <v>502</v>
      </c>
      <c r="P57" s="501">
        <f t="shared" si="4"/>
        <v>1600929.6341071138</v>
      </c>
      <c r="Q57" s="501">
        <f t="shared" si="4"/>
        <v>0</v>
      </c>
      <c r="R57" s="501">
        <f t="shared" si="4"/>
        <v>1044561.812161303</v>
      </c>
      <c r="S57" s="501">
        <f t="shared" si="4"/>
        <v>556367.82194581069</v>
      </c>
      <c r="T57" s="1786">
        <f t="shared" si="4"/>
        <v>0</v>
      </c>
      <c r="U57" s="501"/>
      <c r="V57" s="501"/>
      <c r="W57" s="501">
        <f>SUM(W16:W56)</f>
        <v>1626204</v>
      </c>
      <c r="X57" s="1430">
        <f>SUM(X14:X56)</f>
        <v>1626204</v>
      </c>
      <c r="Y57" s="1430">
        <f>SUM(Y14:Y56)</f>
        <v>241571.63</v>
      </c>
      <c r="Z57" s="501">
        <f>SUM(Z14:Z56)</f>
        <v>1600929.6341071138</v>
      </c>
      <c r="AA57" s="501">
        <f>SUM(AA14:AA56)</f>
        <v>1044561.812161303</v>
      </c>
      <c r="AB57" s="1431">
        <f>SUM(AB15:AB51)</f>
        <v>1626204</v>
      </c>
      <c r="AC57" s="788"/>
      <c r="AD57" s="788"/>
      <c r="AE57" s="788"/>
      <c r="AF57" s="788"/>
      <c r="AG57" s="788"/>
      <c r="AH57" s="787"/>
    </row>
    <row r="58" spans="1:34" s="12" customFormat="1" ht="12.75">
      <c r="A58" s="1390"/>
      <c r="B58" s="1391"/>
      <c r="C58" s="1787"/>
      <c r="D58" s="1787"/>
      <c r="E58" s="1787"/>
      <c r="F58" s="1788"/>
      <c r="G58" s="1788"/>
      <c r="H58" s="1788"/>
      <c r="I58" s="1788"/>
      <c r="J58" s="1788"/>
      <c r="K58" s="1788"/>
      <c r="L58" s="1788"/>
      <c r="M58" s="1788"/>
      <c r="N58" s="1788"/>
      <c r="O58" s="1787"/>
      <c r="P58" s="1788"/>
      <c r="Q58" s="1787"/>
      <c r="R58" s="1787"/>
      <c r="S58" s="1791"/>
      <c r="T58" s="1791"/>
      <c r="U58" s="1787"/>
      <c r="V58" s="1787"/>
      <c r="W58" s="1788"/>
      <c r="X58" s="1394"/>
      <c r="Y58" s="1394"/>
      <c r="Z58" s="1394"/>
      <c r="AA58" s="1394"/>
      <c r="AB58" s="1394"/>
      <c r="AC58" s="788"/>
      <c r="AD58" s="788"/>
      <c r="AE58" s="788"/>
      <c r="AF58" s="788"/>
      <c r="AG58" s="788"/>
      <c r="AH58" s="787"/>
    </row>
    <row r="59" spans="1:34" s="12" customFormat="1" ht="12.75">
      <c r="A59" s="1390"/>
      <c r="B59" s="1391"/>
      <c r="C59" s="1787"/>
      <c r="D59" s="1787"/>
      <c r="E59" s="1787"/>
      <c r="F59" s="1788"/>
      <c r="G59" s="1788"/>
      <c r="H59" s="1788"/>
      <c r="I59" s="1788"/>
      <c r="J59" s="1788"/>
      <c r="K59" s="1788"/>
      <c r="L59" s="1788"/>
      <c r="M59" s="1788"/>
      <c r="N59" s="1788"/>
      <c r="O59" s="1787"/>
      <c r="P59" s="1788"/>
      <c r="Q59" s="1787"/>
      <c r="R59" s="1787"/>
      <c r="S59" s="1791"/>
      <c r="T59" s="1791"/>
      <c r="U59" s="1787"/>
      <c r="V59" s="1787"/>
      <c r="W59" s="1788"/>
      <c r="X59" s="1394"/>
      <c r="Y59" s="1394"/>
      <c r="Z59" s="1394"/>
      <c r="AA59" s="1394"/>
      <c r="AB59" s="1394"/>
      <c r="AC59" s="788"/>
      <c r="AD59" s="788"/>
      <c r="AE59" s="788"/>
      <c r="AF59" s="788"/>
      <c r="AG59" s="788"/>
      <c r="AH59" s="787"/>
    </row>
    <row r="60" spans="1:34" s="12" customFormat="1" ht="12.75">
      <c r="A60" s="1384"/>
      <c r="B60" s="1428"/>
      <c r="C60" s="1787">
        <f t="shared" ref="C60:C69" si="5">+C17/$C$57</f>
        <v>0.59322016180011861</v>
      </c>
      <c r="D60" s="1787"/>
      <c r="E60" s="1787"/>
      <c r="F60" s="1788"/>
      <c r="G60" s="1787"/>
      <c r="H60" s="1787"/>
      <c r="I60" s="1787"/>
      <c r="J60" s="1787"/>
      <c r="K60" s="1787"/>
      <c r="L60" s="1787"/>
      <c r="M60" s="1787"/>
      <c r="N60" s="1787"/>
      <c r="O60" s="1787"/>
      <c r="P60" s="1787">
        <v>1600929.6341071138</v>
      </c>
      <c r="Q60" s="1791">
        <v>1044561.8121613031</v>
      </c>
      <c r="R60" s="1787">
        <v>0.59322016180011861</v>
      </c>
      <c r="S60" s="1791">
        <f>+R60*$Q$60</f>
        <v>619655.12722055335</v>
      </c>
      <c r="T60" s="1791"/>
      <c r="U60" s="1787"/>
      <c r="V60" s="1787"/>
      <c r="W60" s="1788"/>
      <c r="X60" s="1394"/>
      <c r="Y60" s="1394"/>
      <c r="Z60" s="1394"/>
      <c r="AA60" s="1394"/>
      <c r="AB60" s="1394"/>
      <c r="AC60" s="788"/>
      <c r="AD60" s="788"/>
      <c r="AE60" s="788"/>
      <c r="AF60" s="788"/>
      <c r="AG60" s="788"/>
      <c r="AH60" s="787"/>
    </row>
    <row r="61" spans="1:34" s="12" customFormat="1" ht="12.75">
      <c r="A61" s="1384"/>
      <c r="B61" s="1428"/>
      <c r="C61" s="1787">
        <f t="shared" si="5"/>
        <v>0.22245794500566965</v>
      </c>
      <c r="D61" s="1787"/>
      <c r="E61" s="1787"/>
      <c r="F61" s="1788"/>
      <c r="G61" s="1787"/>
      <c r="H61" s="1787"/>
      <c r="I61" s="1787"/>
      <c r="J61" s="1787"/>
      <c r="K61" s="1787"/>
      <c r="L61" s="1787"/>
      <c r="M61" s="1787"/>
      <c r="N61" s="1787"/>
      <c r="O61" s="1787"/>
      <c r="P61" s="1787"/>
      <c r="Q61" s="1791"/>
      <c r="R61" s="1787">
        <v>0.22245794500566965</v>
      </c>
      <c r="S61" s="1791">
        <f>+R61*$Q$60</f>
        <v>232371.0741648018</v>
      </c>
      <c r="T61" s="1791"/>
      <c r="U61" s="1787"/>
      <c r="V61" s="1787"/>
      <c r="W61" s="1788"/>
      <c r="X61" s="1394"/>
      <c r="Y61" s="1394"/>
      <c r="Z61" s="1394"/>
      <c r="AA61" s="1394"/>
      <c r="AB61" s="1394"/>
      <c r="AC61" s="788"/>
      <c r="AD61" s="788"/>
      <c r="AE61" s="788"/>
      <c r="AF61" s="788"/>
      <c r="AG61" s="788"/>
      <c r="AH61" s="787"/>
    </row>
    <row r="62" spans="1:34" s="12" customFormat="1" ht="12.75">
      <c r="A62" s="1384"/>
      <c r="B62" s="1428"/>
      <c r="C62" s="1787">
        <f t="shared" si="5"/>
        <v>0.12870771440729453</v>
      </c>
      <c r="D62" s="1787"/>
      <c r="E62" s="1787"/>
      <c r="F62" s="1787"/>
      <c r="G62" s="1787"/>
      <c r="H62" s="1787"/>
      <c r="I62" s="1787"/>
      <c r="J62" s="1787"/>
      <c r="K62" s="1787"/>
      <c r="L62" s="1787"/>
      <c r="M62" s="1787"/>
      <c r="N62" s="1787"/>
      <c r="O62" s="1787"/>
      <c r="P62" s="1787">
        <f>+P57-P60</f>
        <v>0</v>
      </c>
      <c r="Q62" s="1791"/>
      <c r="R62" s="1787">
        <v>0.12870771440729453</v>
      </c>
      <c r="S62" s="1791">
        <f>+R62*$Q$60</f>
        <v>134443.16340042304</v>
      </c>
      <c r="T62" s="1791"/>
      <c r="U62" s="1787"/>
      <c r="V62" s="1787"/>
      <c r="W62" s="1787"/>
      <c r="X62" s="1394"/>
      <c r="Y62" s="1394"/>
      <c r="Z62" s="1394"/>
      <c r="AA62" s="1394"/>
      <c r="AB62" s="1394"/>
      <c r="AC62" s="788"/>
      <c r="AD62" s="788"/>
      <c r="AE62" s="788"/>
      <c r="AF62" s="788"/>
      <c r="AG62" s="788"/>
      <c r="AH62" s="787"/>
    </row>
    <row r="63" spans="1:34" s="12" customFormat="1" ht="12.75">
      <c r="A63" s="1384" t="s">
        <v>59</v>
      </c>
      <c r="B63" s="1428"/>
      <c r="C63" s="1787">
        <f t="shared" si="5"/>
        <v>4.4491343029533809E-2</v>
      </c>
      <c r="D63" s="1787"/>
      <c r="E63" s="1787"/>
      <c r="F63" s="1788"/>
      <c r="G63" s="1787"/>
      <c r="H63" s="1787"/>
      <c r="I63" s="1787"/>
      <c r="J63" s="1787"/>
      <c r="K63" s="1787"/>
      <c r="L63" s="1787"/>
      <c r="M63" s="1787"/>
      <c r="N63" s="1787"/>
      <c r="O63" s="1787"/>
      <c r="P63" s="1787"/>
      <c r="Q63" s="1791"/>
      <c r="R63" s="1791">
        <v>4.4491343029533809E-2</v>
      </c>
      <c r="S63" s="1791">
        <f>+R63*$Q$60</f>
        <v>46473.957900419999</v>
      </c>
      <c r="T63" s="1791"/>
      <c r="U63" s="1787"/>
      <c r="V63" s="1787"/>
      <c r="W63" s="1788"/>
      <c r="X63" s="1394"/>
      <c r="Y63" s="1394"/>
      <c r="Z63" s="1394"/>
      <c r="AA63" s="1394"/>
      <c r="AB63" s="1394"/>
      <c r="AC63" s="788"/>
      <c r="AD63" s="788"/>
      <c r="AE63" s="788"/>
      <c r="AF63" s="788"/>
      <c r="AG63" s="788"/>
      <c r="AH63" s="787"/>
    </row>
    <row r="64" spans="1:34" s="12" customFormat="1" ht="12.75">
      <c r="A64" s="1384"/>
      <c r="B64" s="1428"/>
      <c r="C64" s="1787">
        <f t="shared" si="5"/>
        <v>1.1122835757383452E-2</v>
      </c>
      <c r="D64" s="1787"/>
      <c r="E64" s="1787"/>
      <c r="F64" s="1787"/>
      <c r="G64" s="1787"/>
      <c r="H64" s="1787"/>
      <c r="I64" s="1787"/>
      <c r="J64" s="1787"/>
      <c r="K64" s="1787"/>
      <c r="L64" s="1787"/>
      <c r="M64" s="1787"/>
      <c r="N64" s="1787"/>
      <c r="O64" s="1787"/>
      <c r="P64" s="1787"/>
      <c r="Q64" s="1791"/>
      <c r="R64" s="1791">
        <v>1.1122835757383452E-2</v>
      </c>
      <c r="S64" s="1791">
        <f>+R64*$Q$60</f>
        <v>11618.489475105</v>
      </c>
      <c r="T64" s="1791"/>
      <c r="U64" s="1787"/>
      <c r="V64" s="1787"/>
      <c r="W64" s="1787"/>
      <c r="X64" s="1394"/>
      <c r="Y64" s="1394"/>
      <c r="Z64" s="1394"/>
      <c r="AA64" s="1394"/>
      <c r="AB64" s="1394"/>
      <c r="AC64" s="788"/>
      <c r="AD64" s="788"/>
      <c r="AE64" s="788"/>
      <c r="AF64" s="788"/>
      <c r="AG64" s="788"/>
      <c r="AH64" s="787"/>
    </row>
    <row r="65" spans="1:34" s="12" customFormat="1" ht="12.75">
      <c r="A65" s="1384"/>
      <c r="B65" s="1428"/>
      <c r="C65" s="1787">
        <f t="shared" si="5"/>
        <v>0</v>
      </c>
      <c r="D65" s="1787"/>
      <c r="E65" s="1787"/>
      <c r="F65" s="1787"/>
      <c r="G65" s="1787"/>
      <c r="H65" s="1787"/>
      <c r="I65" s="1787"/>
      <c r="J65" s="1787"/>
      <c r="K65" s="1787"/>
      <c r="L65" s="1787"/>
      <c r="M65" s="1787"/>
      <c r="N65" s="1787"/>
      <c r="O65" s="1787"/>
      <c r="P65" s="1787"/>
      <c r="Q65" s="1791"/>
      <c r="R65" s="1791"/>
      <c r="S65" s="1791"/>
      <c r="T65" s="1791"/>
      <c r="U65" s="1787"/>
      <c r="V65" s="1787"/>
      <c r="W65" s="1787"/>
      <c r="X65" s="1394"/>
      <c r="Y65" s="1394"/>
      <c r="Z65" s="1394"/>
      <c r="AA65" s="1394"/>
      <c r="AB65" s="1394"/>
      <c r="AC65" s="788"/>
      <c r="AD65" s="788"/>
      <c r="AE65" s="788"/>
      <c r="AF65" s="788"/>
      <c r="AG65" s="788"/>
      <c r="AH65" s="787"/>
    </row>
    <row r="66" spans="1:34" s="12" customFormat="1">
      <c r="A66" s="10"/>
      <c r="B66" s="454"/>
      <c r="C66" s="213">
        <f t="shared" si="5"/>
        <v>0</v>
      </c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8"/>
      <c r="AF66" s="788"/>
      <c r="AG66" s="788"/>
      <c r="AH66" s="787"/>
    </row>
    <row r="67" spans="1:34" s="12" customFormat="1">
      <c r="A67" s="10"/>
      <c r="B67" s="454"/>
      <c r="C67" s="213">
        <f t="shared" si="5"/>
        <v>0</v>
      </c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8"/>
      <c r="AF67" s="788"/>
      <c r="AG67" s="788"/>
      <c r="AH67" s="787"/>
    </row>
    <row r="68" spans="1:34" s="12" customFormat="1">
      <c r="A68" s="10"/>
      <c r="B68" s="454"/>
      <c r="C68" s="213">
        <f t="shared" si="5"/>
        <v>0</v>
      </c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8"/>
      <c r="AF68" s="788"/>
      <c r="AG68" s="788"/>
      <c r="AH68" s="787"/>
    </row>
    <row r="69" spans="1:34" s="12" customFormat="1">
      <c r="A69" s="10"/>
      <c r="B69" s="454"/>
      <c r="C69" s="213">
        <f t="shared" si="5"/>
        <v>0</v>
      </c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8"/>
      <c r="AF69" s="788"/>
      <c r="AG69" s="788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8"/>
      <c r="AF70" s="788"/>
      <c r="AG70" s="788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8"/>
      <c r="AF71" s="788"/>
      <c r="AG71" s="788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8"/>
      <c r="AF72" s="788"/>
      <c r="AG72" s="788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8"/>
      <c r="AF73" s="788"/>
      <c r="AG73" s="788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8"/>
      <c r="AF74" s="788"/>
      <c r="AG74" s="788"/>
      <c r="AH74" s="787"/>
    </row>
    <row r="75" spans="1:34" s="12" customFormat="1">
      <c r="A75" s="10"/>
      <c r="B75" s="454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788"/>
      <c r="R75" s="788"/>
      <c r="S75" s="788"/>
      <c r="T75" s="788"/>
      <c r="U75" s="213"/>
      <c r="V75" s="213"/>
      <c r="W75" s="213"/>
      <c r="X75" s="212"/>
      <c r="Y75" s="212"/>
      <c r="Z75" s="212"/>
      <c r="AA75" s="212"/>
      <c r="AB75" s="212"/>
      <c r="AC75" s="788"/>
      <c r="AD75" s="788"/>
      <c r="AE75" s="788"/>
      <c r="AF75" s="788"/>
      <c r="AG75" s="788"/>
      <c r="AH75" s="787"/>
    </row>
    <row r="76" spans="1:34" s="12" customFormat="1">
      <c r="A76" s="10"/>
      <c r="B76" s="454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788"/>
      <c r="R76" s="788"/>
      <c r="S76" s="788"/>
      <c r="T76" s="788"/>
      <c r="U76" s="213"/>
      <c r="V76" s="213"/>
      <c r="W76" s="213"/>
      <c r="X76" s="212"/>
      <c r="Y76" s="212"/>
      <c r="Z76" s="212"/>
      <c r="AA76" s="212"/>
      <c r="AB76" s="212"/>
      <c r="AC76" s="788"/>
      <c r="AD76" s="788"/>
      <c r="AE76" s="788"/>
      <c r="AF76" s="788"/>
      <c r="AG76" s="788"/>
      <c r="AH76" s="787"/>
    </row>
    <row r="77" spans="1:34" s="12" customFormat="1">
      <c r="A77" s="10"/>
      <c r="B77" s="454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788"/>
      <c r="R77" s="788"/>
      <c r="S77" s="788"/>
      <c r="T77" s="788"/>
      <c r="U77" s="213"/>
      <c r="V77" s="213"/>
      <c r="W77" s="213"/>
      <c r="X77" s="212"/>
      <c r="Y77" s="212"/>
      <c r="Z77" s="212"/>
      <c r="AA77" s="212"/>
      <c r="AB77" s="212"/>
      <c r="AC77" s="788"/>
      <c r="AD77" s="788"/>
      <c r="AE77" s="788"/>
      <c r="AF77" s="788"/>
      <c r="AG77" s="788"/>
      <c r="AH77" s="787"/>
    </row>
  </sheetData>
  <mergeCells count="10">
    <mergeCell ref="E1:F1"/>
    <mergeCell ref="B2:I2"/>
    <mergeCell ref="I5:N5"/>
    <mergeCell ref="O5:T5"/>
    <mergeCell ref="AB8:AB12"/>
    <mergeCell ref="U8:W9"/>
    <mergeCell ref="AA8:AA12"/>
    <mergeCell ref="Z8:Z12"/>
    <mergeCell ref="X8:X12"/>
    <mergeCell ref="Y8:Y12"/>
  </mergeCells>
  <pageMargins left="0.78740157499999996" right="0.78740157499999996" top="0.984251969" bottom="0.984251969" header="0.4921259845" footer="0.4921259845"/>
  <pageSetup paperSize="9" scale="54" orientation="landscape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A1:AI66"/>
  <sheetViews>
    <sheetView showGridLines="0" topLeftCell="N1" workbookViewId="0">
      <selection activeCell="N37" sqref="A37:XFD37"/>
    </sheetView>
  </sheetViews>
  <sheetFormatPr baseColWidth="10" defaultRowHeight="12"/>
  <cols>
    <col min="1" max="1" width="10.25" customWidth="1"/>
    <col min="2" max="2" width="35.375" customWidth="1"/>
    <col min="3" max="21" width="11" style="792"/>
    <col min="22" max="22" width="5.625" style="792" customWidth="1"/>
    <col min="23" max="34" width="11" style="792"/>
  </cols>
  <sheetData>
    <row r="1" spans="1:35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35" s="12" customFormat="1" ht="12.75">
      <c r="A2" s="13" t="s">
        <v>65</v>
      </c>
      <c r="B2" s="9" t="s">
        <v>708</v>
      </c>
      <c r="C2" s="216"/>
      <c r="D2" s="216"/>
      <c r="E2" s="216"/>
      <c r="F2" s="216"/>
      <c r="G2" s="216"/>
      <c r="H2" s="216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212"/>
      <c r="AE2" s="212"/>
      <c r="AF2" s="788"/>
      <c r="AG2" s="788"/>
      <c r="AH2" s="788"/>
      <c r="AI2" s="11"/>
    </row>
    <row r="3" spans="1:35" ht="12.75">
      <c r="A3" s="6" t="s">
        <v>77</v>
      </c>
      <c r="B3" s="7" t="s">
        <v>71</v>
      </c>
      <c r="C3" s="65" t="s">
        <v>66</v>
      </c>
      <c r="D3" s="65" t="s">
        <v>52</v>
      </c>
      <c r="E3" s="65"/>
      <c r="F3" s="217" t="s">
        <v>84</v>
      </c>
      <c r="G3" s="65" t="s">
        <v>499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1"/>
    </row>
    <row r="4" spans="1:35" s="12" customFormat="1" ht="12.75">
      <c r="A4" s="13" t="s">
        <v>78</v>
      </c>
      <c r="B4" s="14" t="s">
        <v>707</v>
      </c>
      <c r="C4" s="216" t="s">
        <v>81</v>
      </c>
      <c r="D4" s="216"/>
      <c r="E4" s="216"/>
      <c r="F4" s="1779"/>
      <c r="G4" s="1779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212"/>
      <c r="AE4" s="212"/>
      <c r="AF4" s="788"/>
      <c r="AG4" s="788"/>
      <c r="AH4" s="788"/>
      <c r="AI4" s="11"/>
    </row>
    <row r="5" spans="1:35" s="12" customFormat="1" ht="12.75">
      <c r="A5" s="13" t="s">
        <v>79</v>
      </c>
      <c r="B5" s="14">
        <v>200800724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212"/>
      <c r="AE5" s="212"/>
      <c r="AF5" s="788"/>
      <c r="AG5" s="788"/>
      <c r="AH5" s="788"/>
      <c r="AI5" s="11"/>
    </row>
    <row r="6" spans="1:35" s="12" customFormat="1" ht="12.75">
      <c r="A6" s="13" t="s">
        <v>80</v>
      </c>
      <c r="B6" s="14"/>
      <c r="C6" s="216"/>
      <c r="D6" s="216"/>
      <c r="E6" s="216"/>
      <c r="F6" s="217"/>
      <c r="G6" s="217"/>
      <c r="H6" s="790"/>
      <c r="I6" s="1723"/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212"/>
      <c r="AE6" s="212"/>
      <c r="AF6" s="788"/>
      <c r="AG6" s="788"/>
      <c r="AH6" s="788"/>
      <c r="AI6" s="11"/>
    </row>
    <row r="7" spans="1:35" s="12" customFormat="1" ht="12.75">
      <c r="A7" s="3"/>
      <c r="B7" s="3"/>
      <c r="C7" s="216"/>
      <c r="D7" s="216"/>
      <c r="E7" s="216"/>
      <c r="F7" s="217"/>
      <c r="G7" s="217"/>
      <c r="H7" s="790"/>
      <c r="I7" s="1723"/>
      <c r="J7" s="1724"/>
      <c r="K7" s="1725"/>
      <c r="L7" s="1725"/>
      <c r="M7" s="789"/>
      <c r="N7" s="788"/>
      <c r="O7" s="788"/>
      <c r="P7" s="788"/>
      <c r="Q7" s="789"/>
      <c r="R7" s="216"/>
      <c r="S7" s="789"/>
      <c r="T7" s="789"/>
      <c r="U7" s="216"/>
      <c r="V7" s="216"/>
      <c r="W7" s="217"/>
      <c r="X7" s="212"/>
      <c r="Y7" s="212"/>
      <c r="Z7" s="212"/>
      <c r="AA7" s="212"/>
      <c r="AB7" s="212"/>
      <c r="AC7" s="788"/>
      <c r="AD7" s="212"/>
      <c r="AE7" s="212"/>
      <c r="AF7" s="788"/>
      <c r="AG7" s="788"/>
      <c r="AH7" s="788"/>
      <c r="AI7" s="11"/>
    </row>
    <row r="8" spans="1:35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417" t="s">
        <v>64</v>
      </c>
      <c r="AC8" s="788"/>
      <c r="AD8" s="2506" t="s">
        <v>67</v>
      </c>
      <c r="AE8" s="2509" t="s">
        <v>68</v>
      </c>
      <c r="AF8" s="788"/>
      <c r="AG8" s="788"/>
      <c r="AH8" s="788"/>
      <c r="AI8" s="11"/>
    </row>
    <row r="9" spans="1:35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418"/>
      <c r="Y9" s="2418"/>
      <c r="Z9" s="2418"/>
      <c r="AA9" s="2418"/>
      <c r="AB9" s="2418"/>
      <c r="AC9" s="788"/>
      <c r="AD9" s="2507"/>
      <c r="AE9" s="2507"/>
      <c r="AF9" s="788"/>
      <c r="AG9" s="788"/>
      <c r="AH9" s="788"/>
      <c r="AI9" s="11"/>
    </row>
    <row r="10" spans="1:35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418"/>
      <c r="AC10" s="788"/>
      <c r="AD10" s="2507"/>
      <c r="AE10" s="2507" t="s">
        <v>68</v>
      </c>
      <c r="AF10" s="788"/>
      <c r="AG10" s="788"/>
      <c r="AH10" s="788"/>
      <c r="AI10" s="11"/>
    </row>
    <row r="11" spans="1:35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418"/>
      <c r="AC11" s="788"/>
      <c r="AD11" s="2507"/>
      <c r="AE11" s="2507"/>
      <c r="AF11" s="788"/>
      <c r="AG11" s="788"/>
      <c r="AH11" s="788"/>
      <c r="AI11" s="11"/>
    </row>
    <row r="12" spans="1:35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418"/>
      <c r="Y12" s="2418"/>
      <c r="Z12" s="2418"/>
      <c r="AA12" s="2418"/>
      <c r="AB12" s="2418"/>
      <c r="AC12" s="788"/>
      <c r="AD12" s="2508"/>
      <c r="AE12" s="2508"/>
      <c r="AF12" s="788"/>
      <c r="AG12" s="788"/>
      <c r="AH12" s="788"/>
      <c r="AI12" s="11"/>
    </row>
    <row r="13" spans="1:35" s="12" customFormat="1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1699"/>
      <c r="AE13" s="1699"/>
      <c r="AF13" s="788"/>
      <c r="AG13" s="788"/>
      <c r="AH13" s="788"/>
      <c r="AI13" s="11"/>
    </row>
    <row r="14" spans="1:35" s="12" customFormat="1" ht="12.75">
      <c r="A14" s="1386"/>
      <c r="B14" s="1387"/>
      <c r="C14" s="1751"/>
      <c r="D14" s="1751"/>
      <c r="E14" s="1751"/>
      <c r="F14" s="1751"/>
      <c r="G14" s="886"/>
      <c r="H14" s="886"/>
      <c r="I14" s="1751"/>
      <c r="J14" s="1751"/>
      <c r="K14" s="1751"/>
      <c r="L14" s="1751"/>
      <c r="M14" s="1751"/>
      <c r="N14" s="1751"/>
      <c r="O14" s="1751"/>
      <c r="P14" s="1751"/>
      <c r="Q14" s="1751"/>
      <c r="R14" s="1751"/>
      <c r="S14" s="1751"/>
      <c r="T14" s="1751"/>
      <c r="U14" s="1751"/>
      <c r="V14" s="1751"/>
      <c r="W14" s="1751"/>
      <c r="X14" s="1751"/>
      <c r="Y14" s="1751"/>
      <c r="Z14" s="1751"/>
      <c r="AA14" s="1751"/>
      <c r="AB14" s="1751"/>
      <c r="AC14" s="1768"/>
      <c r="AD14" s="1780"/>
      <c r="AE14" s="1780"/>
      <c r="AF14" s="788"/>
      <c r="AG14" s="788"/>
      <c r="AH14" s="788"/>
      <c r="AI14" s="11"/>
    </row>
    <row r="15" spans="1:35" s="12" customFormat="1" ht="12.75">
      <c r="A15" s="1386"/>
      <c r="B15" s="1387"/>
      <c r="C15" s="1751"/>
      <c r="D15" s="1751"/>
      <c r="E15" s="1751"/>
      <c r="F15" s="1751"/>
      <c r="G15" s="886"/>
      <c r="H15" s="886"/>
      <c r="I15" s="1751"/>
      <c r="J15" s="1751"/>
      <c r="K15" s="1751"/>
      <c r="L15" s="1751"/>
      <c r="M15" s="1751"/>
      <c r="N15" s="1751"/>
      <c r="O15" s="1751"/>
      <c r="P15" s="1751"/>
      <c r="Q15" s="1751"/>
      <c r="R15" s="1751"/>
      <c r="S15" s="1751"/>
      <c r="T15" s="1751"/>
      <c r="U15" s="1751"/>
      <c r="V15" s="1751"/>
      <c r="W15" s="1751"/>
      <c r="X15" s="1751"/>
      <c r="Y15" s="1751"/>
      <c r="Z15" s="1751"/>
      <c r="AA15" s="1751"/>
      <c r="AB15" s="1751"/>
      <c r="AC15" s="1768"/>
      <c r="AD15" s="1781"/>
      <c r="AE15" s="1781"/>
      <c r="AF15" s="788"/>
      <c r="AG15" s="788"/>
      <c r="AH15" s="788"/>
      <c r="AI15" s="11"/>
    </row>
    <row r="16" spans="1:35" s="785" customFormat="1" ht="22.5">
      <c r="A16" s="1432">
        <v>1</v>
      </c>
      <c r="B16" s="1224" t="s">
        <v>706</v>
      </c>
      <c r="C16" s="1753">
        <f>528355*1.2</f>
        <v>634026</v>
      </c>
      <c r="D16" s="1753">
        <f>275528*1.2</f>
        <v>330633.59999999998</v>
      </c>
      <c r="E16" s="511">
        <v>1</v>
      </c>
      <c r="F16" s="1755">
        <f>D16*E16</f>
        <v>330633.59999999998</v>
      </c>
      <c r="G16" s="500"/>
      <c r="H16" s="500"/>
      <c r="I16" s="1755">
        <f>W16</f>
        <v>330633.59999999998</v>
      </c>
      <c r="J16" s="500"/>
      <c r="K16" s="500"/>
      <c r="L16" s="1755">
        <f>I16-J16+K16</f>
        <v>330633.59999999998</v>
      </c>
      <c r="M16" s="500"/>
      <c r="N16" s="500"/>
      <c r="O16" s="1782">
        <v>1</v>
      </c>
      <c r="P16" s="1755">
        <f>U16</f>
        <v>330633.59999999998</v>
      </c>
      <c r="Q16" s="502"/>
      <c r="R16" s="2352">
        <v>330633.59999999998</v>
      </c>
      <c r="S16" s="1753">
        <f>P16-R16</f>
        <v>0</v>
      </c>
      <c r="T16" s="502">
        <f t="shared" ref="T16:T53" si="0">W16-L16</f>
        <v>0</v>
      </c>
      <c r="U16" s="1755">
        <v>330633.59999999998</v>
      </c>
      <c r="V16" s="511">
        <v>1</v>
      </c>
      <c r="W16" s="1755">
        <v>330633.59999999998</v>
      </c>
      <c r="X16" s="1755">
        <v>330633.59999999998</v>
      </c>
      <c r="Y16" s="1755"/>
      <c r="Z16" s="1755">
        <v>330633.59999999998</v>
      </c>
      <c r="AA16" s="1753">
        <v>259038</v>
      </c>
      <c r="AB16" s="1755">
        <f>275528*1.2</f>
        <v>330633.59999999998</v>
      </c>
      <c r="AC16" s="487"/>
      <c r="AD16" s="1783">
        <v>1</v>
      </c>
      <c r="AE16" s="1783">
        <f>AD16*F16</f>
        <v>330633.59999999998</v>
      </c>
      <c r="AF16" s="1784"/>
      <c r="AG16" s="1784"/>
      <c r="AH16" s="1784"/>
      <c r="AI16" s="786"/>
    </row>
    <row r="17" spans="1:35" s="785" customFormat="1">
      <c r="A17" s="1433">
        <v>2</v>
      </c>
      <c r="B17" s="1224" t="s">
        <v>705</v>
      </c>
      <c r="C17" s="1753">
        <f>2002700.8*1.2</f>
        <v>2403240.96</v>
      </c>
      <c r="D17" s="1753">
        <f>1771952*1.2</f>
        <v>2126342.4</v>
      </c>
      <c r="E17" s="511">
        <v>1</v>
      </c>
      <c r="F17" s="1755">
        <f>D17*E17</f>
        <v>2126342.4</v>
      </c>
      <c r="G17" s="500">
        <v>1030000</v>
      </c>
      <c r="H17" s="500" t="s">
        <v>704</v>
      </c>
      <c r="I17" s="1755">
        <f>W17</f>
        <v>2126342.4</v>
      </c>
      <c r="J17" s="500"/>
      <c r="K17" s="500"/>
      <c r="L17" s="1755">
        <f>I17-J17+K17</f>
        <v>2126342.4</v>
      </c>
      <c r="M17" s="500"/>
      <c r="N17" s="500">
        <f>G17</f>
        <v>1030000</v>
      </c>
      <c r="O17" s="1782">
        <v>1</v>
      </c>
      <c r="P17" s="1755">
        <f>U17</f>
        <v>2126342.4</v>
      </c>
      <c r="Q17" s="500">
        <v>0</v>
      </c>
      <c r="R17" s="2352">
        <v>2126342.4</v>
      </c>
      <c r="S17" s="1753">
        <f>P17-R17</f>
        <v>0</v>
      </c>
      <c r="T17" s="502">
        <f t="shared" si="0"/>
        <v>0</v>
      </c>
      <c r="U17" s="1755">
        <v>2126342.4</v>
      </c>
      <c r="V17" s="511">
        <v>1</v>
      </c>
      <c r="W17" s="1755">
        <v>2126342.4</v>
      </c>
      <c r="X17" s="1755">
        <v>2126342.4</v>
      </c>
      <c r="Y17" s="1755">
        <v>1030000</v>
      </c>
      <c r="Z17" s="1755">
        <v>2126342.4</v>
      </c>
      <c r="AA17" s="1753">
        <v>1974441.31</v>
      </c>
      <c r="AB17" s="1755">
        <f>1771952*1.2</f>
        <v>2126342.4</v>
      </c>
      <c r="AC17" s="487"/>
      <c r="AD17" s="1783">
        <v>1</v>
      </c>
      <c r="AE17" s="1783">
        <f>AD17*F17</f>
        <v>2126342.4</v>
      </c>
      <c r="AF17" s="1784"/>
      <c r="AG17" s="1784"/>
      <c r="AH17" s="1784"/>
      <c r="AI17" s="786"/>
    </row>
    <row r="18" spans="1:35" s="785" customFormat="1" ht="22.5">
      <c r="A18" s="1433">
        <v>3</v>
      </c>
      <c r="B18" s="1224" t="s">
        <v>703</v>
      </c>
      <c r="C18" s="1753">
        <f>747114.4*1.2</f>
        <v>896537.28</v>
      </c>
      <c r="D18" s="1753">
        <f>187409*1.2</f>
        <v>224890.8</v>
      </c>
      <c r="E18" s="511">
        <v>1</v>
      </c>
      <c r="F18" s="1755">
        <f>D18*E18</f>
        <v>224890.8</v>
      </c>
      <c r="G18" s="500">
        <v>34000</v>
      </c>
      <c r="H18" s="500" t="s">
        <v>702</v>
      </c>
      <c r="I18" s="1755">
        <f>W18</f>
        <v>224890.8</v>
      </c>
      <c r="J18" s="500"/>
      <c r="K18" s="500"/>
      <c r="L18" s="1755">
        <f>I18-J18+K18</f>
        <v>224890.8</v>
      </c>
      <c r="M18" s="500"/>
      <c r="N18" s="500">
        <v>34000</v>
      </c>
      <c r="O18" s="1782">
        <v>1</v>
      </c>
      <c r="P18" s="1755">
        <f>U18</f>
        <v>224890.8</v>
      </c>
      <c r="Q18" s="500"/>
      <c r="R18" s="2352">
        <v>224890.8</v>
      </c>
      <c r="S18" s="1753">
        <f>P18-R18</f>
        <v>0</v>
      </c>
      <c r="T18" s="502">
        <f t="shared" si="0"/>
        <v>0</v>
      </c>
      <c r="U18" s="1753">
        <v>224890.8</v>
      </c>
      <c r="V18" s="502">
        <v>1</v>
      </c>
      <c r="W18" s="1755">
        <v>224890.8</v>
      </c>
      <c r="X18" s="1755">
        <v>224890.8</v>
      </c>
      <c r="Y18" s="1755">
        <v>34000</v>
      </c>
      <c r="Z18" s="1755">
        <v>224890.8</v>
      </c>
      <c r="AA18" s="1753">
        <v>180201.24</v>
      </c>
      <c r="AB18" s="1755">
        <f>187409*1.2</f>
        <v>224890.8</v>
      </c>
      <c r="AC18" s="487"/>
      <c r="AD18" s="1783">
        <v>1</v>
      </c>
      <c r="AE18" s="1783">
        <f>AD18*F18</f>
        <v>224890.8</v>
      </c>
      <c r="AF18" s="1784"/>
      <c r="AG18" s="1784"/>
      <c r="AH18" s="1784"/>
      <c r="AI18" s="786"/>
    </row>
    <row r="19" spans="1:35" s="785" customFormat="1" ht="22.5">
      <c r="A19" s="1433">
        <v>4</v>
      </c>
      <c r="B19" s="1224" t="s">
        <v>701</v>
      </c>
      <c r="C19" s="1753">
        <f>679378*1.2</f>
        <v>815253.6</v>
      </c>
      <c r="D19" s="1753">
        <f>276245*1.2</f>
        <v>331494</v>
      </c>
      <c r="E19" s="511">
        <v>1</v>
      </c>
      <c r="F19" s="1753">
        <f>D19*E19</f>
        <v>331494</v>
      </c>
      <c r="G19" s="500"/>
      <c r="H19" s="500"/>
      <c r="I19" s="1755">
        <f>W19</f>
        <v>331494</v>
      </c>
      <c r="J19" s="500"/>
      <c r="K19" s="500"/>
      <c r="L19" s="1755">
        <f>I19-J19+K19</f>
        <v>331494</v>
      </c>
      <c r="M19" s="500"/>
      <c r="N19" s="500"/>
      <c r="O19" s="1782">
        <v>1</v>
      </c>
      <c r="P19" s="1755">
        <f>U19</f>
        <v>331494</v>
      </c>
      <c r="Q19" s="500"/>
      <c r="R19" s="2352">
        <v>331494</v>
      </c>
      <c r="S19" s="1753">
        <f>P19-R19</f>
        <v>0</v>
      </c>
      <c r="T19" s="502">
        <f t="shared" si="0"/>
        <v>0</v>
      </c>
      <c r="U19" s="1753">
        <v>331494</v>
      </c>
      <c r="V19" s="502">
        <v>1</v>
      </c>
      <c r="W19" s="1753">
        <v>331494</v>
      </c>
      <c r="X19" s="1755">
        <v>331494</v>
      </c>
      <c r="Y19" s="1755"/>
      <c r="Z19" s="1755">
        <v>331494</v>
      </c>
      <c r="AA19" s="1753"/>
      <c r="AB19" s="1755">
        <f>276245*1.2</f>
        <v>331494</v>
      </c>
      <c r="AC19" s="487"/>
      <c r="AD19" s="1783">
        <v>1</v>
      </c>
      <c r="AE19" s="1783">
        <f>AD19*F19</f>
        <v>331494</v>
      </c>
      <c r="AF19" s="1784"/>
      <c r="AG19" s="1784"/>
      <c r="AH19" s="1784"/>
      <c r="AI19" s="786"/>
    </row>
    <row r="20" spans="1:35" s="12" customFormat="1" ht="12.75">
      <c r="A20" s="815"/>
      <c r="B20" s="816"/>
      <c r="C20" s="502"/>
      <c r="D20" s="797"/>
      <c r="E20" s="511"/>
      <c r="F20" s="500"/>
      <c r="G20" s="797"/>
      <c r="H20" s="797"/>
      <c r="I20" s="797"/>
      <c r="J20" s="797"/>
      <c r="K20" s="797"/>
      <c r="L20" s="500"/>
      <c r="M20" s="797"/>
      <c r="N20" s="797"/>
      <c r="O20" s="511"/>
      <c r="P20" s="500"/>
      <c r="Q20" s="797"/>
      <c r="R20" s="797"/>
      <c r="S20" s="502"/>
      <c r="T20" s="502">
        <f t="shared" si="0"/>
        <v>0</v>
      </c>
      <c r="U20" s="797"/>
      <c r="V20" s="511"/>
      <c r="W20" s="500"/>
      <c r="X20" s="500"/>
      <c r="Y20" s="797"/>
      <c r="Z20" s="500"/>
      <c r="AA20" s="797"/>
      <c r="AB20" s="500"/>
      <c r="AC20" s="1768"/>
      <c r="AD20" s="1710"/>
      <c r="AE20" s="1710"/>
      <c r="AF20" s="788"/>
      <c r="AG20" s="788"/>
      <c r="AH20" s="788"/>
      <c r="AI20" s="11"/>
    </row>
    <row r="21" spans="1:35" s="12" customFormat="1" ht="12.75">
      <c r="A21" s="815"/>
      <c r="B21" s="814"/>
      <c r="C21" s="502"/>
      <c r="D21" s="502"/>
      <c r="E21" s="511"/>
      <c r="F21" s="502"/>
      <c r="G21" s="797"/>
      <c r="H21" s="797"/>
      <c r="I21" s="797"/>
      <c r="J21" s="797"/>
      <c r="K21" s="797"/>
      <c r="L21" s="500"/>
      <c r="M21" s="797"/>
      <c r="N21" s="797"/>
      <c r="O21" s="511"/>
      <c r="P21" s="500"/>
      <c r="Q21" s="797"/>
      <c r="R21" s="797"/>
      <c r="S21" s="502"/>
      <c r="T21" s="502">
        <f t="shared" si="0"/>
        <v>0</v>
      </c>
      <c r="U21" s="502"/>
      <c r="V21" s="511"/>
      <c r="W21" s="502"/>
      <c r="X21" s="500"/>
      <c r="Y21" s="797"/>
      <c r="AA21" s="797"/>
      <c r="AB21" s="500"/>
      <c r="AC21" s="1768"/>
      <c r="AD21" s="1710"/>
      <c r="AE21" s="1710">
        <f>AD21*F21</f>
        <v>0</v>
      </c>
      <c r="AF21" s="788"/>
      <c r="AG21" s="788"/>
      <c r="AH21" s="788"/>
      <c r="AI21" s="11"/>
    </row>
    <row r="22" spans="1:35" s="12" customFormat="1" ht="12.75">
      <c r="A22" s="815"/>
      <c r="B22" s="816"/>
      <c r="C22" s="502"/>
      <c r="D22" s="797"/>
      <c r="E22" s="511"/>
      <c r="F22" s="500"/>
      <c r="G22" s="797"/>
      <c r="H22" s="797"/>
      <c r="I22" s="797"/>
      <c r="J22" s="797"/>
      <c r="K22" s="797"/>
      <c r="L22" s="500"/>
      <c r="M22" s="797"/>
      <c r="N22" s="797"/>
      <c r="O22" s="511"/>
      <c r="P22" s="500"/>
      <c r="Q22" s="797"/>
      <c r="R22" s="797"/>
      <c r="S22" s="502"/>
      <c r="T22" s="502">
        <f t="shared" si="0"/>
        <v>0</v>
      </c>
      <c r="U22" s="797"/>
      <c r="V22" s="511"/>
      <c r="W22" s="500"/>
      <c r="X22" s="500"/>
      <c r="Y22" s="797"/>
      <c r="Z22" s="500"/>
      <c r="AA22" s="797"/>
      <c r="AB22" s="500"/>
      <c r="AC22" s="1768"/>
      <c r="AD22" s="1710"/>
      <c r="AE22" s="1710"/>
      <c r="AF22" s="788"/>
      <c r="AG22" s="788"/>
      <c r="AH22" s="788"/>
      <c r="AI22" s="11"/>
    </row>
    <row r="23" spans="1:35" s="12" customFormat="1" ht="12.75">
      <c r="A23" s="815"/>
      <c r="B23" s="816"/>
      <c r="C23" s="502"/>
      <c r="D23" s="797"/>
      <c r="E23" s="511"/>
      <c r="F23" s="500"/>
      <c r="G23" s="797"/>
      <c r="H23" s="797"/>
      <c r="I23" s="797"/>
      <c r="J23" s="797"/>
      <c r="K23" s="797"/>
      <c r="L23" s="500"/>
      <c r="M23" s="797"/>
      <c r="N23" s="797"/>
      <c r="O23" s="511"/>
      <c r="P23" s="500"/>
      <c r="Q23" s="797"/>
      <c r="R23" s="797"/>
      <c r="S23" s="502"/>
      <c r="T23" s="502">
        <f t="shared" si="0"/>
        <v>0</v>
      </c>
      <c r="U23" s="797"/>
      <c r="V23" s="511"/>
      <c r="W23" s="500"/>
      <c r="X23" s="500"/>
      <c r="Y23" s="797"/>
      <c r="Z23" s="500"/>
      <c r="AA23" s="797"/>
      <c r="AB23" s="500"/>
      <c r="AC23" s="1768"/>
      <c r="AD23" s="1710"/>
      <c r="AE23" s="1710"/>
      <c r="AF23" s="788"/>
      <c r="AG23" s="788"/>
      <c r="AH23" s="788"/>
      <c r="AI23" s="11"/>
    </row>
    <row r="24" spans="1:35" s="12" customFormat="1" ht="12.75">
      <c r="A24" s="815"/>
      <c r="B24" s="887"/>
      <c r="C24" s="502"/>
      <c r="D24" s="797"/>
      <c r="E24" s="511"/>
      <c r="F24" s="500"/>
      <c r="G24" s="797"/>
      <c r="H24" s="797"/>
      <c r="I24" s="797"/>
      <c r="J24" s="797"/>
      <c r="K24" s="797"/>
      <c r="L24" s="500"/>
      <c r="M24" s="797"/>
      <c r="N24" s="797"/>
      <c r="O24" s="797"/>
      <c r="P24" s="797"/>
      <c r="Q24" s="797"/>
      <c r="R24" s="797"/>
      <c r="S24" s="502"/>
      <c r="T24" s="502">
        <f t="shared" si="0"/>
        <v>0</v>
      </c>
      <c r="U24" s="797"/>
      <c r="V24" s="511"/>
      <c r="W24" s="500"/>
      <c r="X24" s="500"/>
      <c r="Y24" s="797"/>
      <c r="Z24" s="797"/>
      <c r="AA24" s="797"/>
      <c r="AB24" s="500"/>
      <c r="AC24" s="1768"/>
      <c r="AD24" s="1710"/>
      <c r="AE24" s="1710">
        <f>AD24*F24</f>
        <v>0</v>
      </c>
      <c r="AF24" s="788"/>
      <c r="AG24" s="788"/>
      <c r="AH24" s="788"/>
      <c r="AI24" s="11"/>
    </row>
    <row r="25" spans="1:35" s="12" customFormat="1" ht="12.75">
      <c r="A25" s="815"/>
      <c r="B25" s="811"/>
      <c r="C25" s="502"/>
      <c r="D25" s="797"/>
      <c r="E25" s="511"/>
      <c r="F25" s="500"/>
      <c r="G25" s="797"/>
      <c r="H25" s="797"/>
      <c r="I25" s="797"/>
      <c r="J25" s="797"/>
      <c r="K25" s="797"/>
      <c r="L25" s="500"/>
      <c r="M25" s="797"/>
      <c r="N25" s="797"/>
      <c r="O25" s="797"/>
      <c r="P25" s="797"/>
      <c r="Q25" s="797"/>
      <c r="R25" s="797"/>
      <c r="S25" s="797"/>
      <c r="T25" s="502">
        <f t="shared" si="0"/>
        <v>0</v>
      </c>
      <c r="U25" s="797"/>
      <c r="V25" s="511"/>
      <c r="W25" s="500"/>
      <c r="X25" s="500"/>
      <c r="Y25" s="797"/>
      <c r="Z25" s="797"/>
      <c r="AA25" s="797"/>
      <c r="AB25" s="500"/>
      <c r="AC25" s="1768"/>
      <c r="AD25" s="1710"/>
      <c r="AE25" s="1710"/>
      <c r="AF25" s="788"/>
      <c r="AG25" s="788"/>
      <c r="AH25" s="788"/>
      <c r="AI25" s="11"/>
    </row>
    <row r="26" spans="1:35" s="12" customFormat="1" ht="12.75">
      <c r="A26" s="815"/>
      <c r="B26" s="887"/>
      <c r="C26" s="502"/>
      <c r="D26" s="797"/>
      <c r="E26" s="511"/>
      <c r="F26" s="500"/>
      <c r="G26" s="797"/>
      <c r="H26" s="797"/>
      <c r="I26" s="797"/>
      <c r="J26" s="797"/>
      <c r="K26" s="797"/>
      <c r="L26" s="500"/>
      <c r="M26" s="797"/>
      <c r="N26" s="797"/>
      <c r="O26" s="797"/>
      <c r="P26" s="797"/>
      <c r="Q26" s="797"/>
      <c r="R26" s="797"/>
      <c r="S26" s="797"/>
      <c r="T26" s="502">
        <f t="shared" si="0"/>
        <v>0</v>
      </c>
      <c r="U26" s="797"/>
      <c r="V26" s="511"/>
      <c r="W26" s="500"/>
      <c r="X26" s="500"/>
      <c r="Y26" s="797"/>
      <c r="Z26" s="797"/>
      <c r="AA26" s="797"/>
      <c r="AB26" s="500"/>
      <c r="AC26" s="1768"/>
      <c r="AD26" s="1710"/>
      <c r="AE26" s="1710"/>
      <c r="AF26" s="788"/>
      <c r="AG26" s="788"/>
      <c r="AH26" s="788"/>
      <c r="AI26" s="11"/>
    </row>
    <row r="27" spans="1:35" s="12" customFormat="1" ht="12.75">
      <c r="A27" s="815"/>
      <c r="B27" s="811"/>
      <c r="C27" s="502"/>
      <c r="D27" s="797"/>
      <c r="E27" s="511"/>
      <c r="F27" s="500"/>
      <c r="G27" s="797"/>
      <c r="H27" s="797"/>
      <c r="I27" s="797"/>
      <c r="J27" s="797"/>
      <c r="K27" s="797"/>
      <c r="L27" s="500"/>
      <c r="M27" s="797"/>
      <c r="N27" s="797"/>
      <c r="O27" s="797"/>
      <c r="P27" s="797"/>
      <c r="Q27" s="797"/>
      <c r="R27" s="797"/>
      <c r="S27" s="797"/>
      <c r="T27" s="502">
        <f t="shared" si="0"/>
        <v>0</v>
      </c>
      <c r="U27" s="797"/>
      <c r="V27" s="511"/>
      <c r="W27" s="500"/>
      <c r="X27" s="500"/>
      <c r="Y27" s="797"/>
      <c r="Z27" s="797"/>
      <c r="AA27" s="797"/>
      <c r="AB27" s="500"/>
      <c r="AC27" s="1768"/>
      <c r="AD27" s="1710"/>
      <c r="AE27" s="1710"/>
      <c r="AF27" s="788"/>
      <c r="AG27" s="788"/>
      <c r="AH27" s="788"/>
      <c r="AI27" s="11"/>
    </row>
    <row r="28" spans="1:35" s="12" customFormat="1" ht="12.75">
      <c r="A28" s="815"/>
      <c r="B28" s="811"/>
      <c r="C28" s="502"/>
      <c r="D28" s="797"/>
      <c r="E28" s="511"/>
      <c r="F28" s="500"/>
      <c r="G28" s="797"/>
      <c r="H28" s="797"/>
      <c r="I28" s="797"/>
      <c r="J28" s="797"/>
      <c r="K28" s="797"/>
      <c r="L28" s="500"/>
      <c r="M28" s="797"/>
      <c r="N28" s="797"/>
      <c r="O28" s="797"/>
      <c r="P28" s="797"/>
      <c r="Q28" s="797"/>
      <c r="R28" s="797"/>
      <c r="S28" s="797"/>
      <c r="T28" s="502">
        <f t="shared" si="0"/>
        <v>0</v>
      </c>
      <c r="U28" s="797"/>
      <c r="V28" s="511"/>
      <c r="W28" s="500"/>
      <c r="X28" s="500"/>
      <c r="Y28" s="797"/>
      <c r="Z28" s="797"/>
      <c r="AA28" s="797"/>
      <c r="AB28" s="500"/>
      <c r="AC28" s="1768"/>
      <c r="AD28" s="1710"/>
      <c r="AE28" s="1710"/>
      <c r="AF28" s="788"/>
      <c r="AG28" s="788"/>
      <c r="AH28" s="788"/>
      <c r="AI28" s="11"/>
    </row>
    <row r="29" spans="1:35" s="12" customFormat="1" ht="12.75">
      <c r="A29" s="815"/>
      <c r="B29" s="811"/>
      <c r="C29" s="502"/>
      <c r="D29" s="797"/>
      <c r="E29" s="511"/>
      <c r="F29" s="500"/>
      <c r="G29" s="797"/>
      <c r="H29" s="797"/>
      <c r="I29" s="797"/>
      <c r="J29" s="797"/>
      <c r="K29" s="797"/>
      <c r="L29" s="500"/>
      <c r="M29" s="797"/>
      <c r="N29" s="797"/>
      <c r="O29" s="797"/>
      <c r="P29" s="797"/>
      <c r="Q29" s="797"/>
      <c r="R29" s="797"/>
      <c r="S29" s="797"/>
      <c r="T29" s="502">
        <f t="shared" si="0"/>
        <v>0</v>
      </c>
      <c r="U29" s="797"/>
      <c r="V29" s="511"/>
      <c r="W29" s="500"/>
      <c r="X29" s="500"/>
      <c r="Y29" s="797"/>
      <c r="Z29" s="797"/>
      <c r="AA29" s="797"/>
      <c r="AB29" s="500"/>
      <c r="AC29" s="1768"/>
      <c r="AD29" s="1710"/>
      <c r="AE29" s="1710"/>
      <c r="AF29" s="788"/>
      <c r="AG29" s="788"/>
      <c r="AH29" s="788"/>
      <c r="AI29" s="11"/>
    </row>
    <row r="30" spans="1:35" s="12" customFormat="1" ht="12.75">
      <c r="A30" s="815"/>
      <c r="B30" s="811"/>
      <c r="C30" s="502"/>
      <c r="D30" s="797"/>
      <c r="E30" s="511"/>
      <c r="F30" s="500"/>
      <c r="G30" s="797"/>
      <c r="H30" s="797"/>
      <c r="I30" s="797"/>
      <c r="J30" s="797"/>
      <c r="K30" s="797"/>
      <c r="L30" s="500"/>
      <c r="M30" s="797"/>
      <c r="N30" s="797"/>
      <c r="O30" s="797"/>
      <c r="P30" s="797"/>
      <c r="Q30" s="797"/>
      <c r="R30" s="797"/>
      <c r="S30" s="797"/>
      <c r="T30" s="502">
        <f t="shared" si="0"/>
        <v>0</v>
      </c>
      <c r="U30" s="797"/>
      <c r="V30" s="511"/>
      <c r="W30" s="500"/>
      <c r="X30" s="500"/>
      <c r="Y30" s="797"/>
      <c r="Z30" s="797"/>
      <c r="AA30" s="797"/>
      <c r="AB30" s="500"/>
      <c r="AC30" s="1768"/>
      <c r="AD30" s="1710"/>
      <c r="AE30" s="1710"/>
      <c r="AF30" s="788"/>
      <c r="AG30" s="788"/>
      <c r="AH30" s="788"/>
      <c r="AI30" s="11"/>
    </row>
    <row r="31" spans="1:35" s="12" customFormat="1" ht="12.75">
      <c r="A31" s="815"/>
      <c r="B31" s="811"/>
      <c r="C31" s="502"/>
      <c r="D31" s="797"/>
      <c r="E31" s="511"/>
      <c r="F31" s="500"/>
      <c r="G31" s="797"/>
      <c r="H31" s="797"/>
      <c r="I31" s="797"/>
      <c r="J31" s="797"/>
      <c r="K31" s="797"/>
      <c r="L31" s="500"/>
      <c r="M31" s="797"/>
      <c r="N31" s="797"/>
      <c r="O31" s="797"/>
      <c r="P31" s="797"/>
      <c r="Q31" s="797"/>
      <c r="R31" s="797"/>
      <c r="S31" s="797"/>
      <c r="T31" s="502">
        <f t="shared" si="0"/>
        <v>0</v>
      </c>
      <c r="U31" s="797"/>
      <c r="V31" s="511"/>
      <c r="W31" s="500"/>
      <c r="X31" s="500"/>
      <c r="Y31" s="797"/>
      <c r="Z31" s="797"/>
      <c r="AA31" s="797"/>
      <c r="AB31" s="500"/>
      <c r="AC31" s="1768"/>
      <c r="AD31" s="1710"/>
      <c r="AE31" s="1710"/>
      <c r="AF31" s="788"/>
      <c r="AG31" s="788"/>
      <c r="AH31" s="788"/>
      <c r="AI31" s="11"/>
    </row>
    <row r="32" spans="1:35" s="12" customFormat="1" ht="12.75">
      <c r="A32" s="815"/>
      <c r="B32" s="811"/>
      <c r="C32" s="502"/>
      <c r="D32" s="797"/>
      <c r="E32" s="511"/>
      <c r="F32" s="500"/>
      <c r="G32" s="797"/>
      <c r="H32" s="797"/>
      <c r="I32" s="797"/>
      <c r="J32" s="797"/>
      <c r="K32" s="797"/>
      <c r="L32" s="500"/>
      <c r="M32" s="797"/>
      <c r="N32" s="797"/>
      <c r="O32" s="797"/>
      <c r="P32" s="797"/>
      <c r="Q32" s="797"/>
      <c r="R32" s="797"/>
      <c r="S32" s="797"/>
      <c r="T32" s="502">
        <f t="shared" si="0"/>
        <v>0</v>
      </c>
      <c r="U32" s="797"/>
      <c r="V32" s="511"/>
      <c r="W32" s="500"/>
      <c r="X32" s="500"/>
      <c r="Y32" s="797"/>
      <c r="Z32" s="797"/>
      <c r="AA32" s="797"/>
      <c r="AB32" s="500"/>
      <c r="AC32" s="1768"/>
      <c r="AD32" s="1710"/>
      <c r="AE32" s="1710"/>
      <c r="AF32" s="788"/>
      <c r="AG32" s="788"/>
      <c r="AH32" s="788"/>
      <c r="AI32" s="11"/>
    </row>
    <row r="33" spans="1:35" s="12" customFormat="1" ht="12.75">
      <c r="A33" s="815"/>
      <c r="B33" s="811"/>
      <c r="C33" s="797"/>
      <c r="D33" s="797"/>
      <c r="E33" s="511"/>
      <c r="F33" s="500"/>
      <c r="G33" s="797"/>
      <c r="H33" s="797"/>
      <c r="I33" s="797"/>
      <c r="J33" s="797"/>
      <c r="K33" s="797"/>
      <c r="L33" s="500"/>
      <c r="M33" s="797"/>
      <c r="N33" s="797"/>
      <c r="O33" s="797"/>
      <c r="P33" s="797"/>
      <c r="Q33" s="797"/>
      <c r="R33" s="797"/>
      <c r="S33" s="797"/>
      <c r="T33" s="502">
        <f t="shared" si="0"/>
        <v>0</v>
      </c>
      <c r="U33" s="797"/>
      <c r="V33" s="511"/>
      <c r="W33" s="500"/>
      <c r="X33" s="500"/>
      <c r="Y33" s="797"/>
      <c r="Z33" s="797"/>
      <c r="AA33" s="797"/>
      <c r="AB33" s="500"/>
      <c r="AC33" s="1768"/>
      <c r="AD33" s="1710"/>
      <c r="AE33" s="1710"/>
      <c r="AF33" s="788"/>
      <c r="AG33" s="788"/>
      <c r="AH33" s="788"/>
      <c r="AI33" s="11"/>
    </row>
    <row r="34" spans="1:35" s="12" customFormat="1" ht="12.75">
      <c r="A34" s="815"/>
      <c r="B34" s="811"/>
      <c r="C34" s="797"/>
      <c r="D34" s="797"/>
      <c r="E34" s="511"/>
      <c r="F34" s="500"/>
      <c r="G34" s="797"/>
      <c r="H34" s="797"/>
      <c r="I34" s="797"/>
      <c r="J34" s="797"/>
      <c r="K34" s="797"/>
      <c r="L34" s="500"/>
      <c r="M34" s="797"/>
      <c r="N34" s="797"/>
      <c r="O34" s="797"/>
      <c r="P34" s="797"/>
      <c r="Q34" s="797"/>
      <c r="R34" s="797"/>
      <c r="S34" s="797"/>
      <c r="T34" s="502">
        <f t="shared" si="0"/>
        <v>0</v>
      </c>
      <c r="U34" s="797"/>
      <c r="V34" s="511"/>
      <c r="W34" s="500"/>
      <c r="X34" s="500"/>
      <c r="Y34" s="797"/>
      <c r="Z34" s="797"/>
      <c r="AA34" s="797"/>
      <c r="AB34" s="500"/>
      <c r="AC34" s="1768"/>
      <c r="AD34" s="1710"/>
      <c r="AE34" s="1710"/>
      <c r="AF34" s="788"/>
      <c r="AG34" s="788"/>
      <c r="AH34" s="788"/>
      <c r="AI34" s="11"/>
    </row>
    <row r="35" spans="1:35" s="12" customFormat="1" ht="12.75">
      <c r="A35" s="815"/>
      <c r="B35" s="811"/>
      <c r="C35" s="797"/>
      <c r="D35" s="797"/>
      <c r="E35" s="511"/>
      <c r="F35" s="500"/>
      <c r="G35" s="797"/>
      <c r="H35" s="797"/>
      <c r="I35" s="797"/>
      <c r="J35" s="797"/>
      <c r="K35" s="797"/>
      <c r="L35" s="500"/>
      <c r="M35" s="797"/>
      <c r="N35" s="797"/>
      <c r="O35" s="797"/>
      <c r="P35" s="797"/>
      <c r="Q35" s="797"/>
      <c r="R35" s="797"/>
      <c r="S35" s="797"/>
      <c r="T35" s="502">
        <f t="shared" si="0"/>
        <v>0</v>
      </c>
      <c r="U35" s="797"/>
      <c r="V35" s="511"/>
      <c r="W35" s="500"/>
      <c r="X35" s="500"/>
      <c r="Y35" s="797"/>
      <c r="Z35" s="797"/>
      <c r="AA35" s="797"/>
      <c r="AB35" s="500"/>
      <c r="AC35" s="1768"/>
      <c r="AD35" s="1710"/>
      <c r="AE35" s="1710"/>
      <c r="AF35" s="788"/>
      <c r="AG35" s="788"/>
      <c r="AH35" s="788"/>
      <c r="AI35" s="11"/>
    </row>
    <row r="36" spans="1:35" s="12" customFormat="1" ht="12.75">
      <c r="A36" s="815"/>
      <c r="B36" s="811"/>
      <c r="C36" s="797"/>
      <c r="D36" s="797"/>
      <c r="E36" s="511"/>
      <c r="F36" s="500"/>
      <c r="G36" s="797"/>
      <c r="H36" s="797"/>
      <c r="I36" s="797"/>
      <c r="J36" s="797"/>
      <c r="K36" s="797"/>
      <c r="L36" s="500"/>
      <c r="M36" s="797"/>
      <c r="N36" s="797"/>
      <c r="O36" s="797"/>
      <c r="P36" s="797"/>
      <c r="Q36" s="797"/>
      <c r="R36" s="797"/>
      <c r="S36" s="797"/>
      <c r="T36" s="502">
        <f t="shared" si="0"/>
        <v>0</v>
      </c>
      <c r="U36" s="797"/>
      <c r="V36" s="511"/>
      <c r="W36" s="500"/>
      <c r="X36" s="500"/>
      <c r="Y36" s="797"/>
      <c r="Z36" s="797"/>
      <c r="AA36" s="797"/>
      <c r="AB36" s="500"/>
      <c r="AC36" s="1768"/>
      <c r="AD36" s="1710"/>
      <c r="AE36" s="1710"/>
      <c r="AF36" s="788"/>
      <c r="AG36" s="788"/>
      <c r="AH36" s="788"/>
      <c r="AI36" s="11"/>
    </row>
    <row r="37" spans="1:35" s="12" customFormat="1" ht="12.75">
      <c r="A37" s="815"/>
      <c r="B37" s="811"/>
      <c r="C37" s="797"/>
      <c r="D37" s="797"/>
      <c r="E37" s="511"/>
      <c r="F37" s="500"/>
      <c r="G37" s="797"/>
      <c r="H37" s="797"/>
      <c r="I37" s="797"/>
      <c r="J37" s="797"/>
      <c r="K37" s="797"/>
      <c r="L37" s="500"/>
      <c r="M37" s="797"/>
      <c r="N37" s="797"/>
      <c r="O37" s="797"/>
      <c r="P37" s="797">
        <v>-6291.6</v>
      </c>
      <c r="Q37" s="797"/>
      <c r="R37" s="2353">
        <v>-7743.91</v>
      </c>
      <c r="S37" s="797"/>
      <c r="T37" s="502">
        <f t="shared" si="0"/>
        <v>0</v>
      </c>
      <c r="U37" s="797"/>
      <c r="V37" s="511"/>
      <c r="W37" s="500"/>
      <c r="X37" s="500"/>
      <c r="Y37" s="797"/>
      <c r="Z37" s="500">
        <v>-6291.6</v>
      </c>
      <c r="AA37" s="797"/>
      <c r="AB37" s="500"/>
      <c r="AC37" s="1768"/>
      <c r="AD37" s="1710"/>
      <c r="AE37" s="1710"/>
      <c r="AF37" s="788"/>
      <c r="AG37" s="788"/>
      <c r="AH37" s="788"/>
      <c r="AI37" s="11"/>
    </row>
    <row r="38" spans="1:35" s="12" customFormat="1" ht="12.75">
      <c r="A38" s="815"/>
      <c r="B38" s="811"/>
      <c r="C38" s="797"/>
      <c r="D38" s="797"/>
      <c r="E38" s="511"/>
      <c r="F38" s="500"/>
      <c r="G38" s="797"/>
      <c r="H38" s="797"/>
      <c r="I38" s="797"/>
      <c r="J38" s="797"/>
      <c r="K38" s="797"/>
      <c r="L38" s="500"/>
      <c r="M38" s="797"/>
      <c r="N38" s="797"/>
      <c r="O38" s="797"/>
      <c r="P38" s="797"/>
      <c r="Q38" s="797"/>
      <c r="R38" s="797"/>
      <c r="S38" s="797"/>
      <c r="T38" s="502">
        <f t="shared" si="0"/>
        <v>0</v>
      </c>
      <c r="U38" s="797"/>
      <c r="V38" s="511"/>
      <c r="W38" s="500"/>
      <c r="X38" s="500"/>
      <c r="Y38" s="797"/>
      <c r="Z38" s="797"/>
      <c r="AA38" s="797"/>
      <c r="AB38" s="500"/>
      <c r="AC38" s="1768"/>
      <c r="AD38" s="1710"/>
      <c r="AE38" s="1710"/>
      <c r="AF38" s="788"/>
      <c r="AG38" s="788"/>
      <c r="AH38" s="788"/>
      <c r="AI38" s="11"/>
    </row>
    <row r="39" spans="1:35" s="12" customFormat="1" ht="12.75">
      <c r="A39" s="815"/>
      <c r="B39" s="811"/>
      <c r="C39" s="797"/>
      <c r="D39" s="797"/>
      <c r="E39" s="511"/>
      <c r="F39" s="500"/>
      <c r="G39" s="797"/>
      <c r="H39" s="797"/>
      <c r="I39" s="797"/>
      <c r="J39" s="797"/>
      <c r="K39" s="797"/>
      <c r="L39" s="500"/>
      <c r="M39" s="797"/>
      <c r="N39" s="797"/>
      <c r="O39" s="797"/>
      <c r="P39" s="797"/>
      <c r="Q39" s="797"/>
      <c r="R39" s="797"/>
      <c r="S39" s="797"/>
      <c r="T39" s="502">
        <f t="shared" si="0"/>
        <v>0</v>
      </c>
      <c r="U39" s="797"/>
      <c r="V39" s="511"/>
      <c r="W39" s="500"/>
      <c r="X39" s="500"/>
      <c r="Y39" s="797"/>
      <c r="Z39" s="797"/>
      <c r="AA39" s="797"/>
      <c r="AB39" s="500"/>
      <c r="AC39" s="1768"/>
      <c r="AD39" s="1710"/>
      <c r="AE39" s="1710"/>
      <c r="AF39" s="788"/>
      <c r="AG39" s="788"/>
      <c r="AH39" s="788"/>
      <c r="AI39" s="11"/>
    </row>
    <row r="40" spans="1:35" s="12" customFormat="1" ht="12.75">
      <c r="A40" s="815"/>
      <c r="B40" s="811"/>
      <c r="C40" s="797"/>
      <c r="D40" s="797"/>
      <c r="E40" s="511"/>
      <c r="F40" s="500"/>
      <c r="G40" s="797"/>
      <c r="H40" s="797"/>
      <c r="I40" s="797"/>
      <c r="J40" s="797"/>
      <c r="K40" s="797"/>
      <c r="L40" s="500"/>
      <c r="M40" s="797"/>
      <c r="N40" s="797"/>
      <c r="O40" s="797"/>
      <c r="P40" s="797"/>
      <c r="Q40" s="797"/>
      <c r="R40" s="797"/>
      <c r="S40" s="797"/>
      <c r="T40" s="502">
        <f t="shared" si="0"/>
        <v>0</v>
      </c>
      <c r="U40" s="797"/>
      <c r="V40" s="511"/>
      <c r="W40" s="500"/>
      <c r="X40" s="500"/>
      <c r="Y40" s="797"/>
      <c r="Z40" s="797"/>
      <c r="AA40" s="797"/>
      <c r="AB40" s="500"/>
      <c r="AC40" s="1768"/>
      <c r="AD40" s="1710"/>
      <c r="AE40" s="1710"/>
      <c r="AF40" s="788"/>
      <c r="AG40" s="788"/>
      <c r="AH40" s="788"/>
      <c r="AI40" s="11"/>
    </row>
    <row r="41" spans="1:35" s="12" customFormat="1" ht="12.75">
      <c r="A41" s="815"/>
      <c r="B41" s="811"/>
      <c r="C41" s="797"/>
      <c r="D41" s="797"/>
      <c r="E41" s="511"/>
      <c r="F41" s="500"/>
      <c r="G41" s="797"/>
      <c r="H41" s="797"/>
      <c r="I41" s="797"/>
      <c r="J41" s="797"/>
      <c r="K41" s="797"/>
      <c r="L41" s="500"/>
      <c r="M41" s="797"/>
      <c r="N41" s="797"/>
      <c r="O41" s="797"/>
      <c r="P41" s="797"/>
      <c r="Q41" s="797"/>
      <c r="R41" s="797"/>
      <c r="S41" s="797"/>
      <c r="T41" s="502">
        <f t="shared" si="0"/>
        <v>0</v>
      </c>
      <c r="U41" s="797"/>
      <c r="V41" s="511"/>
      <c r="W41" s="500"/>
      <c r="X41" s="500"/>
      <c r="Y41" s="797"/>
      <c r="Z41" s="797"/>
      <c r="AA41" s="797"/>
      <c r="AB41" s="500"/>
      <c r="AC41" s="1768"/>
      <c r="AD41" s="1710"/>
      <c r="AE41" s="1710"/>
      <c r="AF41" s="788"/>
      <c r="AG41" s="788"/>
      <c r="AH41" s="788"/>
      <c r="AI41" s="11"/>
    </row>
    <row r="42" spans="1:35" s="12" customFormat="1" ht="12.75">
      <c r="A42" s="815"/>
      <c r="B42" s="811"/>
      <c r="C42" s="797"/>
      <c r="D42" s="797"/>
      <c r="E42" s="511"/>
      <c r="F42" s="500"/>
      <c r="G42" s="797"/>
      <c r="H42" s="797"/>
      <c r="I42" s="797"/>
      <c r="J42" s="797"/>
      <c r="K42" s="797"/>
      <c r="L42" s="500"/>
      <c r="M42" s="797"/>
      <c r="N42" s="797"/>
      <c r="O42" s="797"/>
      <c r="P42" s="797"/>
      <c r="Q42" s="797"/>
      <c r="R42" s="797"/>
      <c r="S42" s="797"/>
      <c r="T42" s="502">
        <f t="shared" si="0"/>
        <v>0</v>
      </c>
      <c r="U42" s="797"/>
      <c r="V42" s="511"/>
      <c r="W42" s="500"/>
      <c r="X42" s="500"/>
      <c r="Y42" s="797"/>
      <c r="Z42" s="797"/>
      <c r="AA42" s="797"/>
      <c r="AB42" s="500"/>
      <c r="AC42" s="1768"/>
      <c r="AD42" s="1710"/>
      <c r="AE42" s="1710"/>
      <c r="AF42" s="788"/>
      <c r="AG42" s="788"/>
      <c r="AH42" s="788"/>
      <c r="AI42" s="11"/>
    </row>
    <row r="43" spans="1:35" s="12" customFormat="1" ht="12.75">
      <c r="A43" s="815"/>
      <c r="B43" s="811"/>
      <c r="C43" s="797"/>
      <c r="D43" s="797"/>
      <c r="E43" s="511"/>
      <c r="F43" s="500"/>
      <c r="G43" s="797"/>
      <c r="H43" s="797"/>
      <c r="I43" s="797"/>
      <c r="J43" s="797"/>
      <c r="K43" s="797"/>
      <c r="L43" s="500"/>
      <c r="M43" s="797"/>
      <c r="N43" s="797"/>
      <c r="O43" s="797"/>
      <c r="P43" s="797"/>
      <c r="Q43" s="797"/>
      <c r="R43" s="797"/>
      <c r="S43" s="797"/>
      <c r="T43" s="502">
        <f t="shared" si="0"/>
        <v>0</v>
      </c>
      <c r="U43" s="797"/>
      <c r="V43" s="511"/>
      <c r="W43" s="500"/>
      <c r="X43" s="500"/>
      <c r="Y43" s="797"/>
      <c r="Z43" s="797"/>
      <c r="AA43" s="797"/>
      <c r="AB43" s="500"/>
      <c r="AC43" s="1768"/>
      <c r="AD43" s="1710"/>
      <c r="AE43" s="1710"/>
      <c r="AF43" s="788"/>
      <c r="AG43" s="788"/>
      <c r="AH43" s="788"/>
      <c r="AI43" s="11"/>
    </row>
    <row r="44" spans="1:35" s="12" customFormat="1" ht="12.75">
      <c r="A44" s="815"/>
      <c r="B44" s="811"/>
      <c r="C44" s="797"/>
      <c r="D44" s="797"/>
      <c r="E44" s="511"/>
      <c r="F44" s="500"/>
      <c r="G44" s="797"/>
      <c r="H44" s="797"/>
      <c r="I44" s="797"/>
      <c r="J44" s="797"/>
      <c r="K44" s="797"/>
      <c r="L44" s="500"/>
      <c r="M44" s="797"/>
      <c r="N44" s="797"/>
      <c r="O44" s="797"/>
      <c r="P44" s="797"/>
      <c r="Q44" s="797"/>
      <c r="R44" s="797"/>
      <c r="S44" s="797"/>
      <c r="T44" s="502">
        <f t="shared" si="0"/>
        <v>0</v>
      </c>
      <c r="U44" s="797"/>
      <c r="V44" s="511"/>
      <c r="W44" s="500"/>
      <c r="X44" s="500"/>
      <c r="Y44" s="797"/>
      <c r="Z44" s="797"/>
      <c r="AA44" s="797"/>
      <c r="AB44" s="500"/>
      <c r="AC44" s="1768"/>
      <c r="AD44" s="1710"/>
      <c r="AE44" s="1710"/>
      <c r="AF44" s="788"/>
      <c r="AG44" s="788"/>
      <c r="AH44" s="788"/>
      <c r="AI44" s="11"/>
    </row>
    <row r="45" spans="1:35" s="12" customFormat="1" ht="12.75">
      <c r="A45" s="815"/>
      <c r="B45" s="811"/>
      <c r="C45" s="797"/>
      <c r="D45" s="797"/>
      <c r="E45" s="511"/>
      <c r="F45" s="500"/>
      <c r="G45" s="797"/>
      <c r="H45" s="797"/>
      <c r="I45" s="797"/>
      <c r="J45" s="797"/>
      <c r="K45" s="797"/>
      <c r="L45" s="500"/>
      <c r="M45" s="797"/>
      <c r="N45" s="797"/>
      <c r="O45" s="797"/>
      <c r="P45" s="797"/>
      <c r="Q45" s="797"/>
      <c r="R45" s="797"/>
      <c r="S45" s="797"/>
      <c r="T45" s="502">
        <f t="shared" si="0"/>
        <v>0</v>
      </c>
      <c r="U45" s="797"/>
      <c r="V45" s="511"/>
      <c r="W45" s="500"/>
      <c r="X45" s="500"/>
      <c r="Y45" s="797"/>
      <c r="Z45" s="797"/>
      <c r="AA45" s="797"/>
      <c r="AB45" s="500"/>
      <c r="AC45" s="1768"/>
      <c r="AD45" s="1710"/>
      <c r="AE45" s="1710"/>
      <c r="AF45" s="788"/>
      <c r="AG45" s="788"/>
      <c r="AH45" s="788"/>
      <c r="AI45" s="11"/>
    </row>
    <row r="46" spans="1:35" s="12" customFormat="1" ht="12.75">
      <c r="A46" s="815"/>
      <c r="B46" s="811"/>
      <c r="C46" s="797"/>
      <c r="D46" s="797"/>
      <c r="E46" s="511"/>
      <c r="F46" s="500"/>
      <c r="G46" s="797"/>
      <c r="H46" s="797"/>
      <c r="I46" s="797"/>
      <c r="J46" s="797"/>
      <c r="K46" s="797"/>
      <c r="L46" s="500"/>
      <c r="M46" s="797"/>
      <c r="N46" s="797"/>
      <c r="O46" s="797"/>
      <c r="P46" s="797"/>
      <c r="Q46" s="797"/>
      <c r="R46" s="797"/>
      <c r="S46" s="797"/>
      <c r="T46" s="502">
        <f t="shared" si="0"/>
        <v>0</v>
      </c>
      <c r="U46" s="797"/>
      <c r="V46" s="511"/>
      <c r="W46" s="500"/>
      <c r="X46" s="500"/>
      <c r="Y46" s="797"/>
      <c r="Z46" s="797"/>
      <c r="AA46" s="797"/>
      <c r="AB46" s="500"/>
      <c r="AC46" s="1768"/>
      <c r="AD46" s="1710"/>
      <c r="AE46" s="1710"/>
      <c r="AF46" s="788"/>
      <c r="AG46" s="788"/>
      <c r="AH46" s="788"/>
      <c r="AI46" s="11"/>
    </row>
    <row r="47" spans="1:35" s="12" customFormat="1" ht="12.75">
      <c r="A47" s="815"/>
      <c r="B47" s="811" t="s">
        <v>512</v>
      </c>
      <c r="C47" s="797"/>
      <c r="D47" s="797"/>
      <c r="E47" s="511"/>
      <c r="F47" s="500"/>
      <c r="G47" s="797"/>
      <c r="H47" s="797"/>
      <c r="I47" s="797"/>
      <c r="J47" s="797"/>
      <c r="K47" s="797"/>
      <c r="L47" s="500"/>
      <c r="M47" s="797"/>
      <c r="N47" s="797"/>
      <c r="O47" s="797"/>
      <c r="P47" s="797"/>
      <c r="Q47" s="797"/>
      <c r="R47" s="797"/>
      <c r="S47" s="797"/>
      <c r="T47" s="502">
        <f t="shared" si="0"/>
        <v>0</v>
      </c>
      <c r="U47" s="797"/>
      <c r="V47" s="511"/>
      <c r="W47" s="500"/>
      <c r="X47" s="500"/>
      <c r="Y47" s="797"/>
      <c r="Z47" s="797"/>
      <c r="AA47" s="797"/>
      <c r="AB47" s="500"/>
      <c r="AC47" s="1768"/>
      <c r="AD47" s="1710"/>
      <c r="AE47" s="1710"/>
      <c r="AF47" s="788"/>
      <c r="AG47" s="788"/>
      <c r="AH47" s="788"/>
      <c r="AI47" s="11"/>
    </row>
    <row r="48" spans="1:35" s="12" customFormat="1" ht="12.75">
      <c r="A48" s="815"/>
      <c r="B48" s="811"/>
      <c r="C48" s="797"/>
      <c r="D48" s="797"/>
      <c r="E48" s="511"/>
      <c r="F48" s="500"/>
      <c r="G48" s="797"/>
      <c r="H48" s="797"/>
      <c r="I48" s="797"/>
      <c r="J48" s="797"/>
      <c r="K48" s="797"/>
      <c r="L48" s="500"/>
      <c r="M48" s="797"/>
      <c r="N48" s="797"/>
      <c r="O48" s="797"/>
      <c r="P48" s="797"/>
      <c r="Q48" s="797"/>
      <c r="R48" s="797"/>
      <c r="S48" s="797"/>
      <c r="T48" s="502">
        <f t="shared" si="0"/>
        <v>0</v>
      </c>
      <c r="U48" s="797"/>
      <c r="V48" s="511"/>
      <c r="W48" s="500"/>
      <c r="X48" s="500"/>
      <c r="Y48" s="797"/>
      <c r="Z48" s="797"/>
      <c r="AA48" s="797"/>
      <c r="AB48" s="500"/>
      <c r="AC48" s="1768"/>
      <c r="AD48" s="1710"/>
      <c r="AE48" s="1710"/>
      <c r="AF48" s="788"/>
      <c r="AG48" s="788"/>
      <c r="AH48" s="788"/>
      <c r="AI48" s="11"/>
    </row>
    <row r="49" spans="1:35" s="12" customFormat="1" ht="12.75">
      <c r="A49" s="815"/>
      <c r="B49" s="811"/>
      <c r="C49" s="797"/>
      <c r="D49" s="797"/>
      <c r="E49" s="511"/>
      <c r="F49" s="500"/>
      <c r="G49" s="797"/>
      <c r="H49" s="797"/>
      <c r="I49" s="797"/>
      <c r="J49" s="797"/>
      <c r="K49" s="797"/>
      <c r="L49" s="500"/>
      <c r="M49" s="797"/>
      <c r="N49" s="797"/>
      <c r="O49" s="797"/>
      <c r="P49" s="797"/>
      <c r="Q49" s="797"/>
      <c r="R49" s="797"/>
      <c r="S49" s="797"/>
      <c r="T49" s="502">
        <f t="shared" si="0"/>
        <v>0</v>
      </c>
      <c r="U49" s="797"/>
      <c r="V49" s="511"/>
      <c r="W49" s="500"/>
      <c r="X49" s="500"/>
      <c r="Y49" s="797"/>
      <c r="Z49" s="797"/>
      <c r="AA49" s="797"/>
      <c r="AB49" s="500"/>
      <c r="AC49" s="1768"/>
      <c r="AD49" s="1710"/>
      <c r="AE49" s="1710"/>
      <c r="AF49" s="788"/>
      <c r="AG49" s="788"/>
      <c r="AH49" s="788"/>
      <c r="AI49" s="11"/>
    </row>
    <row r="50" spans="1:35" s="12" customFormat="1" ht="12.75">
      <c r="A50" s="815"/>
      <c r="B50" s="811"/>
      <c r="C50" s="797"/>
      <c r="D50" s="797"/>
      <c r="E50" s="511"/>
      <c r="F50" s="500"/>
      <c r="G50" s="797"/>
      <c r="H50" s="797"/>
      <c r="I50" s="797"/>
      <c r="J50" s="797"/>
      <c r="K50" s="797"/>
      <c r="L50" s="500"/>
      <c r="M50" s="797"/>
      <c r="N50" s="797"/>
      <c r="O50" s="797"/>
      <c r="P50" s="797"/>
      <c r="Q50" s="797"/>
      <c r="R50" s="797"/>
      <c r="S50" s="797"/>
      <c r="T50" s="502">
        <f t="shared" si="0"/>
        <v>0</v>
      </c>
      <c r="U50" s="797"/>
      <c r="V50" s="511"/>
      <c r="W50" s="500"/>
      <c r="X50" s="500"/>
      <c r="Y50" s="797"/>
      <c r="Z50" s="797"/>
      <c r="AA50" s="797"/>
      <c r="AB50" s="500"/>
      <c r="AC50" s="1768"/>
      <c r="AD50" s="1710"/>
      <c r="AE50" s="1710"/>
      <c r="AF50" s="788"/>
      <c r="AG50" s="788"/>
      <c r="AH50" s="788"/>
      <c r="AI50" s="11"/>
    </row>
    <row r="51" spans="1:35" s="12" customFormat="1" ht="12.75">
      <c r="A51" s="815"/>
      <c r="B51" s="814"/>
      <c r="C51" s="797"/>
      <c r="D51" s="797"/>
      <c r="E51" s="511"/>
      <c r="F51" s="797"/>
      <c r="G51" s="797"/>
      <c r="H51" s="797"/>
      <c r="I51" s="797"/>
      <c r="J51" s="797"/>
      <c r="K51" s="797"/>
      <c r="L51" s="797"/>
      <c r="M51" s="797"/>
      <c r="N51" s="797"/>
      <c r="O51" s="797"/>
      <c r="P51" s="797"/>
      <c r="Q51" s="797"/>
      <c r="R51" s="797"/>
      <c r="S51" s="797">
        <f>R51-P51</f>
        <v>0</v>
      </c>
      <c r="T51" s="502">
        <f t="shared" si="0"/>
        <v>0</v>
      </c>
      <c r="U51" s="797"/>
      <c r="V51" s="511"/>
      <c r="W51" s="797"/>
      <c r="X51" s="797"/>
      <c r="Y51" s="797"/>
      <c r="Z51" s="797"/>
      <c r="AA51" s="797"/>
      <c r="AB51" s="797"/>
      <c r="AC51" s="1768"/>
      <c r="AD51" s="1710"/>
      <c r="AE51" s="1710"/>
      <c r="AF51" s="788"/>
      <c r="AG51" s="788"/>
      <c r="AH51" s="788"/>
      <c r="AI51" s="11"/>
    </row>
    <row r="52" spans="1:35" s="12" customFormat="1" ht="12.75">
      <c r="A52" s="815"/>
      <c r="B52" s="814"/>
      <c r="C52" s="797"/>
      <c r="D52" s="797"/>
      <c r="E52" s="511"/>
      <c r="F52" s="797"/>
      <c r="G52" s="797"/>
      <c r="H52" s="797"/>
      <c r="I52" s="797"/>
      <c r="J52" s="797"/>
      <c r="K52" s="797"/>
      <c r="L52" s="797"/>
      <c r="M52" s="797"/>
      <c r="N52" s="797"/>
      <c r="O52" s="797"/>
      <c r="P52" s="797"/>
      <c r="Q52" s="797"/>
      <c r="R52" s="797"/>
      <c r="S52" s="797">
        <f>R52-P52</f>
        <v>0</v>
      </c>
      <c r="T52" s="502">
        <f t="shared" si="0"/>
        <v>0</v>
      </c>
      <c r="U52" s="797"/>
      <c r="V52" s="511"/>
      <c r="W52" s="797"/>
      <c r="X52" s="797"/>
      <c r="Y52" s="797"/>
      <c r="Z52" s="797"/>
      <c r="AA52" s="797"/>
      <c r="AB52" s="797"/>
      <c r="AC52" s="1768"/>
      <c r="AD52" s="1710"/>
      <c r="AE52" s="1710"/>
      <c r="AF52" s="788"/>
      <c r="AG52" s="788"/>
      <c r="AH52" s="788"/>
      <c r="AI52" s="11"/>
    </row>
    <row r="53" spans="1:35" s="12" customFormat="1" ht="12.75">
      <c r="A53" s="821"/>
      <c r="B53" s="817"/>
      <c r="C53" s="797"/>
      <c r="D53" s="797"/>
      <c r="E53" s="511"/>
      <c r="F53" s="797"/>
      <c r="G53" s="797"/>
      <c r="H53" s="797"/>
      <c r="I53" s="797"/>
      <c r="J53" s="797"/>
      <c r="K53" s="797"/>
      <c r="L53" s="797"/>
      <c r="M53" s="797"/>
      <c r="N53" s="797"/>
      <c r="O53" s="797"/>
      <c r="P53" s="797"/>
      <c r="Q53" s="797"/>
      <c r="R53" s="797"/>
      <c r="S53" s="797"/>
      <c r="T53" s="502">
        <f t="shared" si="0"/>
        <v>0</v>
      </c>
      <c r="U53" s="797"/>
      <c r="V53" s="511"/>
      <c r="W53" s="797"/>
      <c r="X53" s="797"/>
      <c r="Y53" s="797"/>
      <c r="Z53" s="797"/>
      <c r="AA53" s="797"/>
      <c r="AB53" s="797"/>
      <c r="AC53" s="1768"/>
      <c r="AD53" s="1710"/>
      <c r="AE53" s="1710"/>
      <c r="AF53" s="788"/>
      <c r="AG53" s="788"/>
      <c r="AH53" s="788"/>
      <c r="AI53" s="11"/>
    </row>
    <row r="54" spans="1:35" s="12" customFormat="1" ht="12.75">
      <c r="A54" s="41"/>
      <c r="B54" s="42" t="s">
        <v>17</v>
      </c>
      <c r="C54" s="501">
        <f>SUM(C16:C53)</f>
        <v>4749057.84</v>
      </c>
      <c r="D54" s="501">
        <f>SUM(D16:D53)</f>
        <v>3013360.8</v>
      </c>
      <c r="E54" s="501"/>
      <c r="F54" s="501">
        <f>SUM(F16:F53)</f>
        <v>3013360.8</v>
      </c>
      <c r="G54" s="501">
        <f>SUM(G16:G53)</f>
        <v>1064000</v>
      </c>
      <c r="H54" s="501">
        <f t="shared" ref="H54:N54" si="1">SUM(H14:H53)</f>
        <v>0</v>
      </c>
      <c r="I54" s="501">
        <f t="shared" si="1"/>
        <v>3013360.8</v>
      </c>
      <c r="J54" s="501">
        <f t="shared" si="1"/>
        <v>0</v>
      </c>
      <c r="K54" s="501">
        <f t="shared" si="1"/>
        <v>0</v>
      </c>
      <c r="L54" s="501">
        <f t="shared" si="1"/>
        <v>3013360.8</v>
      </c>
      <c r="M54" s="501">
        <f t="shared" si="1"/>
        <v>0</v>
      </c>
      <c r="N54" s="501">
        <f t="shared" si="1"/>
        <v>1064000</v>
      </c>
      <c r="O54" s="1785"/>
      <c r="P54" s="1785">
        <f>SUM(P14:P53)</f>
        <v>3007069.1999999997</v>
      </c>
      <c r="Q54" s="1785">
        <f>SUM(Q14:Q53)</f>
        <v>0</v>
      </c>
      <c r="R54" s="1785">
        <f>SUM(R14:R53)</f>
        <v>3005616.8899999997</v>
      </c>
      <c r="S54" s="501">
        <f>SUM(S14:S53)</f>
        <v>0</v>
      </c>
      <c r="T54" s="1786">
        <f>SUM(T14:T53)</f>
        <v>0</v>
      </c>
      <c r="U54" s="501"/>
      <c r="V54" s="501"/>
      <c r="W54" s="501">
        <f>SUM(W16:W53)</f>
        <v>3013360.8</v>
      </c>
      <c r="X54" s="501">
        <f>SUM(X14:X53)</f>
        <v>3013360.8</v>
      </c>
      <c r="Y54" s="501">
        <f>SUM(Y14:Y53)</f>
        <v>1064000</v>
      </c>
      <c r="Z54" s="501">
        <f>SUM(Z14:Z53)</f>
        <v>3007069.1999999997</v>
      </c>
      <c r="AA54" s="501">
        <f>SUM(AA14:AA53)</f>
        <v>2413680.5499999998</v>
      </c>
      <c r="AB54" s="501">
        <f>SUM(AB16:AB53)</f>
        <v>3013360.8</v>
      </c>
      <c r="AC54" s="1768"/>
      <c r="AD54" s="1719"/>
      <c r="AE54" s="1719">
        <f>SUM(AE14:AE53)</f>
        <v>3013360.8</v>
      </c>
      <c r="AF54" s="788"/>
      <c r="AG54" s="788"/>
      <c r="AH54" s="788"/>
      <c r="AI54" s="11"/>
    </row>
    <row r="55" spans="1:35" s="12" customFormat="1" ht="12.75">
      <c r="A55" s="1390"/>
      <c r="B55" s="1391"/>
      <c r="C55" s="1787"/>
      <c r="D55" s="1787"/>
      <c r="E55" s="1787"/>
      <c r="F55" s="1788"/>
      <c r="G55" s="1788"/>
      <c r="H55" s="1788"/>
      <c r="I55" s="1788"/>
      <c r="J55" s="1788"/>
      <c r="K55" s="1788"/>
      <c r="L55" s="1788"/>
      <c r="M55" s="1788"/>
      <c r="N55" s="1788"/>
      <c r="O55" s="1789"/>
      <c r="P55" s="1789">
        <v>2509299</v>
      </c>
      <c r="Q55" s="1789">
        <v>2413680.5499999998</v>
      </c>
      <c r="R55" s="1789">
        <v>0</v>
      </c>
      <c r="S55" s="1790"/>
      <c r="T55" s="1791"/>
      <c r="U55" s="1787"/>
      <c r="V55" s="1787"/>
      <c r="W55" s="1788"/>
      <c r="X55" s="1394"/>
      <c r="Y55" s="1394"/>
      <c r="Z55" s="1394"/>
      <c r="AA55" s="1394"/>
      <c r="AB55" s="1394"/>
      <c r="AC55" s="1768"/>
      <c r="AD55" s="1195"/>
      <c r="AE55" s="1195"/>
      <c r="AF55" s="788"/>
      <c r="AG55" s="788"/>
      <c r="AH55" s="788"/>
      <c r="AI55" s="11"/>
    </row>
    <row r="56" spans="1:35" s="12" customFormat="1" ht="12.75">
      <c r="A56" s="1390"/>
      <c r="B56" s="1391"/>
      <c r="C56" s="1787"/>
      <c r="D56" s="1787"/>
      <c r="E56" s="1787"/>
      <c r="F56" s="1788"/>
      <c r="G56" s="1788"/>
      <c r="H56" s="1788"/>
      <c r="I56" s="1788"/>
      <c r="J56" s="1788"/>
      <c r="K56" s="1788"/>
      <c r="L56" s="1788"/>
      <c r="M56" s="1788"/>
      <c r="N56" s="1788"/>
      <c r="O56" s="1792"/>
      <c r="P56" s="1792"/>
      <c r="Q56" s="1792"/>
      <c r="R56" s="1792"/>
      <c r="S56" s="1793"/>
      <c r="T56" s="1791"/>
      <c r="U56" s="1787"/>
      <c r="V56" s="1787"/>
      <c r="W56" s="1788"/>
      <c r="X56" s="1394"/>
      <c r="Y56" s="1394"/>
      <c r="Z56" s="1394"/>
      <c r="AA56" s="1394"/>
      <c r="AB56" s="1394"/>
      <c r="AC56" s="1768"/>
      <c r="AD56" s="1195"/>
      <c r="AE56" s="1195"/>
      <c r="AF56" s="788"/>
      <c r="AG56" s="788"/>
      <c r="AH56" s="788"/>
      <c r="AI56" s="11"/>
    </row>
    <row r="57" spans="1:35" s="12" customFormat="1" ht="12.75">
      <c r="A57" s="1384"/>
      <c r="B57" s="1428"/>
      <c r="C57" s="1787"/>
      <c r="D57" s="1787"/>
      <c r="E57" s="1787"/>
      <c r="F57" s="1788"/>
      <c r="G57" s="1787"/>
      <c r="H57" s="1787"/>
      <c r="I57" s="1787"/>
      <c r="J57" s="1787"/>
      <c r="K57" s="1787"/>
      <c r="L57" s="1787"/>
      <c r="M57" s="1787"/>
      <c r="N57" s="1787"/>
      <c r="O57" s="1787"/>
      <c r="P57" s="1787"/>
      <c r="Q57" s="1791"/>
      <c r="R57" s="1787">
        <f>+R54-Q55</f>
        <v>591936.33999999985</v>
      </c>
      <c r="S57" s="1791"/>
      <c r="T57" s="1791"/>
      <c r="U57" s="1787"/>
      <c r="V57" s="1787"/>
      <c r="W57" s="1788"/>
      <c r="X57" s="1394"/>
      <c r="Y57" s="1394"/>
      <c r="Z57" s="1394"/>
      <c r="AA57" s="1394"/>
      <c r="AB57" s="1394"/>
      <c r="AC57" s="1768"/>
      <c r="AD57" s="1195"/>
      <c r="AE57" s="1195"/>
      <c r="AF57" s="788"/>
      <c r="AG57" s="788"/>
      <c r="AH57" s="788"/>
      <c r="AI57" s="11"/>
    </row>
    <row r="58" spans="1:35" s="12" customFormat="1" ht="12.75">
      <c r="A58" s="1384"/>
      <c r="B58" s="1428"/>
      <c r="C58" s="1787"/>
      <c r="D58" s="1787"/>
      <c r="E58" s="1787"/>
      <c r="F58" s="1788"/>
      <c r="G58" s="1787"/>
      <c r="H58" s="1787"/>
      <c r="I58" s="1787"/>
      <c r="J58" s="1787"/>
      <c r="K58" s="1787"/>
      <c r="L58" s="1787"/>
      <c r="M58" s="1787"/>
      <c r="N58" s="1787"/>
      <c r="O58" s="1787"/>
      <c r="P58" s="1787">
        <v>3007069.2</v>
      </c>
      <c r="Q58" s="1791">
        <v>2413680.5499999998</v>
      </c>
      <c r="R58" s="1787"/>
      <c r="S58" s="1791"/>
      <c r="T58" s="1791"/>
      <c r="U58" s="1787"/>
      <c r="V58" s="1787"/>
      <c r="W58" s="1788"/>
      <c r="X58" s="1394"/>
      <c r="Y58" s="1394"/>
      <c r="Z58" s="1394"/>
      <c r="AA58" s="1394"/>
      <c r="AB58" s="1394"/>
      <c r="AC58" s="1768"/>
      <c r="AD58" s="1195"/>
      <c r="AE58" s="1195"/>
      <c r="AF58" s="788"/>
      <c r="AG58" s="788"/>
      <c r="AH58" s="788"/>
      <c r="AI58" s="11"/>
    </row>
    <row r="59" spans="1:35" s="12" customFormat="1" ht="12.75">
      <c r="A59" s="1384"/>
      <c r="B59" s="1428"/>
      <c r="C59" s="1787"/>
      <c r="D59" s="1787"/>
      <c r="E59" s="1787"/>
      <c r="F59" s="1787"/>
      <c r="G59" s="1787"/>
      <c r="H59" s="1787"/>
      <c r="I59" s="1787"/>
      <c r="J59" s="1787"/>
      <c r="K59" s="1787"/>
      <c r="L59" s="1787"/>
      <c r="M59" s="1787"/>
      <c r="N59" s="1787"/>
      <c r="O59" s="1787"/>
      <c r="P59" s="1787"/>
      <c r="Q59" s="1791"/>
      <c r="R59" s="1787"/>
      <c r="S59" s="1791"/>
      <c r="T59" s="1791"/>
      <c r="U59" s="1787"/>
      <c r="V59" s="1787"/>
      <c r="W59" s="1787"/>
      <c r="X59" s="1394"/>
      <c r="Y59" s="1394"/>
      <c r="Z59" s="1394"/>
      <c r="AA59" s="1394"/>
      <c r="AB59" s="1394"/>
      <c r="AC59" s="1768"/>
      <c r="AD59" s="1195"/>
      <c r="AE59" s="1195"/>
      <c r="AF59" s="788"/>
      <c r="AG59" s="788"/>
      <c r="AH59" s="788"/>
      <c r="AI59" s="11"/>
    </row>
    <row r="60" spans="1:35" s="12" customFormat="1" ht="12.75">
      <c r="A60" s="1384" t="s">
        <v>59</v>
      </c>
      <c r="B60" s="1428"/>
      <c r="C60" s="1766"/>
      <c r="D60" s="1766"/>
      <c r="E60" s="1766"/>
      <c r="F60" s="1767"/>
      <c r="G60" s="1766"/>
      <c r="H60" s="1766"/>
      <c r="I60" s="1766"/>
      <c r="J60" s="1766"/>
      <c r="K60" s="1766"/>
      <c r="L60" s="1766">
        <f>+L54-L58</f>
        <v>3013360.8</v>
      </c>
      <c r="M60" s="1766"/>
      <c r="N60" s="1766"/>
      <c r="O60" s="1766"/>
      <c r="P60" s="1766"/>
      <c r="Q60" s="1768"/>
      <c r="R60" s="1768"/>
      <c r="S60" s="1768"/>
      <c r="T60" s="1768"/>
      <c r="U60" s="1766"/>
      <c r="V60" s="1766"/>
      <c r="W60" s="1767"/>
      <c r="X60" s="1195"/>
      <c r="Y60" s="1195"/>
      <c r="Z60" s="1195"/>
      <c r="AA60" s="1195"/>
      <c r="AB60" s="1195"/>
      <c r="AC60" s="1768"/>
      <c r="AD60" s="1195"/>
      <c r="AE60" s="1195"/>
      <c r="AF60" s="788"/>
      <c r="AG60" s="788"/>
      <c r="AH60" s="788"/>
      <c r="AI60" s="11"/>
    </row>
    <row r="61" spans="1:35" s="12" customFormat="1">
      <c r="A61" s="10"/>
      <c r="B61" s="454"/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379"/>
      <c r="Q61" s="788"/>
      <c r="R61" s="788"/>
      <c r="S61" s="788"/>
      <c r="T61" s="788"/>
      <c r="U61" s="213"/>
      <c r="V61" s="213"/>
      <c r="W61" s="213"/>
      <c r="X61" s="212"/>
      <c r="Y61" s="212"/>
      <c r="Z61" s="212"/>
      <c r="AA61" s="212"/>
      <c r="AB61" s="212"/>
      <c r="AC61" s="788"/>
      <c r="AD61" s="212"/>
      <c r="AE61" s="212"/>
      <c r="AF61" s="788"/>
      <c r="AG61" s="788"/>
      <c r="AH61" s="788"/>
      <c r="AI61" s="11"/>
    </row>
    <row r="62" spans="1:35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788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212"/>
      <c r="AE62" s="212"/>
      <c r="AF62" s="788"/>
      <c r="AG62" s="788"/>
      <c r="AH62" s="788"/>
      <c r="AI62" s="11"/>
    </row>
    <row r="63" spans="1:35" s="12" customFormat="1">
      <c r="A63" s="10"/>
      <c r="B63" s="454"/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213"/>
      <c r="X63" s="212"/>
      <c r="Y63" s="212"/>
      <c r="Z63" s="212"/>
      <c r="AA63" s="212"/>
      <c r="AB63" s="212"/>
      <c r="AC63" s="788"/>
      <c r="AD63" s="212"/>
      <c r="AE63" s="212"/>
      <c r="AF63" s="788"/>
      <c r="AG63" s="788"/>
      <c r="AH63" s="788"/>
      <c r="AI63" s="11"/>
    </row>
    <row r="64" spans="1:35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212"/>
      <c r="AE64" s="212"/>
      <c r="AF64" s="788"/>
      <c r="AG64" s="788"/>
      <c r="AH64" s="788"/>
      <c r="AI64" s="11"/>
    </row>
    <row r="65" spans="1:35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212"/>
      <c r="AE65" s="212"/>
      <c r="AF65" s="788"/>
      <c r="AG65" s="788"/>
      <c r="AH65" s="788"/>
      <c r="AI65" s="11"/>
    </row>
    <row r="66" spans="1:35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212"/>
      <c r="AE66" s="212"/>
      <c r="AF66" s="788"/>
      <c r="AG66" s="788"/>
      <c r="AH66" s="788"/>
      <c r="AI66" s="11"/>
    </row>
  </sheetData>
  <mergeCells count="9">
    <mergeCell ref="AE8:AE12"/>
    <mergeCell ref="E1:F1"/>
    <mergeCell ref="X8:X12"/>
    <mergeCell ref="Y8:Y12"/>
    <mergeCell ref="AD8:AD12"/>
    <mergeCell ref="AB8:AB12"/>
    <mergeCell ref="U8:W9"/>
    <mergeCell ref="AA8:AA12"/>
    <mergeCell ref="Z8:Z12"/>
  </mergeCells>
  <conditionalFormatting sqref="O2:R13 O57:R65536 AD2:IV65536 AC57:AC65536 AC2:AC13 AB2:AB65536 Z55:AA65536 X2:AA13 X14:Y65536 A2:N65536 S2:W65536">
    <cfRule type="cellIs" dxfId="3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7"/>
  <dimension ref="A1:CE74"/>
  <sheetViews>
    <sheetView showGridLines="0" showZeros="0" topLeftCell="B1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22" width="11" style="792"/>
    <col min="23" max="23" width="11.375" style="792" bestFit="1" customWidth="1"/>
    <col min="24" max="34" width="11" style="792"/>
  </cols>
  <sheetData>
    <row r="1" spans="1:83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3" s="12" customFormat="1" ht="12.75">
      <c r="A2" s="13" t="s">
        <v>65</v>
      </c>
      <c r="B2" s="9" t="s">
        <v>365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787"/>
      <c r="AF2" s="787"/>
      <c r="AG2" s="787"/>
      <c r="AH2" s="787"/>
    </row>
    <row r="3" spans="1:83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</row>
    <row r="4" spans="1:83" s="12" customFormat="1" ht="12.75">
      <c r="A4" s="13" t="s">
        <v>73</v>
      </c>
      <c r="B4" s="14" t="s">
        <v>247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787"/>
      <c r="AF4" s="787"/>
      <c r="AG4" s="787"/>
      <c r="AH4" s="787"/>
    </row>
    <row r="5" spans="1:83" s="12" customFormat="1" ht="12.75">
      <c r="A5" s="13" t="s">
        <v>74</v>
      </c>
      <c r="B5" s="14">
        <v>200800500</v>
      </c>
      <c r="C5" s="216"/>
      <c r="D5" s="216"/>
      <c r="E5" s="216"/>
      <c r="F5" s="217"/>
      <c r="G5" s="217"/>
      <c r="H5" s="789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787"/>
      <c r="AF5" s="787"/>
      <c r="AG5" s="787"/>
      <c r="AH5" s="787"/>
    </row>
    <row r="6" spans="1:83" s="12" customFormat="1" ht="12.75">
      <c r="A6" s="13" t="s">
        <v>75</v>
      </c>
      <c r="B6" s="569" t="s">
        <v>366</v>
      </c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787"/>
      <c r="AF6" s="787"/>
      <c r="AG6" s="787"/>
      <c r="AH6" s="787"/>
    </row>
    <row r="7" spans="1:83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J7" s="212"/>
      <c r="AK7" s="212"/>
      <c r="AL7" s="212"/>
      <c r="AM7" s="212"/>
      <c r="AN7" s="212"/>
      <c r="AO7" s="212"/>
      <c r="AP7" s="212"/>
      <c r="AQ7" s="212"/>
      <c r="AR7" s="212"/>
      <c r="AS7" s="1"/>
      <c r="AT7" s="212"/>
      <c r="AU7" s="212"/>
      <c r="AV7" s="212"/>
      <c r="AW7" s="212"/>
      <c r="AX7" s="212"/>
      <c r="AY7" s="1"/>
      <c r="AZ7" s="212"/>
      <c r="BA7" s="212"/>
      <c r="BB7" s="212"/>
      <c r="BC7" s="212"/>
      <c r="BD7" s="212"/>
      <c r="BE7" s="1"/>
      <c r="BF7" s="212"/>
      <c r="BG7" s="212"/>
      <c r="BH7" s="212"/>
      <c r="BI7" s="212"/>
      <c r="BJ7" s="212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</row>
    <row r="8" spans="1:83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788"/>
      <c r="AD8" s="788"/>
      <c r="AE8" s="787"/>
      <c r="AF8" s="787"/>
      <c r="AG8" s="787"/>
      <c r="AH8" s="787"/>
    </row>
    <row r="9" spans="1:83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397"/>
      <c r="Y9" s="2397"/>
      <c r="Z9" s="2397"/>
      <c r="AA9" s="2397"/>
      <c r="AB9" s="2397"/>
      <c r="AC9" s="788"/>
      <c r="AD9" s="788"/>
      <c r="AE9" s="787"/>
      <c r="AF9" s="787"/>
      <c r="AG9" s="787"/>
      <c r="AH9" s="787"/>
    </row>
    <row r="10" spans="1:83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788"/>
      <c r="AD10" s="788"/>
      <c r="AE10" s="787"/>
      <c r="AF10" s="787"/>
      <c r="AG10" s="787"/>
      <c r="AH10" s="787"/>
    </row>
    <row r="11" spans="1:83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788"/>
      <c r="AD11" s="788"/>
      <c r="AE11" s="787"/>
      <c r="AF11" s="787"/>
      <c r="AG11" s="787"/>
      <c r="AH11" s="787"/>
    </row>
    <row r="12" spans="1:83" s="12" customForma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397"/>
      <c r="Y12" s="2397"/>
      <c r="Z12" s="2397"/>
      <c r="AA12" s="2397"/>
      <c r="AB12" s="2397"/>
      <c r="AC12" s="788"/>
      <c r="AD12" s="788"/>
      <c r="AE12" s="787"/>
      <c r="AF12" s="787"/>
      <c r="AG12" s="787"/>
      <c r="AH12" s="787"/>
    </row>
    <row r="13" spans="1:83" s="12" customFormat="1">
      <c r="A13" s="20"/>
      <c r="B13" s="21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787"/>
      <c r="AF13" s="787"/>
      <c r="AG13" s="787"/>
      <c r="AH13" s="787"/>
    </row>
    <row r="14" spans="1:83" s="12" customFormat="1" ht="12.75">
      <c r="A14" s="880"/>
      <c r="B14" s="907"/>
      <c r="C14" s="1770"/>
      <c r="D14" s="1770"/>
      <c r="E14" s="1770"/>
      <c r="F14" s="1770"/>
      <c r="G14" s="1771"/>
      <c r="H14" s="1771"/>
      <c r="I14" s="1770"/>
      <c r="J14" s="1770"/>
      <c r="K14" s="1770"/>
      <c r="L14" s="1770"/>
      <c r="M14" s="1770"/>
      <c r="N14" s="1770"/>
      <c r="O14" s="1770"/>
      <c r="P14" s="1770"/>
      <c r="Q14" s="1770"/>
      <c r="R14" s="1770"/>
      <c r="S14" s="1770"/>
      <c r="T14" s="1770"/>
      <c r="U14" s="1770"/>
      <c r="V14" s="1770"/>
      <c r="W14" s="1770"/>
      <c r="X14" s="1770"/>
      <c r="Y14" s="1770"/>
      <c r="Z14" s="1770"/>
      <c r="AA14" s="1770"/>
      <c r="AB14" s="908"/>
      <c r="AC14" s="788"/>
      <c r="AD14" s="788"/>
      <c r="AE14" s="787"/>
      <c r="AF14" s="787"/>
      <c r="AG14" s="787"/>
      <c r="AH14" s="787"/>
    </row>
    <row r="15" spans="1:83" s="12" customFormat="1" ht="12.75">
      <c r="A15" s="823" t="s">
        <v>367</v>
      </c>
      <c r="B15" s="811" t="s">
        <v>368</v>
      </c>
      <c r="C15" s="1751"/>
      <c r="D15" s="1751"/>
      <c r="E15" s="1752"/>
      <c r="F15" s="886"/>
      <c r="G15" s="886"/>
      <c r="H15" s="886"/>
      <c r="I15" s="886"/>
      <c r="J15" s="886"/>
      <c r="K15" s="886"/>
      <c r="L15" s="886"/>
      <c r="M15" s="886"/>
      <c r="N15" s="886"/>
      <c r="O15" s="1752"/>
      <c r="P15" s="886"/>
      <c r="Q15" s="1751"/>
      <c r="R15" s="1751"/>
      <c r="S15" s="1751"/>
      <c r="T15" s="1751"/>
      <c r="U15" s="1751"/>
      <c r="V15" s="1752"/>
      <c r="W15" s="886"/>
      <c r="X15" s="886"/>
      <c r="Y15" s="886"/>
      <c r="Z15" s="886"/>
      <c r="AA15" s="1751"/>
      <c r="AB15" s="824"/>
      <c r="AC15" s="788"/>
      <c r="AD15" s="788"/>
      <c r="AE15" s="787"/>
      <c r="AF15" s="787"/>
      <c r="AG15" s="787"/>
      <c r="AH15" s="787"/>
    </row>
    <row r="16" spans="1:83" s="12" customFormat="1" ht="12.75">
      <c r="A16" s="881"/>
      <c r="B16" s="816" t="s">
        <v>123</v>
      </c>
      <c r="C16" s="1751">
        <f>50000*1.2</f>
        <v>60000</v>
      </c>
      <c r="D16" s="1751">
        <f>C16</f>
        <v>60000</v>
      </c>
      <c r="E16" s="1752">
        <v>1</v>
      </c>
      <c r="F16" s="886">
        <f>C16</f>
        <v>60000</v>
      </c>
      <c r="G16" s="1764"/>
      <c r="H16" s="2367" t="s">
        <v>251</v>
      </c>
      <c r="I16" s="886">
        <f>D16</f>
        <v>60000</v>
      </c>
      <c r="J16" s="1772"/>
      <c r="K16" s="1764"/>
      <c r="L16" s="886">
        <f>I16-J16+K16</f>
        <v>60000</v>
      </c>
      <c r="M16" s="886"/>
      <c r="N16" s="886"/>
      <c r="O16" s="886">
        <v>1</v>
      </c>
      <c r="P16" s="886">
        <f>+O16*D16</f>
        <v>60000</v>
      </c>
      <c r="Q16" s="886"/>
      <c r="R16" s="886">
        <f>+P16</f>
        <v>60000</v>
      </c>
      <c r="S16" s="886">
        <f>+P16-R16</f>
        <v>0</v>
      </c>
      <c r="T16" s="886">
        <f>F16-L16</f>
        <v>0</v>
      </c>
      <c r="U16" s="886">
        <f>D16</f>
        <v>60000</v>
      </c>
      <c r="V16" s="886">
        <v>1</v>
      </c>
      <c r="W16" s="886">
        <f>+U16*V16</f>
        <v>60000</v>
      </c>
      <c r="X16" s="886">
        <v>60000</v>
      </c>
      <c r="Y16" s="886"/>
      <c r="Z16" s="886">
        <v>60000</v>
      </c>
      <c r="AA16" s="886"/>
      <c r="AB16" s="886">
        <f>F16</f>
        <v>60000</v>
      </c>
      <c r="AC16" s="788"/>
      <c r="AD16" s="788"/>
      <c r="AE16" s="787"/>
      <c r="AF16" s="787"/>
      <c r="AG16" s="787"/>
      <c r="AH16" s="787"/>
    </row>
    <row r="17" spans="1:34" s="12" customFormat="1" ht="12.75">
      <c r="A17" s="815"/>
      <c r="B17" s="814"/>
      <c r="C17" s="1751"/>
      <c r="D17" s="1763"/>
      <c r="E17" s="1752"/>
      <c r="F17" s="886"/>
      <c r="G17" s="1764"/>
      <c r="H17" s="2367" t="s">
        <v>252</v>
      </c>
      <c r="I17" s="886"/>
      <c r="J17" s="1772"/>
      <c r="K17" s="1764"/>
      <c r="L17" s="886"/>
      <c r="M17" s="886"/>
      <c r="N17" s="886"/>
      <c r="O17" s="886"/>
      <c r="P17" s="886">
        <f>+O17*D17</f>
        <v>0</v>
      </c>
      <c r="Q17" s="886"/>
      <c r="R17" s="886"/>
      <c r="S17" s="886">
        <f>+P17-R17</f>
        <v>0</v>
      </c>
      <c r="T17" s="886"/>
      <c r="U17" s="886"/>
      <c r="V17" s="886"/>
      <c r="W17" s="886">
        <f>+U17*V17</f>
        <v>0</v>
      </c>
      <c r="X17" s="886"/>
      <c r="Y17" s="886"/>
      <c r="Z17" s="886">
        <v>0</v>
      </c>
      <c r="AA17" s="886"/>
      <c r="AB17" s="886"/>
      <c r="AC17" s="788"/>
      <c r="AD17" s="788"/>
      <c r="AE17" s="787"/>
      <c r="AF17" s="787"/>
      <c r="AG17" s="787"/>
      <c r="AH17" s="787"/>
    </row>
    <row r="18" spans="1:34" s="12" customFormat="1" ht="12.75">
      <c r="A18" s="813" t="s">
        <v>369</v>
      </c>
      <c r="B18" s="814" t="s">
        <v>370</v>
      </c>
      <c r="C18" s="1773"/>
      <c r="D18" s="886"/>
      <c r="E18" s="1752"/>
      <c r="F18" s="886"/>
      <c r="G18" s="1763"/>
      <c r="H18" s="2367"/>
      <c r="I18" s="886"/>
      <c r="J18" s="1772"/>
      <c r="K18" s="1764"/>
      <c r="L18" s="886"/>
      <c r="M18" s="886"/>
      <c r="N18" s="886"/>
      <c r="O18" s="886"/>
      <c r="P18" s="886">
        <f>+O18*D18</f>
        <v>0</v>
      </c>
      <c r="Q18" s="886"/>
      <c r="R18" s="886"/>
      <c r="S18" s="886">
        <f>+P18-R18</f>
        <v>0</v>
      </c>
      <c r="T18" s="886"/>
      <c r="U18" s="886"/>
      <c r="V18" s="886"/>
      <c r="W18" s="886">
        <f>+U18*V18</f>
        <v>0</v>
      </c>
      <c r="X18" s="886"/>
      <c r="Y18" s="886"/>
      <c r="Z18" s="886">
        <v>0</v>
      </c>
      <c r="AA18" s="886"/>
      <c r="AB18" s="886"/>
      <c r="AC18" s="788"/>
      <c r="AD18" s="788"/>
      <c r="AE18" s="787"/>
      <c r="AF18" s="787"/>
      <c r="AG18" s="787"/>
      <c r="AH18" s="787"/>
    </row>
    <row r="19" spans="1:34" s="12" customFormat="1" ht="12.75">
      <c r="A19" s="815"/>
      <c r="B19" s="816" t="s">
        <v>123</v>
      </c>
      <c r="C19" s="1751">
        <f>100000*1.2</f>
        <v>120000</v>
      </c>
      <c r="D19" s="45">
        <f>C19</f>
        <v>120000</v>
      </c>
      <c r="E19" s="1752">
        <v>1</v>
      </c>
      <c r="F19" s="886">
        <f>C19</f>
        <v>120000</v>
      </c>
      <c r="G19" s="45"/>
      <c r="H19" s="2368" t="s">
        <v>250</v>
      </c>
      <c r="I19" s="45">
        <f>D19</f>
        <v>120000</v>
      </c>
      <c r="J19" s="1772"/>
      <c r="K19" s="45"/>
      <c r="L19" s="886">
        <f>I19-J19+K19</f>
        <v>120000</v>
      </c>
      <c r="M19" s="886"/>
      <c r="N19" s="886"/>
      <c r="O19" s="886">
        <v>1</v>
      </c>
      <c r="P19" s="886">
        <f>+O19*D19</f>
        <v>120000</v>
      </c>
      <c r="Q19" s="886"/>
      <c r="R19" s="886">
        <f>+P19</f>
        <v>120000</v>
      </c>
      <c r="S19" s="886">
        <f>+P19-R19</f>
        <v>0</v>
      </c>
      <c r="T19" s="886">
        <f>F19-L19</f>
        <v>0</v>
      </c>
      <c r="U19" s="886">
        <f>D19</f>
        <v>120000</v>
      </c>
      <c r="V19" s="886">
        <v>1</v>
      </c>
      <c r="W19" s="886">
        <f>+U19*V19</f>
        <v>120000</v>
      </c>
      <c r="X19" s="886">
        <v>120000</v>
      </c>
      <c r="Y19" s="886"/>
      <c r="Z19" s="886">
        <v>120000</v>
      </c>
      <c r="AA19" s="886"/>
      <c r="AB19" s="886">
        <f>F19</f>
        <v>120000</v>
      </c>
      <c r="AC19" s="788"/>
      <c r="AD19" s="788"/>
      <c r="AE19" s="787"/>
      <c r="AF19" s="787"/>
      <c r="AG19" s="787"/>
      <c r="AH19" s="787"/>
    </row>
    <row r="20" spans="1:34" s="12" customFormat="1" ht="12.75">
      <c r="A20" s="815"/>
      <c r="B20" s="811"/>
      <c r="C20" s="1751"/>
      <c r="D20" s="45"/>
      <c r="E20" s="1752"/>
      <c r="F20" s="886"/>
      <c r="G20" s="45"/>
      <c r="H20" s="45"/>
      <c r="I20" s="45"/>
      <c r="J20" s="45"/>
      <c r="K20" s="45"/>
      <c r="L20" s="886"/>
      <c r="M20" s="886"/>
      <c r="N20" s="886"/>
      <c r="O20" s="886"/>
      <c r="P20" s="886">
        <f>+O20*D20</f>
        <v>0</v>
      </c>
      <c r="Q20" s="886"/>
      <c r="R20" s="886"/>
      <c r="S20" s="886">
        <f>+P20-R20</f>
        <v>0</v>
      </c>
      <c r="T20" s="886"/>
      <c r="U20" s="886"/>
      <c r="V20" s="886"/>
      <c r="W20" s="886">
        <f>+U20*V20</f>
        <v>0</v>
      </c>
      <c r="X20" s="886"/>
      <c r="Y20" s="886"/>
      <c r="Z20" s="886"/>
      <c r="AA20" s="886"/>
      <c r="AB20" s="886"/>
      <c r="AC20" s="788"/>
      <c r="AD20" s="788"/>
      <c r="AE20" s="787"/>
      <c r="AF20" s="787"/>
      <c r="AG20" s="787"/>
      <c r="AH20" s="787"/>
    </row>
    <row r="21" spans="1:34" s="12" customFormat="1" ht="12.75">
      <c r="A21" s="815"/>
      <c r="B21" s="811"/>
      <c r="C21" s="1751"/>
      <c r="D21" s="45"/>
      <c r="E21" s="1752"/>
      <c r="F21" s="886"/>
      <c r="G21" s="45"/>
      <c r="H21" s="45"/>
      <c r="I21" s="45"/>
      <c r="J21" s="45"/>
      <c r="K21" s="45"/>
      <c r="L21" s="886"/>
      <c r="M21" s="886"/>
      <c r="N21" s="886"/>
      <c r="O21" s="886"/>
      <c r="P21" s="886"/>
      <c r="Q21" s="886"/>
      <c r="R21" s="886"/>
      <c r="S21" s="886"/>
      <c r="T21" s="886"/>
      <c r="U21" s="886"/>
      <c r="V21" s="886"/>
      <c r="W21" s="886"/>
      <c r="X21" s="886"/>
      <c r="Y21" s="886"/>
      <c r="Z21" s="886"/>
      <c r="AA21" s="886"/>
      <c r="AB21" s="886"/>
      <c r="AC21" s="788"/>
      <c r="AD21" s="788"/>
      <c r="AE21" s="787"/>
      <c r="AF21" s="787"/>
      <c r="AG21" s="787"/>
      <c r="AH21" s="787"/>
    </row>
    <row r="22" spans="1:34" s="12" customFormat="1" ht="12.75">
      <c r="A22" s="815"/>
      <c r="B22" s="811"/>
      <c r="C22" s="1751"/>
      <c r="D22" s="45"/>
      <c r="E22" s="1752"/>
      <c r="F22" s="886"/>
      <c r="G22" s="45"/>
      <c r="H22" s="45"/>
      <c r="I22" s="45"/>
      <c r="J22" s="45"/>
      <c r="K22" s="45"/>
      <c r="L22" s="886"/>
      <c r="M22" s="886"/>
      <c r="N22" s="886"/>
      <c r="O22" s="886"/>
      <c r="P22" s="886"/>
      <c r="Q22" s="886"/>
      <c r="R22" s="886"/>
      <c r="S22" s="886"/>
      <c r="T22" s="886"/>
      <c r="U22" s="886"/>
      <c r="V22" s="886"/>
      <c r="W22" s="886"/>
      <c r="X22" s="886"/>
      <c r="Y22" s="886"/>
      <c r="Z22" s="886"/>
      <c r="AA22" s="886"/>
      <c r="AB22" s="886"/>
      <c r="AC22" s="788"/>
      <c r="AD22" s="788"/>
      <c r="AE22" s="787"/>
      <c r="AF22" s="787"/>
      <c r="AG22" s="787"/>
      <c r="AH22" s="787"/>
    </row>
    <row r="23" spans="1:34" s="12" customFormat="1" ht="12.75">
      <c r="A23" s="815"/>
      <c r="B23" s="811"/>
      <c r="C23" s="1751"/>
      <c r="D23" s="45"/>
      <c r="E23" s="1752"/>
      <c r="F23" s="886"/>
      <c r="G23" s="45"/>
      <c r="H23" s="45"/>
      <c r="I23" s="45"/>
      <c r="J23" s="45"/>
      <c r="K23" s="45"/>
      <c r="L23" s="886"/>
      <c r="M23" s="886"/>
      <c r="N23" s="886"/>
      <c r="O23" s="886"/>
      <c r="P23" s="886"/>
      <c r="Q23" s="886"/>
      <c r="R23" s="886"/>
      <c r="S23" s="886"/>
      <c r="T23" s="886"/>
      <c r="U23" s="886"/>
      <c r="V23" s="886"/>
      <c r="W23" s="886"/>
      <c r="X23" s="886"/>
      <c r="Y23" s="886"/>
      <c r="Z23" s="886"/>
      <c r="AA23" s="886"/>
      <c r="AB23" s="886"/>
      <c r="AC23" s="788"/>
      <c r="AD23" s="788"/>
      <c r="AE23" s="787"/>
      <c r="AF23" s="787"/>
      <c r="AG23" s="787"/>
      <c r="AH23" s="787"/>
    </row>
    <row r="24" spans="1:34" s="12" customFormat="1" ht="12.75">
      <c r="A24" s="815"/>
      <c r="B24" s="811"/>
      <c r="C24" s="45"/>
      <c r="D24" s="45"/>
      <c r="E24" s="1752"/>
      <c r="F24" s="886"/>
      <c r="G24" s="45"/>
      <c r="H24" s="45"/>
      <c r="I24" s="45"/>
      <c r="J24" s="45"/>
      <c r="K24" s="45"/>
      <c r="L24" s="886"/>
      <c r="M24" s="886"/>
      <c r="N24" s="886"/>
      <c r="O24" s="886"/>
      <c r="P24" s="886"/>
      <c r="Q24" s="886"/>
      <c r="R24" s="886"/>
      <c r="S24" s="886"/>
      <c r="T24" s="886"/>
      <c r="U24" s="886"/>
      <c r="V24" s="886"/>
      <c r="W24" s="886"/>
      <c r="X24" s="886"/>
      <c r="Y24" s="886"/>
      <c r="Z24" s="886"/>
      <c r="AA24" s="886"/>
      <c r="AB24" s="886"/>
      <c r="AC24" s="788"/>
      <c r="AD24" s="788"/>
      <c r="AE24" s="787"/>
      <c r="AF24" s="787"/>
      <c r="AG24" s="787"/>
      <c r="AH24" s="787"/>
    </row>
    <row r="25" spans="1:34" s="12" customFormat="1" ht="12.75">
      <c r="A25" s="815"/>
      <c r="B25" s="811"/>
      <c r="C25" s="45"/>
      <c r="D25" s="45"/>
      <c r="E25" s="1752"/>
      <c r="F25" s="886"/>
      <c r="G25" s="45"/>
      <c r="H25" s="45"/>
      <c r="I25" s="45"/>
      <c r="J25" s="45"/>
      <c r="K25" s="45"/>
      <c r="L25" s="886"/>
      <c r="M25" s="886"/>
      <c r="N25" s="886"/>
      <c r="O25" s="886"/>
      <c r="P25" s="886"/>
      <c r="Q25" s="886"/>
      <c r="R25" s="886"/>
      <c r="S25" s="886"/>
      <c r="T25" s="886"/>
      <c r="U25" s="886"/>
      <c r="V25" s="886"/>
      <c r="W25" s="886"/>
      <c r="X25" s="886"/>
      <c r="Y25" s="886"/>
      <c r="Z25" s="886"/>
      <c r="AA25" s="886"/>
      <c r="AB25" s="886"/>
      <c r="AC25" s="788"/>
      <c r="AD25" s="788"/>
      <c r="AE25" s="787"/>
      <c r="AF25" s="787"/>
      <c r="AG25" s="787"/>
      <c r="AH25" s="787"/>
    </row>
    <row r="26" spans="1:34" s="12" customFormat="1" ht="12.75">
      <c r="A26" s="815"/>
      <c r="B26" s="811"/>
      <c r="C26" s="45"/>
      <c r="D26" s="45"/>
      <c r="E26" s="1752"/>
      <c r="F26" s="886"/>
      <c r="G26" s="45"/>
      <c r="H26" s="45"/>
      <c r="I26" s="45"/>
      <c r="J26" s="45"/>
      <c r="K26" s="45"/>
      <c r="L26" s="886"/>
      <c r="M26" s="886"/>
      <c r="N26" s="886"/>
      <c r="O26" s="886"/>
      <c r="P26" s="886"/>
      <c r="Q26" s="886"/>
      <c r="R26" s="886"/>
      <c r="S26" s="886"/>
      <c r="T26" s="886"/>
      <c r="U26" s="886"/>
      <c r="V26" s="886"/>
      <c r="W26" s="886"/>
      <c r="X26" s="886"/>
      <c r="Y26" s="886"/>
      <c r="Z26" s="886"/>
      <c r="AA26" s="886"/>
      <c r="AB26" s="886"/>
      <c r="AC26" s="788"/>
      <c r="AD26" s="788"/>
      <c r="AE26" s="787"/>
      <c r="AF26" s="787"/>
      <c r="AG26" s="787"/>
      <c r="AH26" s="787"/>
    </row>
    <row r="27" spans="1:34" s="12" customFormat="1" ht="12.75">
      <c r="A27" s="815"/>
      <c r="B27" s="811"/>
      <c r="C27" s="45"/>
      <c r="D27" s="45"/>
      <c r="E27" s="1752"/>
      <c r="F27" s="886"/>
      <c r="G27" s="45"/>
      <c r="H27" s="45"/>
      <c r="I27" s="45"/>
      <c r="J27" s="45"/>
      <c r="K27" s="45"/>
      <c r="L27" s="886"/>
      <c r="M27" s="886"/>
      <c r="N27" s="886"/>
      <c r="O27" s="886"/>
      <c r="P27" s="886"/>
      <c r="Q27" s="886"/>
      <c r="R27" s="886"/>
      <c r="S27" s="886"/>
      <c r="T27" s="886"/>
      <c r="U27" s="886"/>
      <c r="V27" s="886"/>
      <c r="W27" s="886"/>
      <c r="X27" s="886"/>
      <c r="Y27" s="886"/>
      <c r="Z27" s="886"/>
      <c r="AA27" s="886"/>
      <c r="AB27" s="886"/>
      <c r="AC27" s="788"/>
      <c r="AD27" s="788"/>
      <c r="AE27" s="787"/>
      <c r="AF27" s="787"/>
      <c r="AG27" s="787"/>
      <c r="AH27" s="787"/>
    </row>
    <row r="28" spans="1:34" s="12" customFormat="1" ht="12.75">
      <c r="A28" s="815"/>
      <c r="B28" s="811"/>
      <c r="C28" s="45"/>
      <c r="D28" s="45"/>
      <c r="E28" s="1752"/>
      <c r="F28" s="886"/>
      <c r="G28" s="45"/>
      <c r="H28" s="45"/>
      <c r="I28" s="45"/>
      <c r="J28" s="45"/>
      <c r="K28" s="45"/>
      <c r="L28" s="886"/>
      <c r="M28" s="886"/>
      <c r="N28" s="886"/>
      <c r="O28" s="886"/>
      <c r="P28" s="886"/>
      <c r="Q28" s="886"/>
      <c r="R28" s="886"/>
      <c r="S28" s="886"/>
      <c r="T28" s="886"/>
      <c r="U28" s="886"/>
      <c r="V28" s="886"/>
      <c r="W28" s="886"/>
      <c r="X28" s="886"/>
      <c r="Y28" s="886"/>
      <c r="Z28" s="886"/>
      <c r="AA28" s="886"/>
      <c r="AB28" s="886"/>
      <c r="AC28" s="788"/>
      <c r="AD28" s="788"/>
      <c r="AE28" s="787"/>
      <c r="AF28" s="787"/>
      <c r="AG28" s="787"/>
      <c r="AH28" s="787"/>
    </row>
    <row r="29" spans="1:34" s="12" customFormat="1" ht="12.75">
      <c r="A29" s="815"/>
      <c r="B29" s="811"/>
      <c r="C29" s="45"/>
      <c r="D29" s="45"/>
      <c r="E29" s="1752"/>
      <c r="F29" s="886"/>
      <c r="G29" s="45"/>
      <c r="H29" s="45"/>
      <c r="I29" s="45"/>
      <c r="J29" s="45"/>
      <c r="K29" s="45"/>
      <c r="L29" s="886"/>
      <c r="M29" s="886"/>
      <c r="N29" s="886"/>
      <c r="O29" s="886"/>
      <c r="P29" s="886"/>
      <c r="Q29" s="886"/>
      <c r="R29" s="886"/>
      <c r="S29" s="886"/>
      <c r="T29" s="886"/>
      <c r="U29" s="886"/>
      <c r="V29" s="886"/>
      <c r="W29" s="886"/>
      <c r="X29" s="886"/>
      <c r="Y29" s="886"/>
      <c r="Z29" s="886"/>
      <c r="AA29" s="886"/>
      <c r="AB29" s="886"/>
      <c r="AC29" s="788"/>
      <c r="AD29" s="788"/>
      <c r="AE29" s="787"/>
      <c r="AF29" s="787"/>
      <c r="AG29" s="787"/>
      <c r="AH29" s="787"/>
    </row>
    <row r="30" spans="1:34" s="12" customFormat="1" ht="12.75">
      <c r="A30" s="815"/>
      <c r="B30" s="811"/>
      <c r="C30" s="45"/>
      <c r="D30" s="45"/>
      <c r="E30" s="1752"/>
      <c r="F30" s="886"/>
      <c r="G30" s="45"/>
      <c r="H30" s="45"/>
      <c r="I30" s="45"/>
      <c r="J30" s="45"/>
      <c r="K30" s="45"/>
      <c r="L30" s="886"/>
      <c r="M30" s="886"/>
      <c r="N30" s="886"/>
      <c r="O30" s="886"/>
      <c r="P30" s="886"/>
      <c r="Q30" s="886"/>
      <c r="R30" s="886"/>
      <c r="S30" s="886"/>
      <c r="T30" s="886"/>
      <c r="U30" s="886"/>
      <c r="V30" s="886"/>
      <c r="W30" s="886"/>
      <c r="X30" s="886"/>
      <c r="Y30" s="886"/>
      <c r="Z30" s="886"/>
      <c r="AA30" s="886"/>
      <c r="AB30" s="886"/>
      <c r="AC30" s="788"/>
      <c r="AD30" s="788"/>
      <c r="AE30" s="787"/>
      <c r="AF30" s="787"/>
      <c r="AG30" s="787"/>
      <c r="AH30" s="787"/>
    </row>
    <row r="31" spans="1:34" s="12" customFormat="1" ht="12.75">
      <c r="A31" s="815"/>
      <c r="B31" s="811"/>
      <c r="C31" s="45"/>
      <c r="D31" s="45"/>
      <c r="E31" s="1752"/>
      <c r="F31" s="886"/>
      <c r="G31" s="45"/>
      <c r="H31" s="45"/>
      <c r="I31" s="45"/>
      <c r="J31" s="45"/>
      <c r="K31" s="45"/>
      <c r="L31" s="886"/>
      <c r="M31" s="886"/>
      <c r="N31" s="886"/>
      <c r="O31" s="886"/>
      <c r="P31" s="886"/>
      <c r="Q31" s="886"/>
      <c r="R31" s="886"/>
      <c r="S31" s="886"/>
      <c r="T31" s="886"/>
      <c r="U31" s="886"/>
      <c r="V31" s="886"/>
      <c r="W31" s="886"/>
      <c r="X31" s="886"/>
      <c r="Y31" s="886"/>
      <c r="Z31" s="886"/>
      <c r="AA31" s="886"/>
      <c r="AB31" s="886"/>
      <c r="AC31" s="788"/>
      <c r="AD31" s="788"/>
      <c r="AE31" s="787"/>
      <c r="AF31" s="787"/>
      <c r="AG31" s="787"/>
      <c r="AH31" s="787"/>
    </row>
    <row r="32" spans="1:34" s="12" customFormat="1" ht="12.75">
      <c r="A32" s="815"/>
      <c r="B32" s="811"/>
      <c r="C32" s="45"/>
      <c r="D32" s="45"/>
      <c r="E32" s="1752"/>
      <c r="F32" s="886"/>
      <c r="G32" s="45"/>
      <c r="H32" s="45"/>
      <c r="I32" s="45"/>
      <c r="J32" s="45"/>
      <c r="K32" s="45"/>
      <c r="L32" s="886"/>
      <c r="M32" s="886"/>
      <c r="N32" s="886"/>
      <c r="O32" s="886"/>
      <c r="P32" s="886"/>
      <c r="Q32" s="886"/>
      <c r="R32" s="886"/>
      <c r="S32" s="886"/>
      <c r="T32" s="886"/>
      <c r="U32" s="886"/>
      <c r="V32" s="886"/>
      <c r="W32" s="886"/>
      <c r="X32" s="886"/>
      <c r="Y32" s="886"/>
      <c r="Z32" s="886"/>
      <c r="AA32" s="886"/>
      <c r="AB32" s="886"/>
      <c r="AC32" s="788"/>
      <c r="AD32" s="788"/>
      <c r="AE32" s="787"/>
      <c r="AF32" s="787"/>
      <c r="AG32" s="787"/>
      <c r="AH32" s="787"/>
    </row>
    <row r="33" spans="1:34" s="12" customFormat="1" ht="12.75">
      <c r="A33" s="815"/>
      <c r="B33" s="811"/>
      <c r="C33" s="45"/>
      <c r="D33" s="45"/>
      <c r="E33" s="1752"/>
      <c r="F33" s="886"/>
      <c r="G33" s="45"/>
      <c r="H33" s="45"/>
      <c r="I33" s="45"/>
      <c r="J33" s="45"/>
      <c r="K33" s="45"/>
      <c r="L33" s="886"/>
      <c r="M33" s="886"/>
      <c r="N33" s="886"/>
      <c r="O33" s="886"/>
      <c r="P33" s="886"/>
      <c r="Q33" s="886"/>
      <c r="R33" s="886"/>
      <c r="S33" s="886"/>
      <c r="T33" s="886"/>
      <c r="U33" s="886"/>
      <c r="V33" s="886"/>
      <c r="W33" s="886"/>
      <c r="X33" s="886"/>
      <c r="Y33" s="886"/>
      <c r="Z33" s="886"/>
      <c r="AA33" s="886"/>
      <c r="AB33" s="886"/>
      <c r="AC33" s="788"/>
      <c r="AD33" s="788"/>
      <c r="AE33" s="787"/>
      <c r="AF33" s="787"/>
      <c r="AG33" s="787"/>
      <c r="AH33" s="787"/>
    </row>
    <row r="34" spans="1:34" s="12" customFormat="1" ht="12.75">
      <c r="A34" s="815"/>
      <c r="B34" s="811"/>
      <c r="C34" s="45"/>
      <c r="D34" s="45"/>
      <c r="E34" s="1752"/>
      <c r="F34" s="886"/>
      <c r="G34" s="45"/>
      <c r="H34" s="45"/>
      <c r="I34" s="45"/>
      <c r="J34" s="45"/>
      <c r="K34" s="45"/>
      <c r="L34" s="886"/>
      <c r="M34" s="886"/>
      <c r="N34" s="886"/>
      <c r="O34" s="886"/>
      <c r="P34" s="886"/>
      <c r="Q34" s="886"/>
      <c r="R34" s="886"/>
      <c r="S34" s="886"/>
      <c r="T34" s="886"/>
      <c r="U34" s="886"/>
      <c r="V34" s="886"/>
      <c r="W34" s="886"/>
      <c r="X34" s="886"/>
      <c r="Y34" s="886"/>
      <c r="Z34" s="886"/>
      <c r="AA34" s="886"/>
      <c r="AB34" s="886"/>
      <c r="AC34" s="788"/>
      <c r="AD34" s="788"/>
      <c r="AE34" s="787"/>
      <c r="AF34" s="787"/>
      <c r="AG34" s="787"/>
      <c r="AH34" s="787"/>
    </row>
    <row r="35" spans="1:34" s="12" customFormat="1" ht="12.75">
      <c r="A35" s="815"/>
      <c r="B35" s="811"/>
      <c r="C35" s="45"/>
      <c r="D35" s="45"/>
      <c r="E35" s="1752"/>
      <c r="F35" s="886"/>
      <c r="G35" s="45"/>
      <c r="H35" s="45"/>
      <c r="I35" s="45"/>
      <c r="J35" s="45"/>
      <c r="K35" s="45"/>
      <c r="L35" s="886"/>
      <c r="M35" s="886"/>
      <c r="N35" s="886"/>
      <c r="O35" s="886"/>
      <c r="P35" s="886"/>
      <c r="Q35" s="886"/>
      <c r="R35" s="886"/>
      <c r="S35" s="886"/>
      <c r="T35" s="886"/>
      <c r="U35" s="886"/>
      <c r="V35" s="886"/>
      <c r="W35" s="886"/>
      <c r="X35" s="886"/>
      <c r="Y35" s="886"/>
      <c r="Z35" s="886"/>
      <c r="AA35" s="886"/>
      <c r="AB35" s="886"/>
      <c r="AC35" s="788"/>
      <c r="AD35" s="788"/>
      <c r="AE35" s="787"/>
      <c r="AF35" s="787"/>
      <c r="AG35" s="787"/>
      <c r="AH35" s="787"/>
    </row>
    <row r="36" spans="1:34" s="12" customFormat="1" ht="12.75">
      <c r="A36" s="815"/>
      <c r="B36" s="811"/>
      <c r="C36" s="45"/>
      <c r="D36" s="45"/>
      <c r="E36" s="1752"/>
      <c r="F36" s="886"/>
      <c r="G36" s="45"/>
      <c r="H36" s="45"/>
      <c r="I36" s="45"/>
      <c r="J36" s="45"/>
      <c r="K36" s="45"/>
      <c r="L36" s="886"/>
      <c r="M36" s="886"/>
      <c r="N36" s="886"/>
      <c r="O36" s="886"/>
      <c r="P36" s="886"/>
      <c r="Q36" s="886"/>
      <c r="R36" s="886"/>
      <c r="S36" s="886"/>
      <c r="T36" s="886"/>
      <c r="U36" s="886"/>
      <c r="V36" s="886"/>
      <c r="W36" s="886"/>
      <c r="X36" s="886"/>
      <c r="Y36" s="886"/>
      <c r="Z36" s="886"/>
      <c r="AA36" s="886"/>
      <c r="AB36" s="886"/>
      <c r="AC36" s="788"/>
      <c r="AD36" s="788"/>
      <c r="AE36" s="787"/>
      <c r="AF36" s="787"/>
      <c r="AG36" s="787"/>
      <c r="AH36" s="787"/>
    </row>
    <row r="37" spans="1:34" s="12" customFormat="1" ht="12.75">
      <c r="A37" s="815"/>
      <c r="B37" s="811"/>
      <c r="C37" s="45"/>
      <c r="D37" s="45"/>
      <c r="E37" s="1752"/>
      <c r="F37" s="886"/>
      <c r="G37" s="45"/>
      <c r="H37" s="45"/>
      <c r="I37" s="45"/>
      <c r="J37" s="45"/>
      <c r="K37" s="45"/>
      <c r="L37" s="886"/>
      <c r="M37" s="886"/>
      <c r="N37" s="886"/>
      <c r="O37" s="886"/>
      <c r="P37" s="886"/>
      <c r="Q37" s="886"/>
      <c r="R37" s="886"/>
      <c r="S37" s="886"/>
      <c r="T37" s="886"/>
      <c r="U37" s="886"/>
      <c r="V37" s="886"/>
      <c r="W37" s="886"/>
      <c r="X37" s="886"/>
      <c r="Y37" s="886"/>
      <c r="Z37" s="886"/>
      <c r="AA37" s="886"/>
      <c r="AB37" s="886"/>
      <c r="AC37" s="788"/>
      <c r="AD37" s="788"/>
      <c r="AE37" s="787"/>
      <c r="AF37" s="787"/>
      <c r="AG37" s="787"/>
      <c r="AH37" s="787"/>
    </row>
    <row r="38" spans="1:34" s="12" customFormat="1" ht="12.75">
      <c r="A38" s="815"/>
      <c r="B38" s="811"/>
      <c r="C38" s="45"/>
      <c r="D38" s="45"/>
      <c r="E38" s="1752"/>
      <c r="F38" s="886"/>
      <c r="G38" s="45"/>
      <c r="H38" s="45"/>
      <c r="I38" s="45"/>
      <c r="J38" s="45"/>
      <c r="K38" s="45"/>
      <c r="L38" s="886"/>
      <c r="M38" s="886"/>
      <c r="N38" s="886"/>
      <c r="O38" s="886"/>
      <c r="P38" s="886"/>
      <c r="Q38" s="886"/>
      <c r="R38" s="886"/>
      <c r="S38" s="886"/>
      <c r="T38" s="886"/>
      <c r="U38" s="886"/>
      <c r="V38" s="886"/>
      <c r="W38" s="886"/>
      <c r="X38" s="886"/>
      <c r="Y38" s="886"/>
      <c r="Z38" s="886"/>
      <c r="AA38" s="886"/>
      <c r="AB38" s="886"/>
      <c r="AC38" s="788"/>
      <c r="AD38" s="788"/>
      <c r="AE38" s="787"/>
      <c r="AF38" s="787"/>
      <c r="AG38" s="787"/>
      <c r="AH38" s="787"/>
    </row>
    <row r="39" spans="1:34" s="12" customFormat="1" ht="12.75">
      <c r="A39" s="815"/>
      <c r="B39" s="814"/>
      <c r="C39" s="1760"/>
      <c r="D39" s="45"/>
      <c r="E39" s="1761"/>
      <c r="F39" s="1760"/>
      <c r="G39" s="45"/>
      <c r="H39" s="45"/>
      <c r="I39" s="45"/>
      <c r="J39" s="45"/>
      <c r="K39" s="45"/>
      <c r="L39" s="886"/>
      <c r="M39" s="886"/>
      <c r="N39" s="886"/>
      <c r="O39" s="886"/>
      <c r="P39" s="886"/>
      <c r="Q39" s="886"/>
      <c r="R39" s="886"/>
      <c r="S39" s="886"/>
      <c r="T39" s="886"/>
      <c r="U39" s="886"/>
      <c r="V39" s="886"/>
      <c r="W39" s="886"/>
      <c r="X39" s="886"/>
      <c r="Y39" s="886"/>
      <c r="Z39" s="886"/>
      <c r="AA39" s="886"/>
      <c r="AB39" s="886"/>
      <c r="AC39" s="788"/>
      <c r="AD39" s="788"/>
      <c r="AE39" s="787"/>
      <c r="AF39" s="787"/>
      <c r="AG39" s="787"/>
      <c r="AH39" s="787"/>
    </row>
    <row r="40" spans="1:34" s="12" customFormat="1" ht="12.75">
      <c r="A40" s="815"/>
      <c r="B40" s="814"/>
      <c r="C40" s="1760"/>
      <c r="D40" s="45"/>
      <c r="E40" s="1761"/>
      <c r="F40" s="1760"/>
      <c r="G40" s="45"/>
      <c r="H40" s="45"/>
      <c r="I40" s="45"/>
      <c r="J40" s="45"/>
      <c r="K40" s="45"/>
      <c r="L40" s="886"/>
      <c r="M40" s="886"/>
      <c r="N40" s="886"/>
      <c r="O40" s="886"/>
      <c r="P40" s="886"/>
      <c r="Q40" s="886"/>
      <c r="R40" s="886"/>
      <c r="S40" s="886"/>
      <c r="T40" s="886"/>
      <c r="U40" s="886"/>
      <c r="V40" s="886"/>
      <c r="W40" s="886"/>
      <c r="X40" s="886"/>
      <c r="Y40" s="886"/>
      <c r="Z40" s="886"/>
      <c r="AA40" s="886"/>
      <c r="AB40" s="886"/>
      <c r="AC40" s="788"/>
      <c r="AD40" s="788"/>
      <c r="AE40" s="787"/>
      <c r="AF40" s="787"/>
      <c r="AG40" s="787"/>
      <c r="AH40" s="787"/>
    </row>
    <row r="41" spans="1:34" s="12" customFormat="1" ht="12.75">
      <c r="A41" s="815"/>
      <c r="B41" s="814"/>
      <c r="C41" s="1760"/>
      <c r="D41" s="45"/>
      <c r="E41" s="1761"/>
      <c r="F41" s="1760"/>
      <c r="G41" s="45"/>
      <c r="H41" s="45"/>
      <c r="I41" s="45"/>
      <c r="J41" s="45"/>
      <c r="K41" s="45"/>
      <c r="L41" s="886"/>
      <c r="M41" s="886"/>
      <c r="N41" s="886"/>
      <c r="O41" s="886"/>
      <c r="P41" s="886"/>
      <c r="Q41" s="886"/>
      <c r="R41" s="886"/>
      <c r="S41" s="886"/>
      <c r="T41" s="886"/>
      <c r="U41" s="886"/>
      <c r="V41" s="886"/>
      <c r="W41" s="886"/>
      <c r="X41" s="886"/>
      <c r="Y41" s="886"/>
      <c r="Z41" s="886"/>
      <c r="AA41" s="886"/>
      <c r="AB41" s="886"/>
      <c r="AC41" s="788"/>
      <c r="AD41" s="788"/>
      <c r="AE41" s="787"/>
      <c r="AF41" s="787"/>
      <c r="AG41" s="787"/>
      <c r="AH41" s="787"/>
    </row>
    <row r="42" spans="1:34" s="12" customFormat="1" ht="12.75">
      <c r="A42" s="815"/>
      <c r="B42" s="814"/>
      <c r="C42" s="1760"/>
      <c r="D42" s="45"/>
      <c r="E42" s="1761"/>
      <c r="F42" s="1760"/>
      <c r="G42" s="45"/>
      <c r="H42" s="45"/>
      <c r="I42" s="45"/>
      <c r="J42" s="45"/>
      <c r="K42" s="45"/>
      <c r="L42" s="886"/>
      <c r="M42" s="886"/>
      <c r="N42" s="886"/>
      <c r="O42" s="886"/>
      <c r="P42" s="886"/>
      <c r="Q42" s="886"/>
      <c r="R42" s="886"/>
      <c r="S42" s="886"/>
      <c r="T42" s="886"/>
      <c r="U42" s="886"/>
      <c r="V42" s="886"/>
      <c r="W42" s="886"/>
      <c r="X42" s="886"/>
      <c r="Y42" s="886"/>
      <c r="Z42" s="886"/>
      <c r="AA42" s="886"/>
      <c r="AB42" s="886"/>
      <c r="AC42" s="788"/>
      <c r="AD42" s="788"/>
      <c r="AE42" s="787"/>
      <c r="AF42" s="787"/>
      <c r="AG42" s="787"/>
      <c r="AH42" s="787"/>
    </row>
    <row r="43" spans="1:34" s="12" customFormat="1" ht="12.75">
      <c r="A43" s="815"/>
      <c r="B43" s="814"/>
      <c r="C43" s="1760"/>
      <c r="D43" s="45"/>
      <c r="E43" s="1761"/>
      <c r="F43" s="1760"/>
      <c r="G43" s="45"/>
      <c r="H43" s="45"/>
      <c r="I43" s="45"/>
      <c r="J43" s="45"/>
      <c r="K43" s="45"/>
      <c r="L43" s="886"/>
      <c r="M43" s="886"/>
      <c r="N43" s="886"/>
      <c r="O43" s="886"/>
      <c r="P43" s="886"/>
      <c r="Q43" s="886"/>
      <c r="R43" s="886"/>
      <c r="S43" s="886"/>
      <c r="T43" s="886"/>
      <c r="U43" s="886"/>
      <c r="V43" s="886"/>
      <c r="W43" s="886"/>
      <c r="X43" s="886"/>
      <c r="Y43" s="886"/>
      <c r="Z43" s="886"/>
      <c r="AA43" s="886"/>
      <c r="AB43" s="886"/>
      <c r="AC43" s="788"/>
      <c r="AD43" s="788"/>
      <c r="AE43" s="787"/>
      <c r="AF43" s="787"/>
      <c r="AG43" s="787"/>
      <c r="AH43" s="787"/>
    </row>
    <row r="44" spans="1:34" s="12" customFormat="1" ht="12.75">
      <c r="A44" s="815"/>
      <c r="B44" s="814"/>
      <c r="C44" s="1760"/>
      <c r="D44" s="45"/>
      <c r="E44" s="1761"/>
      <c r="F44" s="1760"/>
      <c r="G44" s="45"/>
      <c r="H44" s="45"/>
      <c r="I44" s="45"/>
      <c r="J44" s="45"/>
      <c r="K44" s="45"/>
      <c r="L44" s="886"/>
      <c r="M44" s="886"/>
      <c r="N44" s="886"/>
      <c r="O44" s="886"/>
      <c r="P44" s="886"/>
      <c r="Q44" s="886"/>
      <c r="R44" s="886"/>
      <c r="S44" s="886"/>
      <c r="T44" s="886"/>
      <c r="U44" s="886"/>
      <c r="V44" s="886"/>
      <c r="W44" s="886"/>
      <c r="X44" s="886"/>
      <c r="Y44" s="886"/>
      <c r="Z44" s="886"/>
      <c r="AA44" s="886"/>
      <c r="AB44" s="886"/>
      <c r="AC44" s="788"/>
      <c r="AD44" s="788"/>
      <c r="AE44" s="787"/>
      <c r="AF44" s="787"/>
      <c r="AG44" s="787"/>
      <c r="AH44" s="787"/>
    </row>
    <row r="45" spans="1:34" s="12" customFormat="1" ht="12.75">
      <c r="A45" s="815"/>
      <c r="B45" s="814"/>
      <c r="C45" s="1760"/>
      <c r="D45" s="45"/>
      <c r="E45" s="1761"/>
      <c r="F45" s="1760"/>
      <c r="G45" s="45"/>
      <c r="H45" s="45"/>
      <c r="I45" s="45"/>
      <c r="J45" s="45"/>
      <c r="K45" s="45"/>
      <c r="L45" s="886"/>
      <c r="M45" s="886"/>
      <c r="N45" s="886"/>
      <c r="O45" s="886"/>
      <c r="P45" s="886"/>
      <c r="Q45" s="886"/>
      <c r="R45" s="886"/>
      <c r="S45" s="886"/>
      <c r="T45" s="886"/>
      <c r="U45" s="886"/>
      <c r="V45" s="886"/>
      <c r="W45" s="886"/>
      <c r="X45" s="886"/>
      <c r="Y45" s="886"/>
      <c r="Z45" s="886"/>
      <c r="AA45" s="886"/>
      <c r="AB45" s="886"/>
      <c r="AC45" s="788"/>
      <c r="AD45" s="788"/>
      <c r="AE45" s="787"/>
      <c r="AF45" s="787"/>
      <c r="AG45" s="787"/>
      <c r="AH45" s="787"/>
    </row>
    <row r="46" spans="1:34" s="12" customFormat="1" ht="12.75">
      <c r="A46" s="815"/>
      <c r="B46" s="814"/>
      <c r="C46" s="1760"/>
      <c r="D46" s="45"/>
      <c r="E46" s="1761"/>
      <c r="F46" s="1760"/>
      <c r="G46" s="45"/>
      <c r="H46" s="45"/>
      <c r="I46" s="45"/>
      <c r="J46" s="45"/>
      <c r="K46" s="45"/>
      <c r="L46" s="886"/>
      <c r="M46" s="886"/>
      <c r="N46" s="886"/>
      <c r="O46" s="886"/>
      <c r="P46" s="886"/>
      <c r="Q46" s="886"/>
      <c r="R46" s="886"/>
      <c r="S46" s="886"/>
      <c r="T46" s="886"/>
      <c r="U46" s="886"/>
      <c r="V46" s="886"/>
      <c r="W46" s="886"/>
      <c r="X46" s="886"/>
      <c r="Y46" s="886"/>
      <c r="Z46" s="886"/>
      <c r="AA46" s="886"/>
      <c r="AB46" s="886"/>
      <c r="AC46" s="788"/>
      <c r="AD46" s="788"/>
      <c r="AE46" s="787"/>
      <c r="AF46" s="787"/>
      <c r="AG46" s="787"/>
      <c r="AH46" s="787"/>
    </row>
    <row r="47" spans="1:34" s="12" customFormat="1" ht="12.75">
      <c r="A47" s="815"/>
      <c r="B47" s="814"/>
      <c r="C47" s="1760"/>
      <c r="D47" s="1760"/>
      <c r="E47" s="1761"/>
      <c r="F47" s="1760"/>
      <c r="G47" s="45"/>
      <c r="H47" s="45"/>
      <c r="I47" s="45"/>
      <c r="J47" s="45"/>
      <c r="K47" s="45"/>
      <c r="L47" s="886"/>
      <c r="M47" s="886"/>
      <c r="N47" s="886"/>
      <c r="O47" s="886"/>
      <c r="P47" s="886"/>
      <c r="Q47" s="886"/>
      <c r="R47" s="886"/>
      <c r="S47" s="886"/>
      <c r="T47" s="886"/>
      <c r="U47" s="886"/>
      <c r="V47" s="886"/>
      <c r="W47" s="886"/>
      <c r="X47" s="886"/>
      <c r="Y47" s="886"/>
      <c r="Z47" s="886"/>
      <c r="AA47" s="886"/>
      <c r="AB47" s="886"/>
      <c r="AC47" s="788"/>
      <c r="AD47" s="788"/>
      <c r="AE47" s="787"/>
      <c r="AF47" s="787"/>
      <c r="AG47" s="787"/>
      <c r="AH47" s="787"/>
    </row>
    <row r="48" spans="1:34" s="12" customFormat="1" ht="12.75">
      <c r="A48" s="821"/>
      <c r="B48" s="817"/>
      <c r="C48" s="45"/>
      <c r="D48" s="45"/>
      <c r="E48" s="1761"/>
      <c r="F48" s="45"/>
      <c r="G48" s="45"/>
      <c r="H48" s="45"/>
      <c r="I48" s="45"/>
      <c r="J48" s="45"/>
      <c r="K48" s="45"/>
      <c r="L48" s="886"/>
      <c r="M48" s="886"/>
      <c r="N48" s="886"/>
      <c r="O48" s="886"/>
      <c r="P48" s="886"/>
      <c r="Q48" s="886"/>
      <c r="R48" s="886"/>
      <c r="S48" s="886"/>
      <c r="T48" s="886"/>
      <c r="U48" s="886"/>
      <c r="V48" s="886"/>
      <c r="W48" s="886"/>
      <c r="X48" s="886"/>
      <c r="Y48" s="886"/>
      <c r="Z48" s="886"/>
      <c r="AA48" s="886"/>
      <c r="AB48" s="886"/>
      <c r="AC48" s="788"/>
      <c r="AD48" s="788"/>
      <c r="AE48" s="787"/>
      <c r="AF48" s="787"/>
      <c r="AG48" s="787"/>
      <c r="AH48" s="787"/>
    </row>
    <row r="49" spans="1:34" s="12" customFormat="1" ht="12.75">
      <c r="A49" s="815"/>
      <c r="B49" s="814"/>
      <c r="C49" s="45"/>
      <c r="D49" s="45"/>
      <c r="E49" s="1752"/>
      <c r="F49" s="45"/>
      <c r="G49" s="45"/>
      <c r="H49" s="45"/>
      <c r="I49" s="45"/>
      <c r="J49" s="45"/>
      <c r="K49" s="45"/>
      <c r="L49" s="886"/>
      <c r="M49" s="886"/>
      <c r="N49" s="886"/>
      <c r="O49" s="886"/>
      <c r="P49" s="886"/>
      <c r="Q49" s="886"/>
      <c r="R49" s="886"/>
      <c r="S49" s="886"/>
      <c r="T49" s="886"/>
      <c r="U49" s="886"/>
      <c r="V49" s="886"/>
      <c r="W49" s="886"/>
      <c r="X49" s="886"/>
      <c r="Y49" s="886"/>
      <c r="Z49" s="886"/>
      <c r="AA49" s="886"/>
      <c r="AB49" s="886"/>
      <c r="AC49" s="788"/>
      <c r="AD49" s="788"/>
      <c r="AE49" s="787"/>
      <c r="AF49" s="787"/>
      <c r="AG49" s="787"/>
      <c r="AH49" s="787"/>
    </row>
    <row r="50" spans="1:34" s="12" customFormat="1" ht="12.75">
      <c r="A50" s="821"/>
      <c r="B50" s="814"/>
      <c r="C50" s="1760"/>
      <c r="D50" s="1760"/>
      <c r="E50" s="1762"/>
      <c r="F50" s="1760"/>
      <c r="G50" s="45"/>
      <c r="H50" s="45"/>
      <c r="I50" s="45"/>
      <c r="J50" s="45"/>
      <c r="K50" s="45"/>
      <c r="L50" s="886"/>
      <c r="M50" s="886"/>
      <c r="N50" s="886"/>
      <c r="O50" s="886"/>
      <c r="P50" s="886"/>
      <c r="Q50" s="886"/>
      <c r="R50" s="886"/>
      <c r="S50" s="886"/>
      <c r="T50" s="886"/>
      <c r="U50" s="886"/>
      <c r="V50" s="886"/>
      <c r="W50" s="886"/>
      <c r="X50" s="886"/>
      <c r="Y50" s="886"/>
      <c r="Z50" s="886"/>
      <c r="AA50" s="886"/>
      <c r="AB50" s="886"/>
      <c r="AC50" s="788"/>
      <c r="AD50" s="788"/>
      <c r="AE50" s="787"/>
      <c r="AF50" s="787"/>
      <c r="AG50" s="787"/>
      <c r="AH50" s="787"/>
    </row>
    <row r="51" spans="1:34" s="12" customFormat="1" ht="12.75">
      <c r="A51" s="815"/>
      <c r="B51" s="817"/>
      <c r="C51" s="45"/>
      <c r="D51" s="45"/>
      <c r="E51" s="45"/>
      <c r="F51" s="45"/>
      <c r="G51" s="45"/>
      <c r="H51" s="45"/>
      <c r="I51" s="45"/>
      <c r="J51" s="45"/>
      <c r="K51" s="45"/>
      <c r="L51" s="886"/>
      <c r="M51" s="886"/>
      <c r="N51" s="886"/>
      <c r="O51" s="886"/>
      <c r="P51" s="886"/>
      <c r="Q51" s="886"/>
      <c r="R51" s="886"/>
      <c r="S51" s="886"/>
      <c r="T51" s="886"/>
      <c r="U51" s="886"/>
      <c r="V51" s="886"/>
      <c r="W51" s="886"/>
      <c r="X51" s="886"/>
      <c r="Y51" s="886"/>
      <c r="Z51" s="886"/>
      <c r="AA51" s="886"/>
      <c r="AB51" s="886"/>
      <c r="AC51" s="788"/>
      <c r="AD51" s="788"/>
      <c r="AE51" s="787"/>
      <c r="AF51" s="787"/>
      <c r="AG51" s="787"/>
      <c r="AH51" s="787"/>
    </row>
    <row r="52" spans="1:34" s="12" customFormat="1" ht="12.75">
      <c r="A52" s="815"/>
      <c r="B52" s="817"/>
      <c r="C52" s="45"/>
      <c r="D52" s="45"/>
      <c r="E52" s="1752"/>
      <c r="F52" s="45"/>
      <c r="G52" s="45"/>
      <c r="H52" s="45"/>
      <c r="I52" s="45"/>
      <c r="J52" s="45"/>
      <c r="K52" s="45"/>
      <c r="L52" s="886"/>
      <c r="M52" s="886"/>
      <c r="N52" s="886"/>
      <c r="O52" s="886"/>
      <c r="P52" s="886"/>
      <c r="Q52" s="886"/>
      <c r="R52" s="886"/>
      <c r="S52" s="886"/>
      <c r="T52" s="886"/>
      <c r="U52" s="886"/>
      <c r="V52" s="886"/>
      <c r="W52" s="886"/>
      <c r="X52" s="886"/>
      <c r="Y52" s="886"/>
      <c r="Z52" s="886"/>
      <c r="AA52" s="886"/>
      <c r="AB52" s="886"/>
      <c r="AC52" s="788"/>
      <c r="AD52" s="788"/>
      <c r="AE52" s="787"/>
      <c r="AF52" s="787"/>
      <c r="AG52" s="787"/>
      <c r="AH52" s="787"/>
    </row>
    <row r="53" spans="1:34" s="12" customFormat="1" ht="12.75">
      <c r="A53" s="815"/>
      <c r="B53" s="817"/>
      <c r="C53" s="45"/>
      <c r="D53" s="45"/>
      <c r="E53" s="1752"/>
      <c r="F53" s="45"/>
      <c r="G53" s="45"/>
      <c r="H53" s="45"/>
      <c r="I53" s="45"/>
      <c r="J53" s="45"/>
      <c r="K53" s="45"/>
      <c r="L53" s="886"/>
      <c r="M53" s="886"/>
      <c r="N53" s="886"/>
      <c r="O53" s="886"/>
      <c r="P53" s="886"/>
      <c r="Q53" s="886"/>
      <c r="R53" s="886"/>
      <c r="S53" s="886"/>
      <c r="T53" s="886"/>
      <c r="U53" s="886"/>
      <c r="V53" s="886"/>
      <c r="W53" s="886"/>
      <c r="X53" s="886"/>
      <c r="Y53" s="886"/>
      <c r="Z53" s="886"/>
      <c r="AA53" s="886"/>
      <c r="AB53" s="886"/>
      <c r="AC53" s="788"/>
      <c r="AD53" s="788"/>
      <c r="AE53" s="787"/>
      <c r="AF53" s="787"/>
      <c r="AG53" s="787"/>
      <c r="AH53" s="787"/>
    </row>
    <row r="54" spans="1:34" s="12" customFormat="1" ht="12.75">
      <c r="A54" s="815"/>
      <c r="B54" s="814"/>
      <c r="C54" s="45"/>
      <c r="D54" s="886"/>
      <c r="E54" s="1762"/>
      <c r="F54" s="1760"/>
      <c r="G54" s="886"/>
      <c r="H54" s="886"/>
      <c r="I54" s="886"/>
      <c r="J54" s="886"/>
      <c r="K54" s="886"/>
      <c r="L54" s="886"/>
      <c r="M54" s="886"/>
      <c r="N54" s="886"/>
      <c r="O54" s="886"/>
      <c r="P54" s="886"/>
      <c r="Q54" s="886"/>
      <c r="R54" s="886"/>
      <c r="S54" s="886"/>
      <c r="T54" s="886"/>
      <c r="U54" s="886"/>
      <c r="V54" s="886"/>
      <c r="W54" s="886"/>
      <c r="X54" s="886"/>
      <c r="Y54" s="886"/>
      <c r="Z54" s="886"/>
      <c r="AA54" s="886"/>
      <c r="AB54" s="886"/>
      <c r="AC54" s="788"/>
      <c r="AD54" s="788"/>
      <c r="AE54" s="787"/>
      <c r="AF54" s="787"/>
      <c r="AG54" s="787"/>
      <c r="AH54" s="787"/>
    </row>
    <row r="55" spans="1:34" s="12" customFormat="1" ht="12.75">
      <c r="A55" s="821"/>
      <c r="B55" s="822"/>
      <c r="C55" s="45"/>
      <c r="D55" s="886"/>
      <c r="E55" s="886"/>
      <c r="F55" s="1760"/>
      <c r="G55" s="886"/>
      <c r="H55" s="886"/>
      <c r="I55" s="886"/>
      <c r="J55" s="886"/>
      <c r="K55" s="886"/>
      <c r="L55" s="886"/>
      <c r="M55" s="886"/>
      <c r="N55" s="886"/>
      <c r="O55" s="886"/>
      <c r="P55" s="886"/>
      <c r="Q55" s="886"/>
      <c r="R55" s="886"/>
      <c r="S55" s="886"/>
      <c r="T55" s="886"/>
      <c r="U55" s="886"/>
      <c r="V55" s="886"/>
      <c r="W55" s="886"/>
      <c r="X55" s="886"/>
      <c r="Y55" s="886"/>
      <c r="Z55" s="886"/>
      <c r="AA55" s="886"/>
      <c r="AB55" s="886"/>
      <c r="AC55" s="788"/>
      <c r="AD55" s="788"/>
      <c r="AE55" s="787"/>
      <c r="AF55" s="787"/>
      <c r="AG55" s="787"/>
      <c r="AH55" s="787"/>
    </row>
    <row r="56" spans="1:34" s="12" customFormat="1" ht="12.75">
      <c r="A56" s="574"/>
      <c r="B56" s="575"/>
      <c r="C56" s="1774"/>
      <c r="D56" s="1775"/>
      <c r="E56" s="1775"/>
      <c r="F56" s="1776"/>
      <c r="G56" s="1777"/>
      <c r="H56" s="1777"/>
      <c r="I56" s="1777"/>
      <c r="J56" s="1777"/>
      <c r="K56" s="1777"/>
      <c r="L56" s="1778"/>
      <c r="M56" s="1778"/>
      <c r="N56" s="1778"/>
      <c r="O56" s="1778"/>
      <c r="P56" s="1778"/>
      <c r="Q56" s="1778"/>
      <c r="R56" s="1778"/>
      <c r="S56" s="1778"/>
      <c r="T56" s="1778"/>
      <c r="U56" s="1778"/>
      <c r="V56" s="1778"/>
      <c r="W56" s="1778"/>
      <c r="X56" s="1778"/>
      <c r="Y56" s="1778"/>
      <c r="Z56" s="1778"/>
      <c r="AA56" s="1778"/>
      <c r="AB56" s="1778"/>
      <c r="AC56" s="788"/>
      <c r="AD56" s="788"/>
      <c r="AE56" s="787"/>
      <c r="AF56" s="787"/>
      <c r="AG56" s="787"/>
      <c r="AH56" s="787"/>
    </row>
    <row r="57" spans="1:34" s="12" customFormat="1" ht="12.75">
      <c r="A57" s="576"/>
      <c r="B57" s="576" t="s">
        <v>371</v>
      </c>
      <c r="C57" s="1778">
        <f>SUM(C15:C56)</f>
        <v>180000</v>
      </c>
      <c r="D57" s="1778">
        <f>SUM(D15:D56)</f>
        <v>180000</v>
      </c>
      <c r="E57" s="1778"/>
      <c r="F57" s="1778">
        <f t="shared" ref="F57:W57" si="0">SUM(F15:F56)</f>
        <v>180000</v>
      </c>
      <c r="G57" s="1778">
        <f t="shared" si="0"/>
        <v>0</v>
      </c>
      <c r="H57" s="1778">
        <f t="shared" si="0"/>
        <v>0</v>
      </c>
      <c r="I57" s="1778">
        <f t="shared" si="0"/>
        <v>180000</v>
      </c>
      <c r="J57" s="1778">
        <f t="shared" si="0"/>
        <v>0</v>
      </c>
      <c r="K57" s="1778">
        <f t="shared" si="0"/>
        <v>0</v>
      </c>
      <c r="L57" s="1778">
        <f t="shared" si="0"/>
        <v>180000</v>
      </c>
      <c r="M57" s="1778">
        <f t="shared" si="0"/>
        <v>0</v>
      </c>
      <c r="N57" s="1778">
        <f t="shared" si="0"/>
        <v>0</v>
      </c>
      <c r="O57" s="1778">
        <f t="shared" si="0"/>
        <v>2</v>
      </c>
      <c r="P57" s="1778">
        <f t="shared" si="0"/>
        <v>180000</v>
      </c>
      <c r="Q57" s="1778">
        <f t="shared" si="0"/>
        <v>0</v>
      </c>
      <c r="R57" s="1778">
        <f t="shared" si="0"/>
        <v>180000</v>
      </c>
      <c r="S57" s="1778">
        <f t="shared" si="0"/>
        <v>0</v>
      </c>
      <c r="T57" s="374">
        <f>W57-L57</f>
        <v>0</v>
      </c>
      <c r="U57" s="1778">
        <f t="shared" si="0"/>
        <v>180000</v>
      </c>
      <c r="V57" s="1778">
        <f t="shared" si="0"/>
        <v>2</v>
      </c>
      <c r="W57" s="1778">
        <f t="shared" si="0"/>
        <v>180000</v>
      </c>
      <c r="X57" s="1778">
        <f>SUM(X14:X56)</f>
        <v>180000</v>
      </c>
      <c r="Y57" s="1778">
        <f>SUM(Y14:Y56)</f>
        <v>0</v>
      </c>
      <c r="Z57" s="1778">
        <f>SUM(Z14:Z56)</f>
        <v>180000</v>
      </c>
      <c r="AA57" s="1778">
        <f>SUM(AA14:AA56)</f>
        <v>0</v>
      </c>
      <c r="AB57" s="1778">
        <f>SUM(AB15:AB56)</f>
        <v>180000</v>
      </c>
      <c r="AC57" s="788"/>
      <c r="AD57" s="788"/>
      <c r="AE57" s="787"/>
      <c r="AF57" s="787"/>
      <c r="AG57" s="787"/>
      <c r="AH57" s="787"/>
    </row>
    <row r="58" spans="1:34" s="12" customFormat="1" ht="12.75">
      <c r="A58" s="1390" t="s">
        <v>354</v>
      </c>
      <c r="B58" s="1391"/>
      <c r="C58" s="1766"/>
      <c r="D58" s="1766"/>
      <c r="E58" s="1766"/>
      <c r="F58" s="1767"/>
      <c r="G58" s="1767"/>
      <c r="H58" s="1767"/>
      <c r="I58" s="1767"/>
      <c r="J58" s="1767"/>
      <c r="K58" s="1767"/>
      <c r="L58" s="1767"/>
      <c r="M58" s="1767"/>
      <c r="N58" s="1767"/>
      <c r="O58" s="1766"/>
      <c r="P58" s="1767"/>
      <c r="Q58" s="1766"/>
      <c r="R58" s="1766"/>
      <c r="S58" s="1768"/>
      <c r="T58" s="1768"/>
      <c r="U58" s="1766"/>
      <c r="V58" s="1766"/>
      <c r="W58" s="1767"/>
      <c r="X58" s="1195"/>
      <c r="Y58" s="1195"/>
      <c r="Z58" s="1195"/>
      <c r="AA58" s="1195"/>
      <c r="AB58" s="1195"/>
      <c r="AC58" s="788"/>
      <c r="AD58" s="788"/>
      <c r="AE58" s="787"/>
      <c r="AF58" s="787"/>
      <c r="AG58" s="787"/>
      <c r="AH58" s="787"/>
    </row>
    <row r="59" spans="1:34" s="12" customFormat="1" ht="12.75">
      <c r="A59" s="1390"/>
      <c r="B59" s="1391"/>
      <c r="C59" s="1766"/>
      <c r="D59" s="1766"/>
      <c r="E59" s="1766"/>
      <c r="F59" s="1767"/>
      <c r="G59" s="1767"/>
      <c r="H59" s="1767"/>
      <c r="I59" s="1767"/>
      <c r="J59" s="1767"/>
      <c r="K59" s="1767"/>
      <c r="L59" s="1767"/>
      <c r="M59" s="1767"/>
      <c r="N59" s="1767"/>
      <c r="O59" s="1766"/>
      <c r="P59" s="1767"/>
      <c r="Q59" s="1766"/>
      <c r="R59" s="1766"/>
      <c r="S59" s="1768"/>
      <c r="T59" s="1768"/>
      <c r="U59" s="1766"/>
      <c r="V59" s="1766"/>
      <c r="W59" s="1767"/>
      <c r="X59" s="1195"/>
      <c r="Y59" s="1195"/>
      <c r="Z59" s="1195"/>
      <c r="AA59" s="1195"/>
      <c r="AB59" s="1195"/>
      <c r="AC59" s="788"/>
      <c r="AD59" s="788"/>
      <c r="AE59" s="787"/>
      <c r="AF59" s="787"/>
      <c r="AG59" s="787"/>
      <c r="AH59" s="787"/>
    </row>
    <row r="60" spans="1:34" s="12" customFormat="1">
      <c r="A60" s="10"/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787"/>
      <c r="AF60" s="787"/>
      <c r="AG60" s="787"/>
      <c r="AH60" s="787"/>
    </row>
    <row r="61" spans="1:34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787"/>
      <c r="AF61" s="787"/>
      <c r="AG61" s="787"/>
      <c r="AH61" s="787"/>
    </row>
    <row r="62" spans="1:34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787"/>
      <c r="AF62" s="787"/>
      <c r="AG62" s="787"/>
      <c r="AH62" s="787"/>
    </row>
    <row r="63" spans="1:34" s="12" customFormat="1">
      <c r="A63" s="10" t="s">
        <v>59</v>
      </c>
      <c r="B63" s="454"/>
      <c r="C63" s="213"/>
      <c r="D63" s="213"/>
      <c r="E63" s="213"/>
      <c r="F63" s="1769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1769"/>
      <c r="X63" s="212"/>
      <c r="Y63" s="212"/>
      <c r="Z63" s="212"/>
      <c r="AA63" s="212"/>
      <c r="AB63" s="212"/>
      <c r="AC63" s="788"/>
      <c r="AD63" s="788"/>
      <c r="AE63" s="787"/>
      <c r="AF63" s="787"/>
      <c r="AG63" s="787"/>
      <c r="AH63" s="787"/>
    </row>
    <row r="64" spans="1:34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787"/>
      <c r="AF64" s="787"/>
      <c r="AG64" s="787"/>
      <c r="AH64" s="787"/>
    </row>
    <row r="65" spans="1:34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787"/>
      <c r="AF65" s="787"/>
      <c r="AG65" s="787"/>
      <c r="AH65" s="787"/>
    </row>
    <row r="66" spans="1:34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787"/>
      <c r="AF66" s="787"/>
      <c r="AG66" s="787"/>
      <c r="AH66" s="787"/>
    </row>
    <row r="67" spans="1:34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787"/>
      <c r="AF67" s="787"/>
      <c r="AG67" s="787"/>
      <c r="AH67" s="787"/>
    </row>
    <row r="68" spans="1:34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787"/>
      <c r="AF68" s="787"/>
      <c r="AG68" s="787"/>
      <c r="AH68" s="787"/>
    </row>
    <row r="69" spans="1:34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787"/>
      <c r="AF69" s="787"/>
      <c r="AG69" s="787"/>
      <c r="AH69" s="787"/>
    </row>
    <row r="70" spans="1:34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787"/>
      <c r="AF70" s="787"/>
      <c r="AG70" s="787"/>
      <c r="AH70" s="787"/>
    </row>
    <row r="71" spans="1:34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787"/>
      <c r="AF71" s="787"/>
      <c r="AG71" s="787"/>
      <c r="AH71" s="787"/>
    </row>
    <row r="72" spans="1:34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787"/>
      <c r="AF72" s="787"/>
      <c r="AG72" s="787"/>
      <c r="AH72" s="787"/>
    </row>
    <row r="73" spans="1:34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787"/>
      <c r="AF73" s="787"/>
      <c r="AG73" s="787"/>
      <c r="AH73" s="787"/>
    </row>
    <row r="74" spans="1:34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787"/>
      <c r="AF74" s="787"/>
      <c r="AG74" s="787"/>
      <c r="AH74" s="787"/>
    </row>
  </sheetData>
  <mergeCells count="7">
    <mergeCell ref="Z8:Z12"/>
    <mergeCell ref="AA8:AA12"/>
    <mergeCell ref="AB8:AB12"/>
    <mergeCell ref="E1:F1"/>
    <mergeCell ref="U8:W9"/>
    <mergeCell ref="X8:X12"/>
    <mergeCell ref="Y8:Y12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1:CJ74"/>
  <sheetViews>
    <sheetView showGridLines="0" showZeros="0" topLeftCell="P1" zoomScaleNormal="100" workbookViewId="0">
      <selection activeCell="Z16" sqref="Z16:Z22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88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88" s="12" customFormat="1" ht="12.75">
      <c r="A2" s="13" t="s">
        <v>65</v>
      </c>
      <c r="B2" s="9" t="s">
        <v>345</v>
      </c>
      <c r="C2" s="216"/>
      <c r="D2" s="216"/>
      <c r="E2" s="216"/>
      <c r="F2" s="216"/>
      <c r="G2" s="216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788"/>
      <c r="T2" s="788"/>
      <c r="U2" s="213"/>
      <c r="V2" s="213"/>
      <c r="W2" s="213"/>
      <c r="X2" s="212"/>
      <c r="Y2" s="212"/>
      <c r="Z2" s="212"/>
      <c r="AA2" s="212"/>
      <c r="AB2" s="212"/>
      <c r="AC2" s="788"/>
      <c r="AD2" s="788"/>
      <c r="AE2" s="212"/>
      <c r="AF2" s="212"/>
      <c r="AG2" s="788"/>
      <c r="AH2" s="788"/>
      <c r="AI2" s="11"/>
    </row>
    <row r="3" spans="1:88" ht="12.75">
      <c r="A3" s="6" t="s">
        <v>70</v>
      </c>
      <c r="B3" s="7" t="s">
        <v>71</v>
      </c>
      <c r="C3" s="65" t="s">
        <v>66</v>
      </c>
      <c r="D3" s="65" t="s">
        <v>52</v>
      </c>
      <c r="E3" s="65"/>
      <c r="F3" s="65" t="s">
        <v>84</v>
      </c>
      <c r="G3" s="65" t="s">
        <v>106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215"/>
      <c r="T3" s="215"/>
      <c r="U3" s="65"/>
      <c r="V3" s="65"/>
      <c r="W3" s="65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1"/>
    </row>
    <row r="4" spans="1:88" s="12" customFormat="1" ht="12.75">
      <c r="A4" s="13" t="s">
        <v>73</v>
      </c>
      <c r="B4" s="14" t="s">
        <v>247</v>
      </c>
      <c r="C4" s="216" t="s">
        <v>81</v>
      </c>
      <c r="D4" s="216"/>
      <c r="E4" s="216"/>
      <c r="F4" s="217"/>
      <c r="G4" s="217"/>
      <c r="H4" s="217"/>
      <c r="I4" s="217"/>
      <c r="J4" s="217"/>
      <c r="K4" s="217"/>
      <c r="L4" s="217"/>
      <c r="M4" s="217"/>
      <c r="N4" s="217"/>
      <c r="O4" s="216"/>
      <c r="P4" s="217"/>
      <c r="Q4" s="216"/>
      <c r="R4" s="216"/>
      <c r="S4" s="789"/>
      <c r="T4" s="789"/>
      <c r="U4" s="216"/>
      <c r="V4" s="216"/>
      <c r="W4" s="217"/>
      <c r="X4" s="212"/>
      <c r="Y4" s="212"/>
      <c r="Z4" s="212"/>
      <c r="AA4" s="212"/>
      <c r="AB4" s="212"/>
      <c r="AC4" s="788"/>
      <c r="AD4" s="788"/>
      <c r="AE4" s="212"/>
      <c r="AF4" s="212"/>
      <c r="AG4" s="788"/>
      <c r="AH4" s="788"/>
      <c r="AI4" s="11"/>
    </row>
    <row r="5" spans="1:88" s="12" customFormat="1" ht="12.75">
      <c r="A5" s="13" t="s">
        <v>74</v>
      </c>
      <c r="B5" s="450">
        <v>200800365</v>
      </c>
      <c r="C5" s="216"/>
      <c r="D5" s="216"/>
      <c r="E5" s="216"/>
      <c r="F5" s="217"/>
      <c r="G5" s="217"/>
      <c r="H5" s="1722"/>
      <c r="I5" s="217"/>
      <c r="J5" s="217"/>
      <c r="K5" s="787"/>
      <c r="L5" s="217"/>
      <c r="M5" s="217"/>
      <c r="N5" s="217"/>
      <c r="O5" s="216"/>
      <c r="P5" s="217"/>
      <c r="Q5" s="216"/>
      <c r="R5" s="216"/>
      <c r="S5" s="217"/>
      <c r="T5" s="789"/>
      <c r="U5" s="216"/>
      <c r="V5" s="216"/>
      <c r="W5" s="217"/>
      <c r="X5" s="212"/>
      <c r="Y5" s="212"/>
      <c r="Z5" s="212"/>
      <c r="AA5" s="212"/>
      <c r="AB5" s="212"/>
      <c r="AC5" s="788"/>
      <c r="AD5" s="788"/>
      <c r="AE5" s="212"/>
      <c r="AF5" s="212"/>
      <c r="AG5" s="788"/>
      <c r="AH5" s="788"/>
      <c r="AI5" s="11"/>
    </row>
    <row r="6" spans="1:88" s="12" customFormat="1" ht="12.75">
      <c r="A6" s="13" t="s">
        <v>75</v>
      </c>
      <c r="B6" s="14" t="s">
        <v>346</v>
      </c>
      <c r="C6" s="216"/>
      <c r="D6" s="216"/>
      <c r="E6" s="216"/>
      <c r="F6" s="217"/>
      <c r="G6" s="217"/>
      <c r="H6" s="790"/>
      <c r="I6" s="1723" t="s">
        <v>76</v>
      </c>
      <c r="J6" s="1724"/>
      <c r="K6" s="1725"/>
      <c r="L6" s="1725"/>
      <c r="M6" s="789"/>
      <c r="N6" s="788"/>
      <c r="O6" s="788"/>
      <c r="P6" s="788"/>
      <c r="Q6" s="789"/>
      <c r="R6" s="216"/>
      <c r="S6" s="789"/>
      <c r="T6" s="789"/>
      <c r="U6" s="216"/>
      <c r="V6" s="216"/>
      <c r="W6" s="217"/>
      <c r="X6" s="212"/>
      <c r="Y6" s="212"/>
      <c r="Z6" s="212"/>
      <c r="AA6" s="212"/>
      <c r="AB6" s="212"/>
      <c r="AC6" s="788"/>
      <c r="AD6" s="788"/>
      <c r="AE6" s="212"/>
      <c r="AF6" s="212"/>
      <c r="AG6" s="788"/>
      <c r="AH6" s="788"/>
      <c r="AI6" s="11"/>
    </row>
    <row r="7" spans="1:88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E7" s="212"/>
      <c r="AF7" s="212"/>
      <c r="AG7" s="212"/>
      <c r="AH7" s="212"/>
      <c r="AI7" s="212"/>
      <c r="AJ7" s="212"/>
      <c r="AO7" s="212"/>
      <c r="AP7" s="212"/>
      <c r="AQ7" s="212"/>
      <c r="AR7" s="212"/>
      <c r="AS7" s="212"/>
      <c r="AT7" s="212"/>
      <c r="AU7" s="212"/>
      <c r="AV7" s="212"/>
      <c r="AW7" s="212"/>
      <c r="AX7" s="1"/>
      <c r="AY7" s="212"/>
      <c r="AZ7" s="212"/>
      <c r="BA7" s="212"/>
      <c r="BB7" s="212"/>
      <c r="BC7" s="212"/>
      <c r="BD7" s="1"/>
      <c r="BE7" s="212"/>
      <c r="BF7" s="212"/>
      <c r="BG7" s="212"/>
      <c r="BH7" s="212"/>
      <c r="BI7" s="212"/>
      <c r="BJ7" s="1"/>
      <c r="BK7" s="212"/>
      <c r="BL7" s="212"/>
      <c r="BM7" s="212"/>
      <c r="BN7" s="212"/>
      <c r="BO7" s="212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</row>
    <row r="8" spans="1:88" s="12" customFormat="1" ht="16.5" customHeight="1">
      <c r="A8" s="16" t="s">
        <v>0</v>
      </c>
      <c r="B8" s="16" t="s">
        <v>1</v>
      </c>
      <c r="C8" s="1647" t="s">
        <v>2</v>
      </c>
      <c r="D8" s="90" t="s">
        <v>3</v>
      </c>
      <c r="E8" s="91"/>
      <c r="F8" s="92"/>
      <c r="G8" s="1726" t="s">
        <v>4</v>
      </c>
      <c r="H8" s="1727"/>
      <c r="I8" s="1726" t="s">
        <v>5</v>
      </c>
      <c r="J8" s="1727"/>
      <c r="K8" s="1728" t="s">
        <v>6</v>
      </c>
      <c r="L8" s="1728"/>
      <c r="M8" s="1728"/>
      <c r="N8" s="1728"/>
      <c r="O8" s="91" t="s">
        <v>7</v>
      </c>
      <c r="P8" s="92"/>
      <c r="Q8" s="91" t="s">
        <v>8</v>
      </c>
      <c r="R8" s="92"/>
      <c r="S8" s="1729"/>
      <c r="T8" s="1730"/>
      <c r="U8" s="2399" t="s">
        <v>63</v>
      </c>
      <c r="V8" s="2400"/>
      <c r="W8" s="2401"/>
      <c r="X8" s="2417" t="str">
        <f>"Production cumulée au 31/12/"&amp;(YEAR($E$1)-1)</f>
        <v>Production cumulée au 31/12/2014</v>
      </c>
      <c r="Y8" s="2417" t="str">
        <f>"sous traitance cumulée au 31/12/"&amp;(YEAR($E$1)-1)</f>
        <v>sous traitance cumulée au 31/12/2014</v>
      </c>
      <c r="Z8" s="2417" t="str">
        <f>"Facturation cumulée au 31/12/"&amp;(YEAR($E$1)-1)</f>
        <v>Facturation cumulée au 31/12/2014</v>
      </c>
      <c r="AA8" s="2417" t="str">
        <f>"Encaissement cumulé au 31/12/"&amp;(YEAR($E$1)-1)</f>
        <v>Encaissement cumulé au 31/12/2014</v>
      </c>
      <c r="AB8" s="2396" t="s">
        <v>64</v>
      </c>
      <c r="AC8" s="788"/>
      <c r="AD8" s="788"/>
      <c r="AE8" s="2413" t="s">
        <v>67</v>
      </c>
      <c r="AF8" s="2416" t="s">
        <v>68</v>
      </c>
      <c r="AG8" s="788"/>
      <c r="AH8" s="788"/>
      <c r="AI8" s="11"/>
    </row>
    <row r="9" spans="1:88" s="12" customFormat="1" ht="8.25" customHeight="1">
      <c r="A9" s="17" t="s">
        <v>9</v>
      </c>
      <c r="B9" s="18"/>
      <c r="C9" s="1731"/>
      <c r="D9" s="1732"/>
      <c r="E9" s="1733"/>
      <c r="F9" s="1734"/>
      <c r="G9" s="1735"/>
      <c r="H9" s="1736"/>
      <c r="I9" s="1735" t="s">
        <v>10</v>
      </c>
      <c r="J9" s="1735"/>
      <c r="K9" s="1737" t="s">
        <v>11</v>
      </c>
      <c r="L9" s="1737"/>
      <c r="M9" s="1737"/>
      <c r="N9" s="1737" t="s">
        <v>12</v>
      </c>
      <c r="O9" s="1733"/>
      <c r="P9" s="1734"/>
      <c r="Q9" s="1733"/>
      <c r="R9" s="1738"/>
      <c r="S9" s="1739" t="s">
        <v>13</v>
      </c>
      <c r="T9" s="1740" t="s">
        <v>14</v>
      </c>
      <c r="U9" s="2402"/>
      <c r="V9" s="2403"/>
      <c r="W9" s="2404"/>
      <c r="X9" s="2418"/>
      <c r="Y9" s="2418"/>
      <c r="Z9" s="2418"/>
      <c r="AA9" s="2418"/>
      <c r="AB9" s="2397"/>
      <c r="AC9" s="788"/>
      <c r="AD9" s="788"/>
      <c r="AE9" s="2414"/>
      <c r="AF9" s="2414"/>
      <c r="AG9" s="788"/>
      <c r="AH9" s="788"/>
      <c r="AI9" s="11"/>
    </row>
    <row r="10" spans="1:88" s="12" customFormat="1" ht="8.25" customHeight="1">
      <c r="A10" s="19"/>
      <c r="B10" s="18"/>
      <c r="C10" s="1731"/>
      <c r="D10" s="1741" t="s">
        <v>15</v>
      </c>
      <c r="E10" s="1741" t="s">
        <v>16</v>
      </c>
      <c r="F10" s="1728" t="s">
        <v>17</v>
      </c>
      <c r="G10" s="1735"/>
      <c r="H10" s="1736"/>
      <c r="I10" s="1735"/>
      <c r="J10" s="1735"/>
      <c r="K10" s="1742" t="s">
        <v>18</v>
      </c>
      <c r="L10" s="1742" t="s">
        <v>17</v>
      </c>
      <c r="M10" s="1742" t="s">
        <v>19</v>
      </c>
      <c r="N10" s="1742" t="s">
        <v>20</v>
      </c>
      <c r="O10" s="1741" t="s">
        <v>16</v>
      </c>
      <c r="P10" s="1728" t="s">
        <v>17</v>
      </c>
      <c r="Q10" s="1741" t="s">
        <v>16</v>
      </c>
      <c r="R10" s="1728" t="s">
        <v>17</v>
      </c>
      <c r="S10" s="1739" t="s">
        <v>21</v>
      </c>
      <c r="T10" s="1740" t="s">
        <v>22</v>
      </c>
      <c r="U10" s="1686" t="s">
        <v>15</v>
      </c>
      <c r="V10" s="1686" t="s">
        <v>16</v>
      </c>
      <c r="W10" s="1687" t="s">
        <v>17</v>
      </c>
      <c r="X10" s="2418"/>
      <c r="Y10" s="2418"/>
      <c r="Z10" s="2418"/>
      <c r="AA10" s="2418"/>
      <c r="AB10" s="2397"/>
      <c r="AC10" s="788"/>
      <c r="AD10" s="788"/>
      <c r="AE10" s="2414"/>
      <c r="AF10" s="2414" t="s">
        <v>68</v>
      </c>
      <c r="AG10" s="788"/>
      <c r="AH10" s="788"/>
      <c r="AI10" s="11"/>
    </row>
    <row r="11" spans="1:88" s="12" customFormat="1" ht="8.25" customHeight="1">
      <c r="A11" s="19"/>
      <c r="B11" s="18"/>
      <c r="C11" s="1731"/>
      <c r="D11" s="1739" t="s">
        <v>23</v>
      </c>
      <c r="E11" s="1739"/>
      <c r="F11" s="1737" t="s">
        <v>23</v>
      </c>
      <c r="G11" s="1728" t="s">
        <v>24</v>
      </c>
      <c r="H11" s="1728" t="s">
        <v>25</v>
      </c>
      <c r="I11" s="1728" t="s">
        <v>26</v>
      </c>
      <c r="J11" s="1728" t="s">
        <v>27</v>
      </c>
      <c r="K11" s="1737" t="s">
        <v>28</v>
      </c>
      <c r="L11" s="1737" t="s">
        <v>29</v>
      </c>
      <c r="M11" s="1737" t="s">
        <v>30</v>
      </c>
      <c r="N11" s="1737" t="s">
        <v>31</v>
      </c>
      <c r="O11" s="1739"/>
      <c r="P11" s="1737" t="s">
        <v>23</v>
      </c>
      <c r="Q11" s="1739"/>
      <c r="R11" s="1737" t="s">
        <v>23</v>
      </c>
      <c r="S11" s="1731"/>
      <c r="T11" s="1740" t="s">
        <v>32</v>
      </c>
      <c r="U11" s="1688" t="s">
        <v>56</v>
      </c>
      <c r="V11" s="1688"/>
      <c r="W11" s="1689" t="s">
        <v>56</v>
      </c>
      <c r="X11" s="2418"/>
      <c r="Y11" s="2418"/>
      <c r="Z11" s="2418"/>
      <c r="AA11" s="2418"/>
      <c r="AB11" s="2397"/>
      <c r="AC11" s="788"/>
      <c r="AD11" s="788"/>
      <c r="AE11" s="2414"/>
      <c r="AF11" s="2414"/>
      <c r="AG11" s="788"/>
      <c r="AH11" s="788"/>
      <c r="AI11" s="11"/>
    </row>
    <row r="12" spans="1:88" s="12" customFormat="1" ht="8.25" customHeight="1">
      <c r="A12" s="19"/>
      <c r="B12" s="18"/>
      <c r="C12" s="1731"/>
      <c r="D12" s="1731"/>
      <c r="E12" s="1731"/>
      <c r="F12" s="1743"/>
      <c r="G12" s="1743"/>
      <c r="H12" s="1743"/>
      <c r="I12" s="1743"/>
      <c r="J12" s="1737" t="s">
        <v>33</v>
      </c>
      <c r="K12" s="1737" t="s">
        <v>34</v>
      </c>
      <c r="L12" s="1737"/>
      <c r="M12" s="1737"/>
      <c r="N12" s="1737"/>
      <c r="O12" s="1731"/>
      <c r="P12" s="1743"/>
      <c r="Q12" s="1731"/>
      <c r="R12" s="1743"/>
      <c r="S12" s="1744"/>
      <c r="T12" s="1745"/>
      <c r="U12" s="1693"/>
      <c r="V12" s="1693"/>
      <c r="W12" s="1694"/>
      <c r="X12" s="2418"/>
      <c r="Y12" s="2418"/>
      <c r="Z12" s="2418"/>
      <c r="AA12" s="2418"/>
      <c r="AB12" s="2397"/>
      <c r="AC12" s="788"/>
      <c r="AD12" s="788"/>
      <c r="AE12" s="2415"/>
      <c r="AF12" s="2415"/>
      <c r="AG12" s="788"/>
      <c r="AH12" s="788"/>
      <c r="AI12" s="11"/>
    </row>
    <row r="13" spans="1:88" s="12" customFormat="1">
      <c r="A13" s="20"/>
      <c r="B13" s="805" t="s">
        <v>35</v>
      </c>
      <c r="C13" s="1746" t="s">
        <v>36</v>
      </c>
      <c r="D13" s="1746"/>
      <c r="E13" s="1746"/>
      <c r="F13" s="1747" t="s">
        <v>37</v>
      </c>
      <c r="G13" s="1747" t="s">
        <v>38</v>
      </c>
      <c r="H13" s="1747" t="s">
        <v>39</v>
      </c>
      <c r="I13" s="1747" t="s">
        <v>40</v>
      </c>
      <c r="J13" s="1747" t="s">
        <v>41</v>
      </c>
      <c r="K13" s="1747" t="s">
        <v>42</v>
      </c>
      <c r="L13" s="1747" t="s">
        <v>43</v>
      </c>
      <c r="M13" s="1747" t="s">
        <v>44</v>
      </c>
      <c r="N13" s="1747" t="s">
        <v>45</v>
      </c>
      <c r="O13" s="1746"/>
      <c r="P13" s="1747" t="s">
        <v>37</v>
      </c>
      <c r="Q13" s="1746" t="s">
        <v>46</v>
      </c>
      <c r="R13" s="1746"/>
      <c r="S13" s="1748" t="s">
        <v>47</v>
      </c>
      <c r="T13" s="1749" t="s">
        <v>48</v>
      </c>
      <c r="U13" s="1746"/>
      <c r="V13" s="1746"/>
      <c r="W13" s="1747" t="s">
        <v>37</v>
      </c>
      <c r="X13" s="289"/>
      <c r="Y13" s="289"/>
      <c r="Z13" s="289"/>
      <c r="AA13" s="289"/>
      <c r="AB13" s="289"/>
      <c r="AC13" s="788"/>
      <c r="AD13" s="788"/>
      <c r="AE13" s="1750"/>
      <c r="AF13" s="1750"/>
      <c r="AG13" s="788"/>
      <c r="AH13" s="788"/>
      <c r="AI13" s="11"/>
    </row>
    <row r="14" spans="1:88" s="12" customFormat="1" ht="12.75">
      <c r="A14" s="1386"/>
      <c r="B14" s="1387"/>
      <c r="C14" s="1751"/>
      <c r="D14" s="1751"/>
      <c r="E14" s="1751"/>
      <c r="F14" s="1751"/>
      <c r="G14" s="886"/>
      <c r="H14" s="886"/>
      <c r="I14" s="1751"/>
      <c r="J14" s="1751"/>
      <c r="K14" s="1751"/>
      <c r="L14" s="1751"/>
      <c r="M14" s="1751"/>
      <c r="N14" s="1751"/>
      <c r="O14" s="1751"/>
      <c r="P14" s="1751"/>
      <c r="Q14" s="1751"/>
      <c r="R14" s="1751"/>
      <c r="S14" s="1751"/>
      <c r="T14" s="1751">
        <f t="shared" ref="T14:T56" si="0">W14-L14</f>
        <v>0</v>
      </c>
      <c r="U14" s="1751"/>
      <c r="V14" s="1751"/>
      <c r="W14" s="1751"/>
      <c r="X14" s="1751"/>
      <c r="Y14" s="1751"/>
      <c r="Z14" s="1751"/>
      <c r="AA14" s="1751"/>
      <c r="AB14" s="824"/>
      <c r="AC14" s="788"/>
      <c r="AD14" s="788"/>
      <c r="AE14" s="1703"/>
      <c r="AF14" s="1703"/>
      <c r="AG14" s="788"/>
      <c r="AH14" s="788"/>
      <c r="AI14" s="11"/>
    </row>
    <row r="15" spans="1:88" s="12" customFormat="1" ht="12.75">
      <c r="A15" s="881">
        <v>1</v>
      </c>
      <c r="B15" s="811" t="s">
        <v>347</v>
      </c>
      <c r="C15" s="1751"/>
      <c r="D15" s="1751"/>
      <c r="E15" s="1752"/>
      <c r="F15" s="886"/>
      <c r="G15" s="886"/>
      <c r="H15" s="886"/>
      <c r="I15" s="886"/>
      <c r="J15" s="886"/>
      <c r="K15" s="886"/>
      <c r="L15" s="886"/>
      <c r="M15" s="886"/>
      <c r="N15" s="886"/>
      <c r="O15" s="1752"/>
      <c r="P15" s="886">
        <v>0</v>
      </c>
      <c r="Q15" s="1751"/>
      <c r="R15" s="1751">
        <v>0</v>
      </c>
      <c r="S15" s="1751">
        <f t="shared" ref="S15:S23" si="1">P15-R15</f>
        <v>0</v>
      </c>
      <c r="T15" s="1751">
        <f t="shared" si="0"/>
        <v>0</v>
      </c>
      <c r="U15" s="1751"/>
      <c r="V15" s="1752"/>
      <c r="W15" s="886"/>
      <c r="X15" s="886"/>
      <c r="Y15" s="886"/>
      <c r="Z15" s="886">
        <v>0</v>
      </c>
      <c r="AA15" s="1751">
        <v>0</v>
      </c>
      <c r="AB15" s="824"/>
      <c r="AC15" s="788"/>
      <c r="AD15" s="788"/>
      <c r="AE15" s="1707"/>
      <c r="AF15" s="1707"/>
      <c r="AG15" s="788"/>
      <c r="AH15" s="788"/>
      <c r="AI15" s="11"/>
    </row>
    <row r="16" spans="1:88" s="12" customFormat="1" ht="12.75">
      <c r="A16" s="881"/>
      <c r="B16" s="816" t="s">
        <v>123</v>
      </c>
      <c r="C16" s="1753">
        <f>+(270300*1.2)+(21100*11.449)</f>
        <v>565933.9</v>
      </c>
      <c r="D16" s="1753">
        <f>270300*1.2</f>
        <v>324360</v>
      </c>
      <c r="E16" s="1754">
        <v>1</v>
      </c>
      <c r="F16" s="1755">
        <f>D16*E16</f>
        <v>324360</v>
      </c>
      <c r="G16" s="1755">
        <v>10100</v>
      </c>
      <c r="H16" s="1755" t="s">
        <v>348</v>
      </c>
      <c r="I16" s="1434">
        <f t="shared" ref="I16:I22" si="2">+W16</f>
        <v>324360</v>
      </c>
      <c r="J16" s="1755"/>
      <c r="K16" s="1755"/>
      <c r="L16" s="1755">
        <f>I16-J16+K16</f>
        <v>324360</v>
      </c>
      <c r="M16" s="1755"/>
      <c r="N16" s="1755">
        <f>G16</f>
        <v>10100</v>
      </c>
      <c r="O16" s="1754">
        <v>1</v>
      </c>
      <c r="P16" s="1755">
        <f t="shared" ref="P16:P23" si="3">+O16*F16</f>
        <v>324360</v>
      </c>
      <c r="Q16" s="1755"/>
      <c r="R16" s="1753">
        <v>0</v>
      </c>
      <c r="S16" s="1753">
        <f t="shared" si="1"/>
        <v>324360</v>
      </c>
      <c r="T16" s="1753">
        <f t="shared" si="0"/>
        <v>0</v>
      </c>
      <c r="U16" s="1753">
        <f>270300*1.2</f>
        <v>324360</v>
      </c>
      <c r="V16" s="1754">
        <v>1</v>
      </c>
      <c r="W16" s="1755">
        <f>U16*V16</f>
        <v>324360</v>
      </c>
      <c r="X16" s="1755">
        <v>324360</v>
      </c>
      <c r="Y16" s="1755">
        <v>10100</v>
      </c>
      <c r="Z16" s="1755">
        <v>324360</v>
      </c>
      <c r="AA16" s="1753">
        <v>0</v>
      </c>
      <c r="AB16" s="1424">
        <f>270300*1.2</f>
        <v>324360</v>
      </c>
      <c r="AC16" s="1756"/>
      <c r="AD16" s="1756"/>
      <c r="AE16" s="1757">
        <v>1</v>
      </c>
      <c r="AF16" s="1757">
        <f t="shared" ref="AF16:AF22" si="4">AE16*F16</f>
        <v>324360</v>
      </c>
      <c r="AG16" s="788"/>
      <c r="AH16" s="788"/>
      <c r="AI16" s="11"/>
    </row>
    <row r="17" spans="1:35" s="12" customFormat="1">
      <c r="A17" s="815"/>
      <c r="B17" s="814"/>
      <c r="C17" s="1753"/>
      <c r="D17" s="1755"/>
      <c r="E17" s="1754"/>
      <c r="F17" s="1755"/>
      <c r="G17" s="1755"/>
      <c r="H17" s="1755"/>
      <c r="I17" s="1434">
        <f t="shared" si="2"/>
        <v>0</v>
      </c>
      <c r="J17" s="1755"/>
      <c r="K17" s="1755"/>
      <c r="L17" s="1755"/>
      <c r="M17" s="1755"/>
      <c r="N17" s="1755"/>
      <c r="O17" s="1754"/>
      <c r="P17" s="1755">
        <f t="shared" si="3"/>
        <v>0</v>
      </c>
      <c r="Q17" s="1755">
        <v>0</v>
      </c>
      <c r="R17" s="1753">
        <v>0</v>
      </c>
      <c r="S17" s="1753">
        <f t="shared" si="1"/>
        <v>0</v>
      </c>
      <c r="T17" s="1753">
        <f t="shared" si="0"/>
        <v>0</v>
      </c>
      <c r="U17" s="1755"/>
      <c r="V17" s="1754"/>
      <c r="W17" s="1755"/>
      <c r="X17" s="1755"/>
      <c r="Y17" s="1755"/>
      <c r="Z17" s="1755">
        <v>0</v>
      </c>
      <c r="AA17" s="1753">
        <v>0</v>
      </c>
      <c r="AB17" s="1424"/>
      <c r="AC17" s="1756"/>
      <c r="AD17" s="1756"/>
      <c r="AE17" s="1757"/>
      <c r="AF17" s="1757">
        <f t="shared" si="4"/>
        <v>0</v>
      </c>
      <c r="AG17" s="788"/>
      <c r="AH17" s="788"/>
      <c r="AI17" s="11"/>
    </row>
    <row r="18" spans="1:35" s="12" customFormat="1">
      <c r="A18" s="815">
        <v>2</v>
      </c>
      <c r="B18" s="814" t="s">
        <v>349</v>
      </c>
      <c r="C18" s="1758"/>
      <c r="D18" s="1755"/>
      <c r="E18" s="1754"/>
      <c r="F18" s="1755"/>
      <c r="G18" s="1755"/>
      <c r="H18" s="1755"/>
      <c r="I18" s="1434">
        <f t="shared" si="2"/>
        <v>0</v>
      </c>
      <c r="J18" s="1755"/>
      <c r="K18" s="1755"/>
      <c r="L18" s="1755"/>
      <c r="M18" s="1755"/>
      <c r="N18" s="1755"/>
      <c r="O18" s="1754"/>
      <c r="P18" s="1755">
        <f t="shared" si="3"/>
        <v>0</v>
      </c>
      <c r="Q18" s="1755"/>
      <c r="R18" s="1753"/>
      <c r="S18" s="1753">
        <f t="shared" si="1"/>
        <v>0</v>
      </c>
      <c r="T18" s="1753">
        <f t="shared" si="0"/>
        <v>0</v>
      </c>
      <c r="U18" s="1755"/>
      <c r="V18" s="1754"/>
      <c r="W18" s="1755"/>
      <c r="X18" s="1755"/>
      <c r="Y18" s="1755"/>
      <c r="Z18" s="1755">
        <v>0</v>
      </c>
      <c r="AA18" s="1753"/>
      <c r="AB18" s="1424"/>
      <c r="AC18" s="1756"/>
      <c r="AD18" s="1756"/>
      <c r="AE18" s="1757"/>
      <c r="AF18" s="1757">
        <f t="shared" si="4"/>
        <v>0</v>
      </c>
      <c r="AG18" s="788"/>
      <c r="AH18" s="788"/>
      <c r="AI18" s="11"/>
    </row>
    <row r="19" spans="1:35" s="12" customFormat="1" ht="12.75">
      <c r="A19" s="815"/>
      <c r="B19" s="816" t="s">
        <v>123</v>
      </c>
      <c r="C19" s="1753">
        <f>9000*11.449</f>
        <v>103041</v>
      </c>
      <c r="D19" s="1434"/>
      <c r="E19" s="1754"/>
      <c r="F19" s="1755">
        <f>D19*E19</f>
        <v>0</v>
      </c>
      <c r="G19" s="1755"/>
      <c r="H19" s="1755"/>
      <c r="I19" s="1434">
        <f t="shared" si="2"/>
        <v>0</v>
      </c>
      <c r="J19" s="1755"/>
      <c r="K19" s="1755"/>
      <c r="L19" s="1755"/>
      <c r="M19" s="1755"/>
      <c r="N19" s="1755"/>
      <c r="O19" s="1754"/>
      <c r="P19" s="1755">
        <f t="shared" si="3"/>
        <v>0</v>
      </c>
      <c r="Q19" s="1755"/>
      <c r="R19" s="1753"/>
      <c r="S19" s="1753">
        <f t="shared" si="1"/>
        <v>0</v>
      </c>
      <c r="T19" s="1753">
        <f t="shared" si="0"/>
        <v>0</v>
      </c>
      <c r="U19" s="1434"/>
      <c r="V19" s="1754"/>
      <c r="W19" s="1755"/>
      <c r="X19" s="1755"/>
      <c r="Y19" s="1755"/>
      <c r="Z19" s="1755">
        <v>0</v>
      </c>
      <c r="AA19" s="1753"/>
      <c r="AB19" s="1424"/>
      <c r="AC19" s="1756"/>
      <c r="AD19" s="1756"/>
      <c r="AE19" s="1757"/>
      <c r="AF19" s="1757">
        <f t="shared" si="4"/>
        <v>0</v>
      </c>
      <c r="AG19" s="788"/>
      <c r="AH19" s="788"/>
      <c r="AI19" s="11"/>
    </row>
    <row r="20" spans="1:35" s="12" customFormat="1">
      <c r="A20" s="815"/>
      <c r="B20" s="817"/>
      <c r="C20" s="1753"/>
      <c r="D20" s="1434"/>
      <c r="E20" s="1754"/>
      <c r="F20" s="1755"/>
      <c r="G20" s="1434"/>
      <c r="H20" s="1434"/>
      <c r="I20" s="1434">
        <f t="shared" si="2"/>
        <v>0</v>
      </c>
      <c r="J20" s="1434"/>
      <c r="K20" s="1434"/>
      <c r="L20" s="1755"/>
      <c r="M20" s="1434"/>
      <c r="N20" s="1434"/>
      <c r="O20" s="1754"/>
      <c r="P20" s="1755">
        <f t="shared" si="3"/>
        <v>0</v>
      </c>
      <c r="Q20" s="1434"/>
      <c r="R20" s="1434">
        <v>0</v>
      </c>
      <c r="S20" s="1753">
        <f t="shared" si="1"/>
        <v>0</v>
      </c>
      <c r="T20" s="1753">
        <f t="shared" si="0"/>
        <v>0</v>
      </c>
      <c r="U20" s="1434"/>
      <c r="V20" s="1754"/>
      <c r="W20" s="1755"/>
      <c r="X20" s="1755"/>
      <c r="Y20" s="1434"/>
      <c r="Z20" s="1755">
        <v>0</v>
      </c>
      <c r="AA20" s="1434">
        <v>0</v>
      </c>
      <c r="AB20" s="1424"/>
      <c r="AC20" s="1756"/>
      <c r="AD20" s="1756"/>
      <c r="AE20" s="1757"/>
      <c r="AF20" s="1757">
        <f t="shared" si="4"/>
        <v>0</v>
      </c>
      <c r="AG20" s="788"/>
      <c r="AH20" s="788"/>
      <c r="AI20" s="11"/>
    </row>
    <row r="21" spans="1:35" s="12" customFormat="1" ht="12.75" customHeight="1">
      <c r="A21" s="815">
        <v>3</v>
      </c>
      <c r="B21" s="814" t="s">
        <v>350</v>
      </c>
      <c r="C21" s="1753"/>
      <c r="D21" s="1753"/>
      <c r="E21" s="1754"/>
      <c r="F21" s="1755"/>
      <c r="G21" s="1434"/>
      <c r="H21" s="1434"/>
      <c r="I21" s="1434">
        <f t="shared" si="2"/>
        <v>0</v>
      </c>
      <c r="J21" s="1434"/>
      <c r="K21" s="1434"/>
      <c r="L21" s="1755"/>
      <c r="M21" s="1434"/>
      <c r="N21" s="1434"/>
      <c r="O21" s="1754"/>
      <c r="P21" s="1755">
        <f t="shared" si="3"/>
        <v>0</v>
      </c>
      <c r="Q21" s="1434"/>
      <c r="R21" s="1434">
        <v>0</v>
      </c>
      <c r="S21" s="1753">
        <f t="shared" si="1"/>
        <v>0</v>
      </c>
      <c r="T21" s="1753">
        <f t="shared" si="0"/>
        <v>0</v>
      </c>
      <c r="U21" s="1753"/>
      <c r="V21" s="1754"/>
      <c r="W21" s="1755"/>
      <c r="X21" s="1755"/>
      <c r="Y21" s="1434"/>
      <c r="Z21" s="1755">
        <v>0</v>
      </c>
      <c r="AA21" s="1434">
        <v>0</v>
      </c>
      <c r="AB21" s="1424"/>
      <c r="AC21" s="1756"/>
      <c r="AD21" s="1756"/>
      <c r="AE21" s="1757"/>
      <c r="AF21" s="1757">
        <f t="shared" si="4"/>
        <v>0</v>
      </c>
      <c r="AG21" s="788"/>
      <c r="AH21" s="788"/>
      <c r="AI21" s="11"/>
    </row>
    <row r="22" spans="1:35" s="12" customFormat="1" ht="12.75">
      <c r="A22" s="815"/>
      <c r="B22" s="816" t="s">
        <v>123</v>
      </c>
      <c r="C22" s="1753">
        <f>90000*1.2</f>
        <v>108000</v>
      </c>
      <c r="D22" s="1434">
        <f>90000*1.2</f>
        <v>108000</v>
      </c>
      <c r="E22" s="1754">
        <v>1</v>
      </c>
      <c r="F22" s="1755">
        <f>D22*E22</f>
        <v>108000</v>
      </c>
      <c r="G22" s="1434"/>
      <c r="H22" s="1434"/>
      <c r="I22" s="1434">
        <f t="shared" si="2"/>
        <v>108000</v>
      </c>
      <c r="J22" s="1434"/>
      <c r="K22" s="1434"/>
      <c r="L22" s="1755">
        <f>I22-J22+K22</f>
        <v>108000</v>
      </c>
      <c r="M22" s="1434"/>
      <c r="N22" s="1434"/>
      <c r="O22" s="1754">
        <v>1</v>
      </c>
      <c r="P22" s="1755">
        <f t="shared" si="3"/>
        <v>108000</v>
      </c>
      <c r="Q22" s="1434"/>
      <c r="R22" s="1434"/>
      <c r="S22" s="1753">
        <f t="shared" si="1"/>
        <v>108000</v>
      </c>
      <c r="T22" s="1753">
        <f t="shared" si="0"/>
        <v>0</v>
      </c>
      <c r="U22" s="1434">
        <f>90000*1.2</f>
        <v>108000</v>
      </c>
      <c r="V22" s="1754">
        <v>1</v>
      </c>
      <c r="W22" s="1755">
        <f>U22*V22</f>
        <v>108000</v>
      </c>
      <c r="X22" s="1755">
        <v>108000</v>
      </c>
      <c r="Y22" s="1434"/>
      <c r="Z22" s="1755">
        <v>108000</v>
      </c>
      <c r="AA22" s="1434"/>
      <c r="AB22" s="1424">
        <f>90000*1.2</f>
        <v>108000</v>
      </c>
      <c r="AC22" s="1756"/>
      <c r="AD22" s="1756"/>
      <c r="AE22" s="1757">
        <v>1</v>
      </c>
      <c r="AF22" s="1757">
        <f t="shared" si="4"/>
        <v>108000</v>
      </c>
      <c r="AG22" s="788"/>
      <c r="AH22" s="788"/>
      <c r="AI22" s="11"/>
    </row>
    <row r="23" spans="1:35" s="12" customFormat="1" ht="12.75">
      <c r="A23" s="815"/>
      <c r="B23" s="887"/>
      <c r="C23" s="1751"/>
      <c r="D23" s="45"/>
      <c r="E23" s="1752"/>
      <c r="F23" s="886"/>
      <c r="G23" s="45"/>
      <c r="H23" s="45"/>
      <c r="I23" s="45"/>
      <c r="J23" s="45"/>
      <c r="K23" s="45"/>
      <c r="L23" s="886"/>
      <c r="M23" s="45"/>
      <c r="N23" s="45"/>
      <c r="O23" s="45"/>
      <c r="P23" s="886">
        <f t="shared" si="3"/>
        <v>0</v>
      </c>
      <c r="Q23" s="45"/>
      <c r="R23" s="45"/>
      <c r="S23" s="1751">
        <f t="shared" si="1"/>
        <v>0</v>
      </c>
      <c r="T23" s="1751">
        <f t="shared" si="0"/>
        <v>0</v>
      </c>
      <c r="U23" s="45"/>
      <c r="V23" s="1752"/>
      <c r="W23" s="886"/>
      <c r="X23" s="886"/>
      <c r="Y23" s="45"/>
      <c r="Z23" s="45">
        <v>0</v>
      </c>
      <c r="AA23" s="45"/>
      <c r="AB23" s="824"/>
      <c r="AC23" s="788"/>
      <c r="AD23" s="788"/>
      <c r="AE23" s="1759"/>
      <c r="AF23" s="1759"/>
      <c r="AG23" s="788"/>
      <c r="AH23" s="788"/>
      <c r="AI23" s="11"/>
    </row>
    <row r="24" spans="1:35" s="12" customFormat="1" ht="12.75">
      <c r="A24" s="815">
        <v>4</v>
      </c>
      <c r="B24" s="811" t="s">
        <v>351</v>
      </c>
      <c r="C24" s="1751"/>
      <c r="D24" s="45"/>
      <c r="E24" s="1752"/>
      <c r="F24" s="886">
        <f>D24*E24</f>
        <v>0</v>
      </c>
      <c r="G24" s="45"/>
      <c r="H24" s="45"/>
      <c r="I24" s="45"/>
      <c r="J24" s="45"/>
      <c r="K24" s="45"/>
      <c r="L24" s="886"/>
      <c r="M24" s="45"/>
      <c r="N24" s="45"/>
      <c r="O24" s="45"/>
      <c r="P24" s="45"/>
      <c r="Q24" s="45"/>
      <c r="R24" s="45"/>
      <c r="S24" s="45"/>
      <c r="T24" s="1751">
        <f t="shared" si="0"/>
        <v>0</v>
      </c>
      <c r="U24" s="45"/>
      <c r="V24" s="1752"/>
      <c r="W24" s="886"/>
      <c r="X24" s="886"/>
      <c r="Y24" s="45"/>
      <c r="Z24" s="45"/>
      <c r="AA24" s="45"/>
      <c r="AB24" s="824"/>
      <c r="AC24" s="788"/>
      <c r="AD24" s="788"/>
      <c r="AE24" s="1759"/>
      <c r="AF24" s="1759">
        <f>AE24*F24</f>
        <v>0</v>
      </c>
      <c r="AG24" s="788"/>
      <c r="AH24" s="788"/>
      <c r="AI24" s="11"/>
    </row>
    <row r="25" spans="1:35" s="12" customFormat="1" ht="45">
      <c r="A25" s="815"/>
      <c r="B25" s="887" t="s">
        <v>352</v>
      </c>
      <c r="C25" s="1751"/>
      <c r="D25" s="45"/>
      <c r="E25" s="1752"/>
      <c r="F25" s="886">
        <f>D25*E25</f>
        <v>0</v>
      </c>
      <c r="G25" s="45"/>
      <c r="H25" s="45"/>
      <c r="I25" s="45"/>
      <c r="J25" s="45"/>
      <c r="K25" s="45"/>
      <c r="L25" s="886"/>
      <c r="M25" s="45"/>
      <c r="N25" s="45"/>
      <c r="O25" s="45"/>
      <c r="P25" s="45"/>
      <c r="Q25" s="45"/>
      <c r="R25" s="45"/>
      <c r="S25" s="45"/>
      <c r="T25" s="1751">
        <f t="shared" si="0"/>
        <v>0</v>
      </c>
      <c r="U25" s="45"/>
      <c r="V25" s="1752"/>
      <c r="W25" s="886">
        <f t="shared" ref="W25:W30" si="5">U25*V25</f>
        <v>0</v>
      </c>
      <c r="X25" s="886"/>
      <c r="Y25" s="45"/>
      <c r="Z25" s="45"/>
      <c r="AA25" s="45"/>
      <c r="AB25" s="824"/>
      <c r="AC25" s="788"/>
      <c r="AD25" s="788"/>
      <c r="AE25" s="1759"/>
      <c r="AF25" s="1759"/>
      <c r="AG25" s="788"/>
      <c r="AH25" s="788"/>
      <c r="AI25" s="11"/>
    </row>
    <row r="26" spans="1:35" s="12" customFormat="1" ht="12.75">
      <c r="A26" s="815"/>
      <c r="B26" s="816" t="s">
        <v>353</v>
      </c>
      <c r="C26" s="1753">
        <f>1850*11.449</f>
        <v>21180.65</v>
      </c>
      <c r="D26" s="45"/>
      <c r="E26" s="1752"/>
      <c r="F26" s="886">
        <f>D26*E26</f>
        <v>0</v>
      </c>
      <c r="G26" s="45"/>
      <c r="H26" s="45"/>
      <c r="I26" s="45"/>
      <c r="J26" s="45"/>
      <c r="K26" s="45"/>
      <c r="L26" s="886"/>
      <c r="M26" s="45"/>
      <c r="N26" s="45"/>
      <c r="O26" s="45"/>
      <c r="P26" s="45"/>
      <c r="Q26" s="45"/>
      <c r="R26" s="45"/>
      <c r="S26" s="45"/>
      <c r="T26" s="1751">
        <f t="shared" si="0"/>
        <v>0</v>
      </c>
      <c r="U26" s="45"/>
      <c r="V26" s="1752"/>
      <c r="W26" s="886">
        <f t="shared" si="5"/>
        <v>0</v>
      </c>
      <c r="X26" s="886"/>
      <c r="Y26" s="45"/>
      <c r="Z26" s="45"/>
      <c r="AA26" s="45"/>
      <c r="AB26" s="824"/>
      <c r="AC26" s="788"/>
      <c r="AD26" s="788"/>
      <c r="AE26" s="1759"/>
      <c r="AF26" s="1759"/>
      <c r="AG26" s="788"/>
      <c r="AH26" s="788"/>
      <c r="AI26" s="11"/>
    </row>
    <row r="27" spans="1:35" s="12" customFormat="1" ht="12.75">
      <c r="A27" s="815"/>
      <c r="B27" s="811"/>
      <c r="C27" s="1751"/>
      <c r="D27" s="45"/>
      <c r="E27" s="1752"/>
      <c r="F27" s="886"/>
      <c r="G27" s="45"/>
      <c r="H27" s="45"/>
      <c r="I27" s="45"/>
      <c r="J27" s="45"/>
      <c r="K27" s="45"/>
      <c r="L27" s="886"/>
      <c r="M27" s="45"/>
      <c r="N27" s="45"/>
      <c r="O27" s="45"/>
      <c r="P27" s="45"/>
      <c r="Q27" s="45"/>
      <c r="R27" s="45"/>
      <c r="S27" s="45"/>
      <c r="T27" s="1751">
        <f t="shared" si="0"/>
        <v>0</v>
      </c>
      <c r="U27" s="45"/>
      <c r="V27" s="1752"/>
      <c r="W27" s="886">
        <f t="shared" si="5"/>
        <v>0</v>
      </c>
      <c r="X27" s="886"/>
      <c r="Y27" s="45"/>
      <c r="Z27" s="45"/>
      <c r="AA27" s="45"/>
      <c r="AB27" s="824"/>
      <c r="AC27" s="788"/>
      <c r="AD27" s="788"/>
      <c r="AE27" s="1759"/>
      <c r="AF27" s="1759">
        <f>AE27*F27</f>
        <v>0</v>
      </c>
      <c r="AG27" s="788"/>
      <c r="AH27" s="788"/>
      <c r="AI27" s="11"/>
    </row>
    <row r="28" spans="1:35" s="12" customFormat="1" ht="12.75">
      <c r="A28" s="815"/>
      <c r="B28" s="811"/>
      <c r="C28" s="1751"/>
      <c r="D28" s="45"/>
      <c r="E28" s="1752"/>
      <c r="F28" s="886"/>
      <c r="G28" s="45"/>
      <c r="H28" s="45"/>
      <c r="I28" s="45"/>
      <c r="J28" s="45"/>
      <c r="K28" s="45"/>
      <c r="L28" s="886"/>
      <c r="M28" s="45"/>
      <c r="N28" s="45"/>
      <c r="O28" s="45"/>
      <c r="P28" s="45"/>
      <c r="Q28" s="45"/>
      <c r="R28" s="45"/>
      <c r="S28" s="45"/>
      <c r="T28" s="1751">
        <f t="shared" si="0"/>
        <v>0</v>
      </c>
      <c r="U28" s="45"/>
      <c r="V28" s="1752"/>
      <c r="W28" s="886">
        <f t="shared" si="5"/>
        <v>0</v>
      </c>
      <c r="X28" s="886"/>
      <c r="Y28" s="45"/>
      <c r="Z28" s="45"/>
      <c r="AA28" s="45"/>
      <c r="AB28" s="824"/>
      <c r="AC28" s="788"/>
      <c r="AD28" s="788"/>
      <c r="AE28" s="1759"/>
      <c r="AF28" s="1759"/>
      <c r="AG28" s="788"/>
      <c r="AH28" s="788"/>
      <c r="AI28" s="11"/>
    </row>
    <row r="29" spans="1:35" s="12" customFormat="1" ht="12.75">
      <c r="A29" s="815"/>
      <c r="B29" s="811"/>
      <c r="C29" s="1751"/>
      <c r="D29" s="45"/>
      <c r="E29" s="1752"/>
      <c r="F29" s="886"/>
      <c r="G29" s="45"/>
      <c r="H29" s="45"/>
      <c r="I29" s="45"/>
      <c r="J29" s="45"/>
      <c r="K29" s="45"/>
      <c r="L29" s="886"/>
      <c r="M29" s="45"/>
      <c r="N29" s="45"/>
      <c r="O29" s="45"/>
      <c r="P29" s="45"/>
      <c r="Q29" s="45"/>
      <c r="R29" s="45"/>
      <c r="S29" s="45"/>
      <c r="T29" s="1751">
        <f t="shared" si="0"/>
        <v>0</v>
      </c>
      <c r="U29" s="45"/>
      <c r="V29" s="1752"/>
      <c r="W29" s="886">
        <f t="shared" si="5"/>
        <v>0</v>
      </c>
      <c r="X29" s="886"/>
      <c r="Y29" s="45"/>
      <c r="Z29" s="45"/>
      <c r="AA29" s="45"/>
      <c r="AB29" s="824"/>
      <c r="AC29" s="788"/>
      <c r="AD29" s="788"/>
      <c r="AE29" s="1759"/>
      <c r="AF29" s="1759"/>
      <c r="AG29" s="788"/>
      <c r="AH29" s="788"/>
      <c r="AI29" s="11"/>
    </row>
    <row r="30" spans="1:35" s="12" customFormat="1" ht="12.75">
      <c r="A30" s="815"/>
      <c r="B30" s="811"/>
      <c r="C30" s="1751"/>
      <c r="D30" s="45"/>
      <c r="E30" s="1752"/>
      <c r="F30" s="886"/>
      <c r="G30" s="45"/>
      <c r="H30" s="45"/>
      <c r="I30" s="45"/>
      <c r="J30" s="45"/>
      <c r="K30" s="45"/>
      <c r="L30" s="886"/>
      <c r="M30" s="45"/>
      <c r="N30" s="45"/>
      <c r="O30" s="45"/>
      <c r="P30" s="45"/>
      <c r="Q30" s="45"/>
      <c r="R30" s="45"/>
      <c r="S30" s="45"/>
      <c r="T30" s="1751">
        <f t="shared" si="0"/>
        <v>0</v>
      </c>
      <c r="U30" s="45"/>
      <c r="V30" s="1752"/>
      <c r="W30" s="886">
        <f t="shared" si="5"/>
        <v>0</v>
      </c>
      <c r="X30" s="886"/>
      <c r="Y30" s="45"/>
      <c r="Z30" s="45"/>
      <c r="AA30" s="45"/>
      <c r="AB30" s="824"/>
      <c r="AC30" s="788"/>
      <c r="AD30" s="788"/>
      <c r="AE30" s="1759"/>
      <c r="AF30" s="1759"/>
      <c r="AG30" s="788"/>
      <c r="AH30" s="788"/>
      <c r="AI30" s="11"/>
    </row>
    <row r="31" spans="1:35" s="12" customFormat="1" ht="12.75">
      <c r="A31" s="815"/>
      <c r="B31" s="811"/>
      <c r="C31" s="1751"/>
      <c r="D31" s="45"/>
      <c r="E31" s="1752"/>
      <c r="F31" s="886"/>
      <c r="G31" s="45"/>
      <c r="H31" s="45"/>
      <c r="I31" s="45"/>
      <c r="J31" s="45"/>
      <c r="K31" s="45"/>
      <c r="L31" s="886"/>
      <c r="M31" s="45"/>
      <c r="N31" s="45"/>
      <c r="O31" s="45"/>
      <c r="P31" s="45"/>
      <c r="Q31" s="45"/>
      <c r="R31" s="45"/>
      <c r="S31" s="45"/>
      <c r="T31" s="1751">
        <f t="shared" si="0"/>
        <v>0</v>
      </c>
      <c r="U31" s="45"/>
      <c r="V31" s="1752"/>
      <c r="W31" s="886"/>
      <c r="X31" s="886"/>
      <c r="Y31" s="45"/>
      <c r="Z31" s="45"/>
      <c r="AA31" s="45"/>
      <c r="AB31" s="824"/>
      <c r="AC31" s="788"/>
      <c r="AD31" s="788"/>
      <c r="AE31" s="1759"/>
      <c r="AF31" s="1759"/>
      <c r="AG31" s="788"/>
      <c r="AH31" s="788"/>
      <c r="AI31" s="11"/>
    </row>
    <row r="32" spans="1:35" s="12" customFormat="1" ht="12.75">
      <c r="A32" s="815"/>
      <c r="B32" s="811"/>
      <c r="C32" s="45"/>
      <c r="D32" s="45"/>
      <c r="E32" s="1752"/>
      <c r="F32" s="886"/>
      <c r="G32" s="45"/>
      <c r="H32" s="45"/>
      <c r="I32" s="45"/>
      <c r="J32" s="45"/>
      <c r="K32" s="45"/>
      <c r="L32" s="886"/>
      <c r="M32" s="45"/>
      <c r="N32" s="45"/>
      <c r="O32" s="45"/>
      <c r="P32" s="45"/>
      <c r="Q32" s="45"/>
      <c r="R32" s="45"/>
      <c r="S32" s="45"/>
      <c r="T32" s="1751">
        <f t="shared" si="0"/>
        <v>0</v>
      </c>
      <c r="U32" s="45"/>
      <c r="V32" s="1752"/>
      <c r="W32" s="886"/>
      <c r="X32" s="886"/>
      <c r="Y32" s="45"/>
      <c r="Z32" s="45"/>
      <c r="AA32" s="45"/>
      <c r="AB32" s="4"/>
      <c r="AC32" s="788"/>
      <c r="AD32" s="788"/>
      <c r="AE32" s="1759"/>
      <c r="AF32" s="1759"/>
      <c r="AG32" s="788"/>
      <c r="AH32" s="788"/>
      <c r="AI32" s="11"/>
    </row>
    <row r="33" spans="1:35" s="12" customFormat="1" ht="12.75">
      <c r="A33" s="815"/>
      <c r="B33" s="811"/>
      <c r="C33" s="45"/>
      <c r="D33" s="45"/>
      <c r="E33" s="1752"/>
      <c r="F33" s="886"/>
      <c r="G33" s="45"/>
      <c r="H33" s="45"/>
      <c r="I33" s="45"/>
      <c r="J33" s="45"/>
      <c r="K33" s="45"/>
      <c r="L33" s="886"/>
      <c r="M33" s="45"/>
      <c r="N33" s="45"/>
      <c r="O33" s="45"/>
      <c r="P33" s="45"/>
      <c r="Q33" s="45"/>
      <c r="R33" s="45"/>
      <c r="S33" s="45"/>
      <c r="T33" s="1751">
        <f t="shared" si="0"/>
        <v>0</v>
      </c>
      <c r="U33" s="45"/>
      <c r="V33" s="1752"/>
      <c r="W33" s="886"/>
      <c r="X33" s="886"/>
      <c r="Y33" s="45"/>
      <c r="Z33" s="45"/>
      <c r="AA33" s="45"/>
      <c r="AB33" s="4"/>
      <c r="AC33" s="788"/>
      <c r="AD33" s="788"/>
      <c r="AE33" s="1759"/>
      <c r="AF33" s="1759"/>
      <c r="AG33" s="788"/>
      <c r="AH33" s="788"/>
      <c r="AI33" s="11"/>
    </row>
    <row r="34" spans="1:35" s="12" customFormat="1" ht="12.75">
      <c r="A34" s="815"/>
      <c r="B34" s="811"/>
      <c r="C34" s="45"/>
      <c r="D34" s="45"/>
      <c r="E34" s="1752"/>
      <c r="F34" s="886"/>
      <c r="G34" s="45"/>
      <c r="H34" s="45"/>
      <c r="I34" s="45"/>
      <c r="J34" s="45"/>
      <c r="K34" s="45"/>
      <c r="L34" s="886"/>
      <c r="M34" s="45"/>
      <c r="N34" s="45"/>
      <c r="O34" s="45"/>
      <c r="P34" s="45"/>
      <c r="Q34" s="45"/>
      <c r="R34" s="45"/>
      <c r="S34" s="45"/>
      <c r="T34" s="1751">
        <f t="shared" si="0"/>
        <v>0</v>
      </c>
      <c r="U34" s="45"/>
      <c r="V34" s="1752"/>
      <c r="W34" s="886"/>
      <c r="X34" s="886"/>
      <c r="Y34" s="45"/>
      <c r="Z34" s="45"/>
      <c r="AA34" s="45"/>
      <c r="AB34" s="824"/>
      <c r="AC34" s="788"/>
      <c r="AD34" s="788"/>
      <c r="AE34" s="1759"/>
      <c r="AF34" s="1759"/>
      <c r="AG34" s="788"/>
      <c r="AH34" s="788"/>
      <c r="AI34" s="11"/>
    </row>
    <row r="35" spans="1:35" s="12" customFormat="1" ht="12.75">
      <c r="A35" s="815"/>
      <c r="B35" s="811"/>
      <c r="C35" s="45"/>
      <c r="D35" s="45"/>
      <c r="E35" s="1752"/>
      <c r="F35" s="886"/>
      <c r="G35" s="45"/>
      <c r="H35" s="45"/>
      <c r="I35" s="45"/>
      <c r="J35" s="45"/>
      <c r="K35" s="45"/>
      <c r="L35" s="886"/>
      <c r="M35" s="45"/>
      <c r="N35" s="45"/>
      <c r="O35" s="45"/>
      <c r="P35" s="45"/>
      <c r="Q35" s="45"/>
      <c r="R35" s="45"/>
      <c r="S35" s="45"/>
      <c r="T35" s="1751">
        <f t="shared" si="0"/>
        <v>0</v>
      </c>
      <c r="U35" s="45"/>
      <c r="V35" s="1752"/>
      <c r="W35" s="886"/>
      <c r="X35" s="886"/>
      <c r="Y35" s="45"/>
      <c r="Z35" s="45"/>
      <c r="AA35" s="45"/>
      <c r="AB35" s="824"/>
      <c r="AC35" s="788"/>
      <c r="AD35" s="788"/>
      <c r="AE35" s="1759"/>
      <c r="AF35" s="1759"/>
      <c r="AG35" s="788"/>
      <c r="AH35" s="788"/>
      <c r="AI35" s="11"/>
    </row>
    <row r="36" spans="1:35" s="12" customFormat="1" ht="12.75">
      <c r="A36" s="815"/>
      <c r="B36" s="811"/>
      <c r="C36" s="45"/>
      <c r="D36" s="45"/>
      <c r="E36" s="1752"/>
      <c r="F36" s="886"/>
      <c r="G36" s="45"/>
      <c r="H36" s="45"/>
      <c r="I36" s="45"/>
      <c r="J36" s="45"/>
      <c r="K36" s="45"/>
      <c r="L36" s="886"/>
      <c r="M36" s="45"/>
      <c r="N36" s="45"/>
      <c r="O36" s="45"/>
      <c r="P36" s="45"/>
      <c r="Q36" s="45"/>
      <c r="R36" s="45"/>
      <c r="S36" s="45"/>
      <c r="T36" s="1751">
        <f t="shared" si="0"/>
        <v>0</v>
      </c>
      <c r="U36" s="45"/>
      <c r="V36" s="1752"/>
      <c r="W36" s="886"/>
      <c r="X36" s="886"/>
      <c r="Y36" s="45"/>
      <c r="Z36" s="45"/>
      <c r="AA36" s="45"/>
      <c r="AB36" s="824"/>
      <c r="AC36" s="788"/>
      <c r="AD36" s="788"/>
      <c r="AE36" s="1759"/>
      <c r="AF36" s="1759"/>
      <c r="AG36" s="788"/>
      <c r="AH36" s="788"/>
      <c r="AI36" s="11"/>
    </row>
    <row r="37" spans="1:35" s="12" customFormat="1" ht="12.75">
      <c r="A37" s="815"/>
      <c r="B37" s="811"/>
      <c r="C37" s="45"/>
      <c r="D37" s="45"/>
      <c r="E37" s="1752"/>
      <c r="F37" s="886"/>
      <c r="G37" s="45"/>
      <c r="H37" s="45"/>
      <c r="I37" s="45"/>
      <c r="J37" s="45"/>
      <c r="K37" s="45"/>
      <c r="L37" s="886"/>
      <c r="M37" s="45"/>
      <c r="N37" s="45"/>
      <c r="O37" s="45"/>
      <c r="P37" s="45"/>
      <c r="Q37" s="45"/>
      <c r="R37" s="45"/>
      <c r="S37" s="45"/>
      <c r="T37" s="1751">
        <f t="shared" si="0"/>
        <v>0</v>
      </c>
      <c r="U37" s="45"/>
      <c r="V37" s="1752"/>
      <c r="W37" s="886"/>
      <c r="X37" s="886"/>
      <c r="Y37" s="45"/>
      <c r="Z37" s="45"/>
      <c r="AA37" s="45"/>
      <c r="AB37" s="824"/>
      <c r="AC37" s="788"/>
      <c r="AD37" s="788"/>
      <c r="AE37" s="1759"/>
      <c r="AF37" s="1759"/>
      <c r="AG37" s="788"/>
      <c r="AH37" s="788"/>
      <c r="AI37" s="11"/>
    </row>
    <row r="38" spans="1:35" s="12" customFormat="1" ht="12.75">
      <c r="A38" s="815"/>
      <c r="B38" s="811"/>
      <c r="C38" s="45"/>
      <c r="D38" s="45"/>
      <c r="E38" s="1752"/>
      <c r="F38" s="886"/>
      <c r="G38" s="45"/>
      <c r="H38" s="45"/>
      <c r="I38" s="45"/>
      <c r="J38" s="45"/>
      <c r="K38" s="45"/>
      <c r="L38" s="886"/>
      <c r="M38" s="45"/>
      <c r="N38" s="45"/>
      <c r="O38" s="45"/>
      <c r="P38" s="45"/>
      <c r="Q38" s="45"/>
      <c r="R38" s="45"/>
      <c r="S38" s="45"/>
      <c r="T38" s="1751">
        <f t="shared" si="0"/>
        <v>0</v>
      </c>
      <c r="U38" s="45"/>
      <c r="V38" s="1752"/>
      <c r="W38" s="886"/>
      <c r="X38" s="886"/>
      <c r="Y38" s="45"/>
      <c r="Z38" s="45"/>
      <c r="AA38" s="45"/>
      <c r="AB38" s="824"/>
      <c r="AC38" s="788"/>
      <c r="AD38" s="788"/>
      <c r="AE38" s="1759"/>
      <c r="AF38" s="1759"/>
      <c r="AG38" s="788"/>
      <c r="AH38" s="788"/>
      <c r="AI38" s="11"/>
    </row>
    <row r="39" spans="1:35" s="12" customFormat="1" ht="12.75">
      <c r="A39" s="815"/>
      <c r="B39" s="811"/>
      <c r="C39" s="45"/>
      <c r="D39" s="45"/>
      <c r="E39" s="1752"/>
      <c r="F39" s="886"/>
      <c r="G39" s="45"/>
      <c r="H39" s="45"/>
      <c r="I39" s="45"/>
      <c r="J39" s="45"/>
      <c r="K39" s="45"/>
      <c r="L39" s="886"/>
      <c r="M39" s="45"/>
      <c r="N39" s="45"/>
      <c r="O39" s="45"/>
      <c r="P39" s="45"/>
      <c r="Q39" s="45"/>
      <c r="R39" s="45"/>
      <c r="S39" s="45"/>
      <c r="T39" s="1751">
        <f t="shared" si="0"/>
        <v>0</v>
      </c>
      <c r="U39" s="45"/>
      <c r="V39" s="1752"/>
      <c r="W39" s="886"/>
      <c r="X39" s="886"/>
      <c r="Y39" s="45"/>
      <c r="Z39" s="45"/>
      <c r="AA39" s="45"/>
      <c r="AB39" s="824"/>
      <c r="AC39" s="788"/>
      <c r="AD39" s="788"/>
      <c r="AE39" s="1759"/>
      <c r="AF39" s="1759"/>
      <c r="AG39" s="788"/>
      <c r="AH39" s="788"/>
      <c r="AI39" s="11"/>
    </row>
    <row r="40" spans="1:35" s="12" customFormat="1" ht="12.75">
      <c r="A40" s="815"/>
      <c r="B40" s="811"/>
      <c r="C40" s="45"/>
      <c r="D40" s="45"/>
      <c r="E40" s="1752"/>
      <c r="F40" s="886"/>
      <c r="G40" s="45"/>
      <c r="H40" s="45"/>
      <c r="I40" s="45"/>
      <c r="J40" s="45"/>
      <c r="K40" s="45"/>
      <c r="L40" s="886"/>
      <c r="M40" s="45"/>
      <c r="N40" s="45"/>
      <c r="O40" s="45"/>
      <c r="P40" s="45"/>
      <c r="Q40" s="45"/>
      <c r="R40" s="45"/>
      <c r="S40" s="45"/>
      <c r="T40" s="1751">
        <f t="shared" si="0"/>
        <v>0</v>
      </c>
      <c r="U40" s="45"/>
      <c r="V40" s="1752"/>
      <c r="W40" s="886"/>
      <c r="X40" s="886"/>
      <c r="Y40" s="45"/>
      <c r="Z40" s="45"/>
      <c r="AA40" s="45"/>
      <c r="AB40" s="824"/>
      <c r="AC40" s="788"/>
      <c r="AD40" s="788"/>
      <c r="AE40" s="1759"/>
      <c r="AF40" s="1759"/>
      <c r="AG40" s="788"/>
      <c r="AH40" s="788"/>
      <c r="AI40" s="11"/>
    </row>
    <row r="41" spans="1:35" s="12" customFormat="1" ht="12.75">
      <c r="A41" s="815"/>
      <c r="B41" s="811"/>
      <c r="C41" s="45"/>
      <c r="D41" s="45"/>
      <c r="E41" s="1752"/>
      <c r="F41" s="886"/>
      <c r="G41" s="45"/>
      <c r="H41" s="45"/>
      <c r="I41" s="45"/>
      <c r="J41" s="45"/>
      <c r="K41" s="45"/>
      <c r="L41" s="886"/>
      <c r="M41" s="45"/>
      <c r="N41" s="45"/>
      <c r="O41" s="45"/>
      <c r="P41" s="45"/>
      <c r="Q41" s="45"/>
      <c r="R41" s="45"/>
      <c r="S41" s="45"/>
      <c r="T41" s="1751">
        <f t="shared" si="0"/>
        <v>0</v>
      </c>
      <c r="U41" s="45"/>
      <c r="V41" s="1752"/>
      <c r="W41" s="886"/>
      <c r="X41" s="886"/>
      <c r="Y41" s="45"/>
      <c r="Z41" s="45"/>
      <c r="AA41" s="45"/>
      <c r="AB41" s="824"/>
      <c r="AC41" s="788"/>
      <c r="AD41" s="788"/>
      <c r="AE41" s="1759"/>
      <c r="AF41" s="1759"/>
      <c r="AG41" s="788"/>
      <c r="AH41" s="788"/>
      <c r="AI41" s="11"/>
    </row>
    <row r="42" spans="1:35" s="12" customFormat="1" ht="12.75">
      <c r="A42" s="815"/>
      <c r="B42" s="811"/>
      <c r="C42" s="45"/>
      <c r="D42" s="45"/>
      <c r="E42" s="1752"/>
      <c r="F42" s="886"/>
      <c r="G42" s="45"/>
      <c r="H42" s="45"/>
      <c r="I42" s="45"/>
      <c r="J42" s="45"/>
      <c r="K42" s="45"/>
      <c r="L42" s="886"/>
      <c r="M42" s="45"/>
      <c r="N42" s="45"/>
      <c r="O42" s="45"/>
      <c r="P42" s="45"/>
      <c r="Q42" s="45"/>
      <c r="R42" s="45"/>
      <c r="S42" s="45"/>
      <c r="T42" s="1751">
        <f t="shared" si="0"/>
        <v>0</v>
      </c>
      <c r="U42" s="45"/>
      <c r="V42" s="1752"/>
      <c r="W42" s="886"/>
      <c r="X42" s="886"/>
      <c r="Y42" s="45"/>
      <c r="Z42" s="45"/>
      <c r="AA42" s="45"/>
      <c r="AB42" s="824"/>
      <c r="AC42" s="788"/>
      <c r="AD42" s="788"/>
      <c r="AE42" s="1759"/>
      <c r="AF42" s="1759"/>
      <c r="AG42" s="788"/>
      <c r="AH42" s="788"/>
      <c r="AI42" s="11"/>
    </row>
    <row r="43" spans="1:35" s="12" customFormat="1" ht="12.75">
      <c r="A43" s="815"/>
      <c r="B43" s="811"/>
      <c r="C43" s="45"/>
      <c r="D43" s="45"/>
      <c r="E43" s="1752"/>
      <c r="F43" s="886"/>
      <c r="G43" s="45"/>
      <c r="H43" s="45"/>
      <c r="I43" s="45"/>
      <c r="J43" s="45"/>
      <c r="K43" s="45"/>
      <c r="L43" s="886"/>
      <c r="M43" s="45"/>
      <c r="N43" s="45"/>
      <c r="O43" s="45"/>
      <c r="P43" s="45"/>
      <c r="Q43" s="45"/>
      <c r="R43" s="45"/>
      <c r="S43" s="45"/>
      <c r="T43" s="1751">
        <f t="shared" si="0"/>
        <v>0</v>
      </c>
      <c r="U43" s="45"/>
      <c r="V43" s="1752"/>
      <c r="W43" s="886"/>
      <c r="X43" s="886"/>
      <c r="Y43" s="45"/>
      <c r="Z43" s="45"/>
      <c r="AA43" s="45"/>
      <c r="AB43" s="824"/>
      <c r="AC43" s="788"/>
      <c r="AD43" s="788"/>
      <c r="AE43" s="1759"/>
      <c r="AF43" s="1759"/>
      <c r="AG43" s="788"/>
      <c r="AH43" s="788"/>
      <c r="AI43" s="11"/>
    </row>
    <row r="44" spans="1:35" s="12" customFormat="1" ht="12.75">
      <c r="A44" s="815"/>
      <c r="B44" s="811"/>
      <c r="C44" s="45"/>
      <c r="D44" s="45"/>
      <c r="E44" s="1752"/>
      <c r="F44" s="886"/>
      <c r="G44" s="45"/>
      <c r="H44" s="45"/>
      <c r="I44" s="45"/>
      <c r="J44" s="45"/>
      <c r="K44" s="45"/>
      <c r="L44" s="886"/>
      <c r="M44" s="45"/>
      <c r="N44" s="45"/>
      <c r="O44" s="45"/>
      <c r="P44" s="45"/>
      <c r="Q44" s="45"/>
      <c r="R44" s="45"/>
      <c r="S44" s="45"/>
      <c r="T44" s="1751">
        <f t="shared" si="0"/>
        <v>0</v>
      </c>
      <c r="U44" s="45"/>
      <c r="V44" s="1752"/>
      <c r="W44" s="886"/>
      <c r="X44" s="886"/>
      <c r="Y44" s="45"/>
      <c r="Z44" s="45"/>
      <c r="AA44" s="45"/>
      <c r="AB44" s="824"/>
      <c r="AC44" s="788"/>
      <c r="AD44" s="788"/>
      <c r="AE44" s="1759"/>
      <c r="AF44" s="1759"/>
      <c r="AG44" s="788"/>
      <c r="AH44" s="788"/>
      <c r="AI44" s="11"/>
    </row>
    <row r="45" spans="1:35" s="12" customFormat="1" ht="12.75">
      <c r="A45" s="815"/>
      <c r="B45" s="811"/>
      <c r="C45" s="45"/>
      <c r="D45" s="45"/>
      <c r="E45" s="1752"/>
      <c r="F45" s="886"/>
      <c r="G45" s="45"/>
      <c r="H45" s="45"/>
      <c r="I45" s="45"/>
      <c r="J45" s="45"/>
      <c r="K45" s="45"/>
      <c r="L45" s="886"/>
      <c r="M45" s="45"/>
      <c r="N45" s="45"/>
      <c r="O45" s="45"/>
      <c r="P45" s="45"/>
      <c r="Q45" s="45"/>
      <c r="R45" s="45"/>
      <c r="S45" s="45"/>
      <c r="T45" s="1751">
        <f t="shared" si="0"/>
        <v>0</v>
      </c>
      <c r="U45" s="45"/>
      <c r="V45" s="1752"/>
      <c r="W45" s="886"/>
      <c r="X45" s="886"/>
      <c r="Y45" s="45"/>
      <c r="Z45" s="45"/>
      <c r="AA45" s="45"/>
      <c r="AB45" s="824"/>
      <c r="AC45" s="788"/>
      <c r="AD45" s="788"/>
      <c r="AE45" s="1759"/>
      <c r="AF45" s="1759"/>
      <c r="AG45" s="788"/>
      <c r="AH45" s="788"/>
      <c r="AI45" s="11"/>
    </row>
    <row r="46" spans="1:35" s="12" customFormat="1" ht="12.75">
      <c r="A46" s="815"/>
      <c r="B46" s="811"/>
      <c r="C46" s="45"/>
      <c r="D46" s="45"/>
      <c r="E46" s="1752"/>
      <c r="F46" s="886"/>
      <c r="G46" s="45"/>
      <c r="H46" s="45"/>
      <c r="I46" s="45"/>
      <c r="J46" s="45"/>
      <c r="K46" s="45"/>
      <c r="L46" s="886"/>
      <c r="M46" s="45"/>
      <c r="N46" s="45"/>
      <c r="O46" s="45"/>
      <c r="P46" s="45"/>
      <c r="Q46" s="45"/>
      <c r="R46" s="45"/>
      <c r="S46" s="45"/>
      <c r="T46" s="1751">
        <f t="shared" si="0"/>
        <v>0</v>
      </c>
      <c r="U46" s="45"/>
      <c r="V46" s="1752"/>
      <c r="W46" s="886"/>
      <c r="X46" s="886"/>
      <c r="Y46" s="45"/>
      <c r="Z46" s="45"/>
      <c r="AA46" s="45"/>
      <c r="AB46" s="824"/>
      <c r="AC46" s="788"/>
      <c r="AD46" s="788"/>
      <c r="AE46" s="1759"/>
      <c r="AF46" s="1759"/>
      <c r="AG46" s="788"/>
      <c r="AH46" s="788"/>
      <c r="AI46" s="11"/>
    </row>
    <row r="47" spans="1:35" s="12" customFormat="1" ht="12.75">
      <c r="A47" s="815"/>
      <c r="B47" s="814"/>
      <c r="C47" s="1760"/>
      <c r="D47" s="45"/>
      <c r="E47" s="1761"/>
      <c r="F47" s="1760"/>
      <c r="G47" s="45"/>
      <c r="H47" s="45"/>
      <c r="I47" s="45"/>
      <c r="J47" s="45"/>
      <c r="K47" s="45"/>
      <c r="L47" s="45"/>
      <c r="M47" s="45"/>
      <c r="N47" s="45"/>
      <c r="O47" s="45"/>
      <c r="P47" s="45">
        <v>0</v>
      </c>
      <c r="Q47" s="45"/>
      <c r="R47" s="45">
        <v>0</v>
      </c>
      <c r="S47" s="45">
        <f>R47-P47</f>
        <v>0</v>
      </c>
      <c r="T47" s="1751">
        <f t="shared" si="0"/>
        <v>0</v>
      </c>
      <c r="U47" s="45"/>
      <c r="V47" s="1761"/>
      <c r="W47" s="1760"/>
      <c r="X47" s="45"/>
      <c r="Y47" s="45"/>
      <c r="Z47" s="45">
        <v>0</v>
      </c>
      <c r="AA47" s="45">
        <v>0</v>
      </c>
      <c r="AB47" s="824"/>
      <c r="AC47" s="788"/>
      <c r="AD47" s="788"/>
      <c r="AE47" s="1759"/>
      <c r="AF47" s="1759"/>
      <c r="AG47" s="788"/>
      <c r="AH47" s="788"/>
      <c r="AI47" s="11"/>
    </row>
    <row r="48" spans="1:35" s="12" customFormat="1" ht="12.75">
      <c r="A48" s="815"/>
      <c r="B48" s="814"/>
      <c r="C48" s="1760"/>
      <c r="D48" s="1760"/>
      <c r="E48" s="1761"/>
      <c r="F48" s="1760"/>
      <c r="G48" s="45"/>
      <c r="H48" s="45"/>
      <c r="I48" s="45"/>
      <c r="J48" s="45"/>
      <c r="K48" s="45"/>
      <c r="L48" s="45"/>
      <c r="M48" s="45"/>
      <c r="N48" s="45"/>
      <c r="O48" s="45"/>
      <c r="P48" s="45">
        <v>0</v>
      </c>
      <c r="Q48" s="45"/>
      <c r="R48" s="45">
        <v>0</v>
      </c>
      <c r="S48" s="45">
        <f>R48-P48</f>
        <v>0</v>
      </c>
      <c r="T48" s="1751">
        <f t="shared" si="0"/>
        <v>0</v>
      </c>
      <c r="U48" s="1760"/>
      <c r="V48" s="1761"/>
      <c r="W48" s="1760"/>
      <c r="X48" s="45"/>
      <c r="Y48" s="45"/>
      <c r="Z48" s="45">
        <v>0</v>
      </c>
      <c r="AA48" s="45">
        <v>0</v>
      </c>
      <c r="AB48" s="824"/>
      <c r="AC48" s="788"/>
      <c r="AD48" s="788"/>
      <c r="AE48" s="1759"/>
      <c r="AF48" s="1759"/>
      <c r="AG48" s="788"/>
      <c r="AH48" s="788"/>
      <c r="AI48" s="11"/>
    </row>
    <row r="49" spans="1:35" s="12" customFormat="1" ht="12.75">
      <c r="A49" s="821"/>
      <c r="B49" s="817"/>
      <c r="C49" s="45"/>
      <c r="D49" s="45"/>
      <c r="E49" s="1761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1751">
        <f t="shared" si="0"/>
        <v>0</v>
      </c>
      <c r="U49" s="45"/>
      <c r="V49" s="1761"/>
      <c r="W49" s="45"/>
      <c r="X49" s="45"/>
      <c r="Y49" s="45"/>
      <c r="Z49" s="45"/>
      <c r="AA49" s="45"/>
      <c r="AB49" s="824"/>
      <c r="AC49" s="788"/>
      <c r="AD49" s="788"/>
      <c r="AE49" s="1759"/>
      <c r="AF49" s="1759"/>
      <c r="AG49" s="788"/>
      <c r="AH49" s="788"/>
      <c r="AI49" s="11"/>
    </row>
    <row r="50" spans="1:35" s="12" customFormat="1" ht="12.75">
      <c r="A50" s="815"/>
      <c r="B50" s="814"/>
      <c r="C50" s="45"/>
      <c r="D50" s="45"/>
      <c r="E50" s="1752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1751">
        <f t="shared" si="0"/>
        <v>0</v>
      </c>
      <c r="U50" s="45"/>
      <c r="V50" s="1752"/>
      <c r="W50" s="45"/>
      <c r="X50" s="45"/>
      <c r="Y50" s="45"/>
      <c r="Z50" s="45"/>
      <c r="AA50" s="45"/>
      <c r="AB50" s="824"/>
      <c r="AC50" s="788"/>
      <c r="AD50" s="788"/>
      <c r="AE50" s="1759"/>
      <c r="AF50" s="1759"/>
      <c r="AG50" s="788"/>
      <c r="AH50" s="788"/>
      <c r="AI50" s="11"/>
    </row>
    <row r="51" spans="1:35" s="12" customFormat="1" ht="12.75">
      <c r="A51" s="821"/>
      <c r="B51" s="814"/>
      <c r="C51" s="1760"/>
      <c r="D51" s="1760"/>
      <c r="E51" s="1762"/>
      <c r="F51" s="1760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1751">
        <f t="shared" si="0"/>
        <v>0</v>
      </c>
      <c r="U51" s="1760"/>
      <c r="V51" s="1762"/>
      <c r="W51" s="1760"/>
      <c r="X51" s="45"/>
      <c r="Y51" s="45"/>
      <c r="Z51" s="45"/>
      <c r="AA51" s="45"/>
      <c r="AB51" s="824"/>
      <c r="AC51" s="788"/>
      <c r="AD51" s="788"/>
      <c r="AE51" s="1759"/>
      <c r="AF51" s="1759"/>
      <c r="AG51" s="788"/>
      <c r="AH51" s="788"/>
      <c r="AI51" s="11"/>
    </row>
    <row r="52" spans="1:35" s="12" customFormat="1" ht="12.75">
      <c r="A52" s="815"/>
      <c r="B52" s="817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1751">
        <f t="shared" si="0"/>
        <v>0</v>
      </c>
      <c r="U52" s="45"/>
      <c r="V52" s="45"/>
      <c r="W52" s="45"/>
      <c r="X52" s="45"/>
      <c r="Y52" s="45"/>
      <c r="Z52" s="45"/>
      <c r="AA52" s="45"/>
      <c r="AB52" s="824"/>
      <c r="AC52" s="788"/>
      <c r="AD52" s="788"/>
      <c r="AE52" s="1759"/>
      <c r="AF52" s="1759"/>
      <c r="AG52" s="788"/>
      <c r="AH52" s="788"/>
      <c r="AI52" s="11"/>
    </row>
    <row r="53" spans="1:35" s="12" customFormat="1" ht="12.75">
      <c r="A53" s="815"/>
      <c r="B53" s="817"/>
      <c r="C53" s="45"/>
      <c r="D53" s="45"/>
      <c r="E53" s="1752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1751">
        <f t="shared" si="0"/>
        <v>0</v>
      </c>
      <c r="U53" s="45"/>
      <c r="V53" s="1752"/>
      <c r="W53" s="45"/>
      <c r="X53" s="45"/>
      <c r="Y53" s="45"/>
      <c r="Z53" s="45"/>
      <c r="AA53" s="45"/>
      <c r="AB53" s="824"/>
      <c r="AC53" s="788"/>
      <c r="AD53" s="788"/>
      <c r="AE53" s="1759"/>
      <c r="AF53" s="1759"/>
      <c r="AG53" s="788"/>
      <c r="AH53" s="788"/>
      <c r="AI53" s="11"/>
    </row>
    <row r="54" spans="1:35" s="12" customFormat="1" ht="12.75">
      <c r="A54" s="815"/>
      <c r="B54" s="814"/>
      <c r="C54" s="45"/>
      <c r="D54" s="886"/>
      <c r="E54" s="1762"/>
      <c r="F54" s="1760"/>
      <c r="G54" s="886"/>
      <c r="H54" s="886"/>
      <c r="I54" s="886"/>
      <c r="J54" s="886"/>
      <c r="K54" s="886"/>
      <c r="L54" s="886"/>
      <c r="M54" s="886"/>
      <c r="N54" s="886"/>
      <c r="O54" s="886"/>
      <c r="P54" s="45"/>
      <c r="Q54" s="886"/>
      <c r="R54" s="45"/>
      <c r="S54" s="45"/>
      <c r="T54" s="1751">
        <f t="shared" si="0"/>
        <v>0</v>
      </c>
      <c r="U54" s="886"/>
      <c r="V54" s="1762"/>
      <c r="W54" s="1760"/>
      <c r="X54" s="886"/>
      <c r="Y54" s="886"/>
      <c r="Z54" s="45"/>
      <c r="AA54" s="45"/>
      <c r="AB54" s="824"/>
      <c r="AC54" s="788"/>
      <c r="AD54" s="788"/>
      <c r="AE54" s="1759"/>
      <c r="AF54" s="1759"/>
      <c r="AG54" s="788"/>
      <c r="AH54" s="788"/>
      <c r="AI54" s="11"/>
    </row>
    <row r="55" spans="1:35" s="12" customFormat="1" ht="12.75">
      <c r="A55" s="821"/>
      <c r="B55" s="822"/>
      <c r="C55" s="45"/>
      <c r="D55" s="886"/>
      <c r="E55" s="886"/>
      <c r="F55" s="1760"/>
      <c r="G55" s="886"/>
      <c r="H55" s="886"/>
      <c r="I55" s="886"/>
      <c r="J55" s="886"/>
      <c r="K55" s="886"/>
      <c r="L55" s="886"/>
      <c r="M55" s="886"/>
      <c r="N55" s="886"/>
      <c r="O55" s="886"/>
      <c r="P55" s="45"/>
      <c r="Q55" s="886"/>
      <c r="R55" s="45"/>
      <c r="S55" s="45"/>
      <c r="T55" s="1751">
        <f t="shared" si="0"/>
        <v>0</v>
      </c>
      <c r="U55" s="886"/>
      <c r="V55" s="886"/>
      <c r="W55" s="1760"/>
      <c r="X55" s="886"/>
      <c r="Y55" s="886"/>
      <c r="Z55" s="45"/>
      <c r="AA55" s="45"/>
      <c r="AB55" s="824"/>
      <c r="AC55" s="788"/>
      <c r="AD55" s="788"/>
      <c r="AE55" s="1759"/>
      <c r="AF55" s="1759"/>
      <c r="AG55" s="788"/>
      <c r="AH55" s="788"/>
      <c r="AI55" s="11"/>
    </row>
    <row r="56" spans="1:35" s="12" customFormat="1" ht="12.75">
      <c r="A56" s="39"/>
      <c r="B56" s="40"/>
      <c r="C56" s="45"/>
      <c r="D56" s="1763"/>
      <c r="E56" s="1763"/>
      <c r="F56" s="1760"/>
      <c r="G56" s="1764"/>
      <c r="H56" s="1764"/>
      <c r="I56" s="1764"/>
      <c r="J56" s="1764"/>
      <c r="K56" s="1764"/>
      <c r="L56" s="1764">
        <f>I56-J56+K56</f>
        <v>0</v>
      </c>
      <c r="M56" s="1764"/>
      <c r="N56" s="1764"/>
      <c r="O56" s="1763"/>
      <c r="P56" s="886">
        <v>0</v>
      </c>
      <c r="Q56" s="1763"/>
      <c r="R56" s="1751">
        <v>0</v>
      </c>
      <c r="S56" s="1751"/>
      <c r="T56" s="1751">
        <f t="shared" si="0"/>
        <v>0</v>
      </c>
      <c r="U56" s="1763"/>
      <c r="V56" s="1763"/>
      <c r="W56" s="1760"/>
      <c r="X56" s="1764">
        <v>0</v>
      </c>
      <c r="Y56" s="1764">
        <v>0</v>
      </c>
      <c r="Z56" s="886">
        <v>0</v>
      </c>
      <c r="AA56" s="1751">
        <v>0</v>
      </c>
      <c r="AB56" s="824"/>
      <c r="AC56" s="788"/>
      <c r="AD56" s="788"/>
      <c r="AE56" s="1759"/>
      <c r="AF56" s="1759"/>
      <c r="AG56" s="788"/>
      <c r="AH56" s="788"/>
      <c r="AI56" s="11"/>
    </row>
    <row r="57" spans="1:35" s="12" customFormat="1" ht="12.75">
      <c r="A57" s="41"/>
      <c r="B57" s="42" t="s">
        <v>17</v>
      </c>
      <c r="C57" s="276">
        <f t="shared" ref="C57:Z57" si="6">SUM(C15:C56)</f>
        <v>798155.55</v>
      </c>
      <c r="D57" s="276">
        <f t="shared" si="6"/>
        <v>432360</v>
      </c>
      <c r="E57" s="276">
        <f t="shared" si="6"/>
        <v>2</v>
      </c>
      <c r="F57" s="276">
        <f t="shared" si="6"/>
        <v>432360</v>
      </c>
      <c r="G57" s="276">
        <f t="shared" si="6"/>
        <v>10100</v>
      </c>
      <c r="H57" s="276">
        <f t="shared" si="6"/>
        <v>0</v>
      </c>
      <c r="I57" s="276">
        <f t="shared" si="6"/>
        <v>432360</v>
      </c>
      <c r="J57" s="276">
        <f t="shared" si="6"/>
        <v>0</v>
      </c>
      <c r="K57" s="276">
        <f t="shared" si="6"/>
        <v>0</v>
      </c>
      <c r="L57" s="276">
        <f t="shared" si="6"/>
        <v>432360</v>
      </c>
      <c r="M57" s="276">
        <f t="shared" si="6"/>
        <v>0</v>
      </c>
      <c r="N57" s="276">
        <f t="shared" si="6"/>
        <v>10100</v>
      </c>
      <c r="O57" s="276">
        <f t="shared" si="6"/>
        <v>2</v>
      </c>
      <c r="P57" s="276">
        <f t="shared" si="6"/>
        <v>432360</v>
      </c>
      <c r="Q57" s="276">
        <f t="shared" si="6"/>
        <v>0</v>
      </c>
      <c r="R57" s="276">
        <f t="shared" si="6"/>
        <v>0</v>
      </c>
      <c r="S57" s="276">
        <f t="shared" si="6"/>
        <v>432360</v>
      </c>
      <c r="T57" s="374">
        <f>W57-L57</f>
        <v>0</v>
      </c>
      <c r="U57" s="276">
        <f t="shared" si="6"/>
        <v>432360</v>
      </c>
      <c r="V57" s="276">
        <f t="shared" si="6"/>
        <v>2</v>
      </c>
      <c r="W57" s="276">
        <f t="shared" si="6"/>
        <v>432360</v>
      </c>
      <c r="X57" s="276">
        <f t="shared" si="6"/>
        <v>432360</v>
      </c>
      <c r="Y57" s="276">
        <f t="shared" si="6"/>
        <v>10100</v>
      </c>
      <c r="Z57" s="276">
        <f t="shared" si="6"/>
        <v>432360</v>
      </c>
      <c r="AA57" s="276">
        <f>SUM(AA15:AA56)</f>
        <v>0</v>
      </c>
      <c r="AB57" s="276">
        <f>SUM(AB15:AB56)</f>
        <v>432360</v>
      </c>
      <c r="AC57" s="788"/>
      <c r="AD57" s="788"/>
      <c r="AE57" s="1765"/>
      <c r="AF57" s="1765">
        <f>SUM(AF14:AF56)</f>
        <v>432360</v>
      </c>
      <c r="AG57" s="788"/>
      <c r="AH57" s="788"/>
      <c r="AI57" s="11"/>
    </row>
    <row r="58" spans="1:35" s="12" customFormat="1" ht="12.75">
      <c r="A58" s="1390" t="s">
        <v>354</v>
      </c>
      <c r="B58" s="1391"/>
      <c r="C58" s="1766"/>
      <c r="D58" s="1766"/>
      <c r="E58" s="1766"/>
      <c r="F58" s="1767"/>
      <c r="G58" s="1767"/>
      <c r="H58" s="1767"/>
      <c r="I58" s="1767"/>
      <c r="J58" s="1767"/>
      <c r="K58" s="1767"/>
      <c r="L58" s="1767"/>
      <c r="M58" s="1767"/>
      <c r="N58" s="1767"/>
      <c r="O58" s="1766"/>
      <c r="P58" s="1767"/>
      <c r="Q58" s="1766"/>
      <c r="R58" s="1766"/>
      <c r="S58" s="1768"/>
      <c r="T58" s="1768"/>
      <c r="U58" s="1766"/>
      <c r="V58" s="1766"/>
      <c r="W58" s="1767"/>
      <c r="X58" s="1195"/>
      <c r="Y58" s="1195"/>
      <c r="Z58" s="1195"/>
      <c r="AA58" s="1195"/>
      <c r="AB58" s="1195"/>
      <c r="AC58" s="788"/>
      <c r="AD58" s="788"/>
      <c r="AE58" s="212"/>
      <c r="AF58" s="212"/>
      <c r="AG58" s="788"/>
      <c r="AH58" s="788"/>
      <c r="AI58" s="11"/>
    </row>
    <row r="59" spans="1:35" s="12" customFormat="1" ht="12.75">
      <c r="A59" s="1390"/>
      <c r="B59" s="1391"/>
      <c r="C59" s="1766"/>
      <c r="D59" s="1766"/>
      <c r="E59" s="1766"/>
      <c r="F59" s="1767"/>
      <c r="G59" s="1767"/>
      <c r="H59" s="1767"/>
      <c r="I59" s="1767"/>
      <c r="J59" s="1767"/>
      <c r="K59" s="1767"/>
      <c r="L59" s="1767"/>
      <c r="M59" s="1767"/>
      <c r="N59" s="1767"/>
      <c r="O59" s="1766"/>
      <c r="P59" s="1767"/>
      <c r="Q59" s="1766"/>
      <c r="R59" s="1766"/>
      <c r="S59" s="1768"/>
      <c r="T59" s="1768"/>
      <c r="U59" s="1766"/>
      <c r="V59" s="1766"/>
      <c r="W59" s="1767"/>
      <c r="X59" s="1195"/>
      <c r="Y59" s="1195"/>
      <c r="Z59" s="1195"/>
      <c r="AA59" s="1195"/>
      <c r="AB59" s="1195"/>
      <c r="AC59" s="788"/>
      <c r="AD59" s="788"/>
      <c r="AE59" s="212"/>
      <c r="AF59" s="212"/>
      <c r="AG59" s="788"/>
      <c r="AH59" s="788"/>
      <c r="AI59" s="11"/>
    </row>
    <row r="60" spans="1:35" s="12" customFormat="1">
      <c r="A60" s="10"/>
      <c r="B60" s="454"/>
      <c r="C60" s="213"/>
      <c r="D60" s="213"/>
      <c r="E60" s="213"/>
      <c r="F60" s="1769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788"/>
      <c r="R60" s="213"/>
      <c r="S60" s="788"/>
      <c r="T60" s="788"/>
      <c r="U60" s="213"/>
      <c r="V60" s="213"/>
      <c r="W60" s="1769"/>
      <c r="X60" s="212"/>
      <c r="Y60" s="212"/>
      <c r="Z60" s="212"/>
      <c r="AA60" s="212"/>
      <c r="AB60" s="212"/>
      <c r="AC60" s="788"/>
      <c r="AD60" s="788"/>
      <c r="AE60" s="212"/>
      <c r="AF60" s="212"/>
      <c r="AG60" s="788"/>
      <c r="AH60" s="788"/>
      <c r="AI60" s="11"/>
    </row>
    <row r="61" spans="1:35" s="12" customFormat="1">
      <c r="A61" s="10"/>
      <c r="B61" s="454"/>
      <c r="C61" s="213"/>
      <c r="D61" s="213"/>
      <c r="E61" s="213"/>
      <c r="F61" s="1769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788"/>
      <c r="R61" s="213"/>
      <c r="S61" s="788"/>
      <c r="T61" s="788"/>
      <c r="U61" s="213"/>
      <c r="V61" s="213"/>
      <c r="W61" s="1769"/>
      <c r="X61" s="212"/>
      <c r="Y61" s="212"/>
      <c r="Z61" s="212"/>
      <c r="AA61" s="212"/>
      <c r="AB61" s="212"/>
      <c r="AC61" s="788"/>
      <c r="AD61" s="788"/>
      <c r="AE61" s="212"/>
      <c r="AF61" s="212"/>
      <c r="AG61" s="788"/>
      <c r="AH61" s="788"/>
      <c r="AI61" s="11"/>
    </row>
    <row r="62" spans="1:35" s="12" customFormat="1">
      <c r="A62" s="10"/>
      <c r="B62" s="454"/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13"/>
      <c r="P62" s="213"/>
      <c r="Q62" s="788"/>
      <c r="R62" s="213"/>
      <c r="S62" s="788"/>
      <c r="T62" s="788"/>
      <c r="U62" s="213"/>
      <c r="V62" s="213"/>
      <c r="W62" s="213"/>
      <c r="X62" s="212"/>
      <c r="Y62" s="212"/>
      <c r="Z62" s="212"/>
      <c r="AA62" s="212"/>
      <c r="AB62" s="212"/>
      <c r="AC62" s="788"/>
      <c r="AD62" s="788"/>
      <c r="AE62" s="212"/>
      <c r="AF62" s="212"/>
      <c r="AG62" s="788"/>
      <c r="AH62" s="788"/>
      <c r="AI62" s="11"/>
    </row>
    <row r="63" spans="1:35" s="12" customFormat="1">
      <c r="A63" s="10" t="s">
        <v>59</v>
      </c>
      <c r="B63" s="454"/>
      <c r="C63" s="213"/>
      <c r="D63" s="213"/>
      <c r="E63" s="213"/>
      <c r="F63" s="1769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788"/>
      <c r="R63" s="788"/>
      <c r="S63" s="788"/>
      <c r="T63" s="788"/>
      <c r="U63" s="213"/>
      <c r="V63" s="213"/>
      <c r="W63" s="1769"/>
      <c r="X63" s="212"/>
      <c r="Y63" s="212"/>
      <c r="Z63" s="212"/>
      <c r="AA63" s="212"/>
      <c r="AB63" s="212"/>
      <c r="AC63" s="788"/>
      <c r="AD63" s="788"/>
      <c r="AE63" s="212"/>
      <c r="AF63" s="212"/>
      <c r="AG63" s="788"/>
      <c r="AH63" s="788"/>
      <c r="AI63" s="11"/>
    </row>
    <row r="64" spans="1:35" s="12" customFormat="1">
      <c r="A64" s="10"/>
      <c r="B64" s="454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788"/>
      <c r="R64" s="788"/>
      <c r="S64" s="788"/>
      <c r="T64" s="788"/>
      <c r="U64" s="213"/>
      <c r="V64" s="213"/>
      <c r="W64" s="213"/>
      <c r="X64" s="212"/>
      <c r="Y64" s="212"/>
      <c r="Z64" s="212"/>
      <c r="AA64" s="212"/>
      <c r="AB64" s="212"/>
      <c r="AC64" s="788"/>
      <c r="AD64" s="788"/>
      <c r="AE64" s="212"/>
      <c r="AF64" s="212"/>
      <c r="AG64" s="788"/>
      <c r="AH64" s="788"/>
      <c r="AI64" s="11"/>
    </row>
    <row r="65" spans="1:35" s="12" customFormat="1">
      <c r="A65" s="10"/>
      <c r="B65" s="454"/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788"/>
      <c r="R65" s="788"/>
      <c r="S65" s="788"/>
      <c r="T65" s="788"/>
      <c r="U65" s="213"/>
      <c r="V65" s="213"/>
      <c r="W65" s="213"/>
      <c r="X65" s="212"/>
      <c r="Y65" s="212"/>
      <c r="Z65" s="212"/>
      <c r="AA65" s="212"/>
      <c r="AB65" s="212"/>
      <c r="AC65" s="788"/>
      <c r="AD65" s="788"/>
      <c r="AE65" s="212"/>
      <c r="AF65" s="212"/>
      <c r="AG65" s="788"/>
      <c r="AH65" s="788"/>
      <c r="AI65" s="11"/>
    </row>
    <row r="66" spans="1:35" s="12" customFormat="1">
      <c r="A66" s="10"/>
      <c r="B66" s="454"/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13"/>
      <c r="P66" s="213"/>
      <c r="Q66" s="788"/>
      <c r="R66" s="788"/>
      <c r="S66" s="788"/>
      <c r="T66" s="788"/>
      <c r="U66" s="213"/>
      <c r="V66" s="213"/>
      <c r="W66" s="213"/>
      <c r="X66" s="212"/>
      <c r="Y66" s="212"/>
      <c r="Z66" s="212"/>
      <c r="AA66" s="212"/>
      <c r="AB66" s="212"/>
      <c r="AC66" s="788"/>
      <c r="AD66" s="788"/>
      <c r="AE66" s="212"/>
      <c r="AF66" s="212"/>
      <c r="AG66" s="788"/>
      <c r="AH66" s="788"/>
      <c r="AI66" s="11"/>
    </row>
    <row r="67" spans="1:35" s="12" customFormat="1">
      <c r="A67" s="10"/>
      <c r="B67" s="454"/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788"/>
      <c r="R67" s="788"/>
      <c r="S67" s="788"/>
      <c r="T67" s="788"/>
      <c r="U67" s="213"/>
      <c r="V67" s="213"/>
      <c r="W67" s="213"/>
      <c r="X67" s="212"/>
      <c r="Y67" s="212"/>
      <c r="Z67" s="212"/>
      <c r="AA67" s="212"/>
      <c r="AB67" s="212"/>
      <c r="AC67" s="788"/>
      <c r="AD67" s="788"/>
      <c r="AE67" s="212"/>
      <c r="AF67" s="212"/>
      <c r="AG67" s="788"/>
      <c r="AH67" s="788"/>
      <c r="AI67" s="11"/>
    </row>
    <row r="68" spans="1:35" s="12" customFormat="1">
      <c r="A68" s="10"/>
      <c r="B68" s="454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788"/>
      <c r="R68" s="788"/>
      <c r="S68" s="788"/>
      <c r="T68" s="788"/>
      <c r="U68" s="213"/>
      <c r="V68" s="213"/>
      <c r="W68" s="213"/>
      <c r="X68" s="212"/>
      <c r="Y68" s="212"/>
      <c r="Z68" s="212"/>
      <c r="AA68" s="212"/>
      <c r="AB68" s="212"/>
      <c r="AC68" s="788"/>
      <c r="AD68" s="788"/>
      <c r="AE68" s="212"/>
      <c r="AF68" s="212"/>
      <c r="AG68" s="788"/>
      <c r="AH68" s="788"/>
      <c r="AI68" s="11"/>
    </row>
    <row r="69" spans="1:35" s="12" customFormat="1">
      <c r="A69" s="10"/>
      <c r="B69" s="454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788"/>
      <c r="R69" s="788"/>
      <c r="S69" s="788"/>
      <c r="T69" s="788"/>
      <c r="U69" s="213"/>
      <c r="V69" s="213"/>
      <c r="W69" s="213"/>
      <c r="X69" s="212"/>
      <c r="Y69" s="212"/>
      <c r="Z69" s="212"/>
      <c r="AA69" s="212"/>
      <c r="AB69" s="212"/>
      <c r="AC69" s="788"/>
      <c r="AD69" s="788"/>
      <c r="AE69" s="212"/>
      <c r="AF69" s="212"/>
      <c r="AG69" s="788"/>
      <c r="AH69" s="788"/>
      <c r="AI69" s="11"/>
    </row>
    <row r="70" spans="1:35" s="12" customFormat="1">
      <c r="A70" s="10"/>
      <c r="B70" s="454"/>
      <c r="C70" s="213"/>
      <c r="D70" s="213"/>
      <c r="E70" s="213"/>
      <c r="F70" s="213"/>
      <c r="G70" s="213"/>
      <c r="H70" s="213"/>
      <c r="I70" s="213"/>
      <c r="J70" s="213"/>
      <c r="K70" s="213"/>
      <c r="L70" s="213"/>
      <c r="M70" s="213"/>
      <c r="N70" s="213"/>
      <c r="O70" s="213"/>
      <c r="P70" s="213"/>
      <c r="Q70" s="788"/>
      <c r="R70" s="788"/>
      <c r="S70" s="788"/>
      <c r="T70" s="788"/>
      <c r="U70" s="213"/>
      <c r="V70" s="213"/>
      <c r="W70" s="213"/>
      <c r="X70" s="212"/>
      <c r="Y70" s="212"/>
      <c r="Z70" s="212"/>
      <c r="AA70" s="212"/>
      <c r="AB70" s="212"/>
      <c r="AC70" s="788"/>
      <c r="AD70" s="788"/>
      <c r="AE70" s="212"/>
      <c r="AF70" s="212"/>
      <c r="AG70" s="788"/>
      <c r="AH70" s="788"/>
      <c r="AI70" s="11"/>
    </row>
    <row r="71" spans="1:35" s="12" customFormat="1">
      <c r="A71" s="10"/>
      <c r="B71" s="454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788"/>
      <c r="R71" s="788"/>
      <c r="S71" s="788"/>
      <c r="T71" s="788"/>
      <c r="U71" s="213"/>
      <c r="V71" s="213"/>
      <c r="W71" s="213"/>
      <c r="X71" s="212"/>
      <c r="Y71" s="212"/>
      <c r="Z71" s="212"/>
      <c r="AA71" s="212"/>
      <c r="AB71" s="212"/>
      <c r="AC71" s="788"/>
      <c r="AD71" s="788"/>
      <c r="AE71" s="212"/>
      <c r="AF71" s="212"/>
      <c r="AG71" s="788"/>
      <c r="AH71" s="788"/>
      <c r="AI71" s="11"/>
    </row>
    <row r="72" spans="1:35" s="12" customFormat="1">
      <c r="A72" s="10"/>
      <c r="B72" s="454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3"/>
      <c r="O72" s="213"/>
      <c r="P72" s="213"/>
      <c r="Q72" s="788"/>
      <c r="R72" s="788"/>
      <c r="S72" s="788"/>
      <c r="T72" s="788"/>
      <c r="U72" s="213"/>
      <c r="V72" s="213"/>
      <c r="W72" s="213"/>
      <c r="X72" s="212"/>
      <c r="Y72" s="212"/>
      <c r="Z72" s="212"/>
      <c r="AA72" s="212"/>
      <c r="AB72" s="212"/>
      <c r="AC72" s="788"/>
      <c r="AD72" s="788"/>
      <c r="AE72" s="212"/>
      <c r="AF72" s="212"/>
      <c r="AG72" s="788"/>
      <c r="AH72" s="788"/>
      <c r="AI72" s="11"/>
    </row>
    <row r="73" spans="1:35" s="12" customFormat="1">
      <c r="A73" s="10"/>
      <c r="B73" s="454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788"/>
      <c r="R73" s="788"/>
      <c r="S73" s="788"/>
      <c r="T73" s="788"/>
      <c r="U73" s="213"/>
      <c r="V73" s="213"/>
      <c r="W73" s="213"/>
      <c r="X73" s="212"/>
      <c r="Y73" s="212"/>
      <c r="Z73" s="212"/>
      <c r="AA73" s="212"/>
      <c r="AB73" s="212"/>
      <c r="AC73" s="788"/>
      <c r="AD73" s="788"/>
      <c r="AE73" s="212"/>
      <c r="AF73" s="212"/>
      <c r="AG73" s="788"/>
      <c r="AH73" s="788"/>
      <c r="AI73" s="11"/>
    </row>
    <row r="74" spans="1:35" s="12" customFormat="1">
      <c r="A74" s="10"/>
      <c r="B74" s="454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788"/>
      <c r="R74" s="788"/>
      <c r="S74" s="788"/>
      <c r="T74" s="788"/>
      <c r="U74" s="213"/>
      <c r="V74" s="213"/>
      <c r="W74" s="213"/>
      <c r="X74" s="212"/>
      <c r="Y74" s="212"/>
      <c r="Z74" s="212"/>
      <c r="AA74" s="212"/>
      <c r="AB74" s="212"/>
      <c r="AC74" s="788"/>
      <c r="AD74" s="788"/>
      <c r="AE74" s="212"/>
      <c r="AF74" s="212"/>
      <c r="AG74" s="788"/>
      <c r="AH74" s="788"/>
      <c r="AI74" s="11"/>
    </row>
  </sheetData>
  <mergeCells count="9">
    <mergeCell ref="AF8:AF12"/>
    <mergeCell ref="E1:F1"/>
    <mergeCell ref="X8:X12"/>
    <mergeCell ref="Y8:Y12"/>
    <mergeCell ref="AE8:AE12"/>
    <mergeCell ref="AB8:AB12"/>
    <mergeCell ref="U8:W9"/>
    <mergeCell ref="AA8:AA12"/>
    <mergeCell ref="Z8:Z12"/>
  </mergeCells>
  <phoneticPr fontId="0" type="noConversion"/>
  <conditionalFormatting sqref="X8:AA12">
    <cfRule type="cellIs" dxfId="2" priority="1" stopIfTrue="1" operator="equal">
      <formula>0</formula>
    </cfRule>
  </conditionalFormatting>
  <pageMargins left="0.78740157499999996" right="0.78740157499999996" top="0.984251969" bottom="0.984251969" header="0.4921259845" footer="0.4921259845"/>
  <pageSetup paperSize="9" scale="43" orientation="landscape" r:id="rId1"/>
  <headerFooter alignWithMargins="0"/>
  <colBreaks count="1" manualBreakCount="1">
    <brk id="20" max="1048575" man="1"/>
  </colBreaks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/>
  <dimension ref="A1:BP89"/>
  <sheetViews>
    <sheetView showGridLines="0" showZeros="0" topLeftCell="L1" workbookViewId="0">
      <selection activeCell="E81" sqref="E81:P81"/>
    </sheetView>
  </sheetViews>
  <sheetFormatPr baseColWidth="10" defaultRowHeight="12"/>
  <cols>
    <col min="1" max="1" width="10.25" customWidth="1"/>
    <col min="2" max="2" width="35.375" customWidth="1"/>
    <col min="3" max="34" width="11" style="792"/>
  </cols>
  <sheetData>
    <row r="1" spans="1:68" s="305" customFormat="1" ht="24" customHeight="1">
      <c r="A1" s="241" t="s">
        <v>57</v>
      </c>
      <c r="B1" s="242"/>
      <c r="C1" s="1652"/>
      <c r="D1" s="1652"/>
      <c r="E1" s="2398">
        <v>42369</v>
      </c>
      <c r="F1" s="2398"/>
      <c r="G1" s="302"/>
      <c r="H1" s="302"/>
      <c r="I1" s="302"/>
      <c r="J1" s="302"/>
      <c r="K1" s="302"/>
      <c r="L1" s="302"/>
      <c r="M1" s="302"/>
      <c r="N1" s="302"/>
      <c r="O1" s="307"/>
      <c r="P1" s="302"/>
      <c r="Q1" s="307"/>
      <c r="R1" s="307"/>
      <c r="S1" s="308"/>
      <c r="T1" s="308"/>
      <c r="U1" s="307"/>
      <c r="V1" s="307"/>
      <c r="W1" s="302"/>
      <c r="X1" s="308"/>
      <c r="Y1" s="308"/>
      <c r="Z1" s="308"/>
      <c r="AA1" s="308"/>
      <c r="AB1" s="308"/>
      <c r="AC1" s="192"/>
      <c r="AD1" s="192"/>
      <c r="AE1" s="192"/>
    </row>
    <row r="2" spans="1:68" s="536" customFormat="1" ht="12.75">
      <c r="A2" s="533" t="s">
        <v>65</v>
      </c>
      <c r="B2" s="678" t="s">
        <v>721</v>
      </c>
      <c r="C2" s="1653"/>
      <c r="D2" s="1653"/>
      <c r="E2" s="1653"/>
      <c r="F2" s="1653"/>
      <c r="G2" s="1653"/>
      <c r="H2" s="1654"/>
      <c r="I2" s="1654"/>
      <c r="J2" s="1654"/>
      <c r="K2" s="1654"/>
      <c r="L2" s="1654"/>
      <c r="M2" s="1654"/>
      <c r="N2" s="1654"/>
      <c r="O2" s="1654"/>
      <c r="P2" s="1654"/>
      <c r="Q2" s="1654"/>
      <c r="R2" s="1654"/>
      <c r="S2" s="1655"/>
      <c r="T2" s="1655"/>
      <c r="U2" s="1654"/>
      <c r="V2" s="1654"/>
      <c r="W2" s="1654"/>
      <c r="X2" s="212"/>
      <c r="Y2" s="212"/>
      <c r="Z2" s="212"/>
      <c r="AA2" s="212"/>
      <c r="AB2" s="212"/>
      <c r="AC2" s="212"/>
      <c r="AD2" s="212"/>
      <c r="AE2" s="212"/>
      <c r="AF2" s="212"/>
      <c r="AG2" s="1655"/>
      <c r="AH2" s="1655"/>
      <c r="AI2" s="535"/>
      <c r="AJ2" s="535"/>
      <c r="AK2" s="535"/>
      <c r="AL2" s="535"/>
    </row>
    <row r="3" spans="1:68" s="536" customFormat="1" ht="12.75">
      <c r="A3" s="537" t="s">
        <v>310</v>
      </c>
      <c r="B3" s="538" t="s">
        <v>311</v>
      </c>
      <c r="C3" s="1656" t="s">
        <v>66</v>
      </c>
      <c r="D3" s="1653" t="s">
        <v>52</v>
      </c>
      <c r="E3" s="1653"/>
      <c r="F3" s="65" t="s">
        <v>84</v>
      </c>
      <c r="G3" s="65" t="s">
        <v>106</v>
      </c>
      <c r="H3" s="1653"/>
      <c r="I3" s="1653"/>
      <c r="J3" s="1653"/>
      <c r="K3" s="1653"/>
      <c r="L3" s="1653"/>
      <c r="M3" s="1653"/>
      <c r="N3" s="1653"/>
      <c r="O3" s="1653"/>
      <c r="P3" s="1653"/>
      <c r="Q3" s="1653"/>
      <c r="R3" s="1653"/>
      <c r="S3" s="1657"/>
      <c r="T3" s="1657"/>
      <c r="U3" s="1653"/>
      <c r="V3" s="1653"/>
      <c r="W3" s="1653"/>
      <c r="X3" s="212"/>
      <c r="Y3" s="212"/>
      <c r="Z3" s="212"/>
      <c r="AA3" s="212"/>
      <c r="AB3" s="212"/>
      <c r="AC3" s="212"/>
      <c r="AD3" s="212"/>
      <c r="AE3" s="212"/>
      <c r="AF3" s="212"/>
      <c r="AG3" s="1655"/>
      <c r="AH3" s="1655"/>
      <c r="AI3" s="535"/>
      <c r="AJ3" s="535"/>
      <c r="AK3" s="535"/>
      <c r="AL3" s="535"/>
    </row>
    <row r="4" spans="1:68" s="536" customFormat="1" ht="12.75">
      <c r="A4" s="540" t="s">
        <v>312</v>
      </c>
      <c r="B4" s="539" t="s">
        <v>355</v>
      </c>
      <c r="C4" s="1653" t="s">
        <v>81</v>
      </c>
      <c r="D4" s="1653" t="s">
        <v>263</v>
      </c>
      <c r="E4" s="1653"/>
      <c r="F4" s="1658"/>
      <c r="G4" s="1658"/>
      <c r="H4" s="1658"/>
      <c r="I4" s="1658"/>
      <c r="J4" s="1658"/>
      <c r="K4" s="1658"/>
      <c r="L4" s="1658"/>
      <c r="M4" s="1658"/>
      <c r="N4" s="1658"/>
      <c r="O4" s="1653"/>
      <c r="P4" s="1658"/>
      <c r="Q4" s="1653"/>
      <c r="R4" s="1653"/>
      <c r="S4" s="1657"/>
      <c r="T4" s="1657"/>
      <c r="U4" s="1653"/>
      <c r="V4" s="1653"/>
      <c r="W4" s="1658"/>
      <c r="X4" s="212"/>
      <c r="Y4" s="212"/>
      <c r="Z4" s="212"/>
      <c r="AA4" s="212"/>
      <c r="AB4" s="212"/>
      <c r="AC4" s="212"/>
      <c r="AD4" s="212"/>
      <c r="AE4" s="212"/>
      <c r="AF4" s="212"/>
      <c r="AG4" s="1655"/>
      <c r="AH4" s="1655"/>
      <c r="AI4" s="535"/>
      <c r="AJ4" s="535"/>
      <c r="AK4" s="535"/>
      <c r="AL4" s="535"/>
    </row>
    <row r="5" spans="1:68" s="536" customFormat="1" ht="12.75">
      <c r="A5" s="540" t="s">
        <v>313</v>
      </c>
      <c r="B5" s="541">
        <v>200600317</v>
      </c>
      <c r="C5" s="1653"/>
      <c r="D5" s="1653"/>
      <c r="E5" s="1653"/>
      <c r="F5" s="1658"/>
      <c r="G5" s="1658"/>
      <c r="H5" s="1654"/>
      <c r="I5" s="1654"/>
      <c r="J5" s="1658"/>
      <c r="K5" s="1659"/>
      <c r="L5" s="1658"/>
      <c r="M5" s="1658"/>
      <c r="N5" s="1658"/>
      <c r="O5" s="1653"/>
      <c r="P5" s="1658"/>
      <c r="Q5" s="1653"/>
      <c r="R5" s="1653"/>
      <c r="S5" s="1658"/>
      <c r="T5" s="1657"/>
      <c r="U5" s="1653"/>
      <c r="V5" s="1653"/>
      <c r="W5" s="1658"/>
      <c r="X5" s="212"/>
      <c r="Y5" s="212"/>
      <c r="Z5" s="212"/>
      <c r="AA5" s="212"/>
      <c r="AB5" s="212"/>
      <c r="AC5" s="212"/>
      <c r="AD5" s="212"/>
      <c r="AE5" s="212"/>
      <c r="AF5" s="212"/>
      <c r="AG5" s="1655"/>
      <c r="AH5" s="1655"/>
      <c r="AI5" s="535"/>
      <c r="AJ5" s="535"/>
      <c r="AK5" s="535"/>
      <c r="AL5" s="535"/>
    </row>
    <row r="6" spans="1:68" s="536" customFormat="1" ht="12.75">
      <c r="A6" s="540" t="s">
        <v>314</v>
      </c>
      <c r="B6" s="539" t="s">
        <v>315</v>
      </c>
      <c r="C6" s="1653"/>
      <c r="D6" s="1653"/>
      <c r="E6" s="1653"/>
      <c r="F6" s="1658"/>
      <c r="G6" s="1658"/>
      <c r="H6" s="1660"/>
      <c r="I6" s="1661" t="s">
        <v>76</v>
      </c>
      <c r="J6" s="1662"/>
      <c r="K6" s="1663"/>
      <c r="L6" s="1663"/>
      <c r="M6" s="1657"/>
      <c r="N6" s="1655"/>
      <c r="O6" s="1655"/>
      <c r="P6" s="1655"/>
      <c r="Q6" s="1657"/>
      <c r="R6" s="1653"/>
      <c r="S6" s="1657"/>
      <c r="T6" s="1657"/>
      <c r="U6" s="1653"/>
      <c r="V6" s="1653"/>
      <c r="W6" s="1658"/>
      <c r="X6" s="212"/>
      <c r="Y6" s="212"/>
      <c r="Z6" s="212"/>
      <c r="AA6" s="212"/>
      <c r="AB6" s="212"/>
      <c r="AC6" s="212"/>
      <c r="AD6" s="212"/>
      <c r="AE6" s="212"/>
      <c r="AF6" s="212"/>
      <c r="AG6" s="1655"/>
      <c r="AH6" s="1655"/>
      <c r="AI6" s="535"/>
      <c r="AJ6" s="535"/>
      <c r="AK6" s="535"/>
      <c r="AL6" s="535"/>
    </row>
    <row r="7" spans="1:68" ht="12.75">
      <c r="A7" s="3"/>
      <c r="B7" s="3"/>
      <c r="C7" s="65"/>
      <c r="D7" s="65"/>
      <c r="E7" s="65"/>
      <c r="F7" s="1664"/>
      <c r="G7" s="1664"/>
      <c r="H7" s="1664"/>
      <c r="I7" s="1664"/>
      <c r="J7" s="1664"/>
      <c r="K7" s="1664"/>
      <c r="L7" s="1664"/>
      <c r="M7" s="1664"/>
      <c r="N7" s="1664"/>
      <c r="O7" s="65"/>
      <c r="P7" s="1664"/>
      <c r="Q7" s="65"/>
      <c r="R7" s="65"/>
      <c r="S7" s="215"/>
      <c r="T7" s="215"/>
      <c r="U7" s="65"/>
      <c r="V7" s="65"/>
      <c r="W7" s="1664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1"/>
      <c r="AK7" s="212"/>
      <c r="AL7" s="212"/>
      <c r="AM7" s="212"/>
      <c r="AN7" s="212"/>
      <c r="AO7" s="212"/>
      <c r="AP7" s="1"/>
      <c r="AQ7" s="212"/>
      <c r="AR7" s="212"/>
      <c r="AS7" s="212"/>
      <c r="AT7" s="212"/>
      <c r="AU7" s="212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536" customFormat="1" ht="16.5" customHeight="1">
      <c r="A8" s="542" t="s">
        <v>0</v>
      </c>
      <c r="B8" s="542" t="s">
        <v>1</v>
      </c>
      <c r="C8" s="1665" t="s">
        <v>2</v>
      </c>
      <c r="D8" s="1666" t="s">
        <v>3</v>
      </c>
      <c r="E8" s="1667"/>
      <c r="F8" s="1668"/>
      <c r="G8" s="1669" t="s">
        <v>4</v>
      </c>
      <c r="H8" s="1670"/>
      <c r="I8" s="1669" t="s">
        <v>5</v>
      </c>
      <c r="J8" s="1670"/>
      <c r="K8" s="1671" t="s">
        <v>6</v>
      </c>
      <c r="L8" s="1671"/>
      <c r="M8" s="1671"/>
      <c r="N8" s="1671"/>
      <c r="O8" s="1667" t="s">
        <v>7</v>
      </c>
      <c r="P8" s="1668"/>
      <c r="Q8" s="1667" t="s">
        <v>8</v>
      </c>
      <c r="R8" s="1668"/>
      <c r="S8" s="1672"/>
      <c r="T8" s="1673"/>
      <c r="U8" s="2399" t="s">
        <v>63</v>
      </c>
      <c r="V8" s="2400"/>
      <c r="W8" s="2401"/>
      <c r="X8" s="2396" t="str">
        <f>"Production cumulée au 31/12/"&amp;(YEAR($E$1)-1)</f>
        <v>Production cumulée au 31/12/2014</v>
      </c>
      <c r="Y8" s="2396" t="str">
        <f>"sous traitance cumulée au 31/12/"&amp;(YEAR($E$1)-1)</f>
        <v>sous traitance cumulée au 31/12/2014</v>
      </c>
      <c r="Z8" s="2396" t="str">
        <f>"Facturation cumulée au 31/12/"&amp;(YEAR($E$1)-1)</f>
        <v>Facturation cumulée au 31/12/2014</v>
      </c>
      <c r="AA8" s="2396" t="str">
        <f>"Encaissement cumulé au 31/12/"&amp;(YEAR($E$1)-1)</f>
        <v>Encaissement cumulé au 31/12/2014</v>
      </c>
      <c r="AB8" s="2396" t="s">
        <v>64</v>
      </c>
      <c r="AC8" s="212"/>
      <c r="AD8" s="212"/>
      <c r="AE8" s="2506" t="s">
        <v>67</v>
      </c>
      <c r="AF8" s="2509" t="s">
        <v>68</v>
      </c>
      <c r="AG8" s="1655"/>
      <c r="AH8" s="1655"/>
      <c r="AI8" s="535"/>
      <c r="AJ8" s="535"/>
      <c r="AK8" s="535"/>
      <c r="AL8" s="535"/>
    </row>
    <row r="9" spans="1:68" s="536" customFormat="1" ht="8.25" customHeight="1">
      <c r="A9" s="543" t="s">
        <v>9</v>
      </c>
      <c r="B9" s="544"/>
      <c r="C9" s="1674"/>
      <c r="D9" s="1675"/>
      <c r="E9" s="1676"/>
      <c r="F9" s="1677"/>
      <c r="G9" s="1678"/>
      <c r="H9" s="1679"/>
      <c r="I9" s="1678" t="s">
        <v>10</v>
      </c>
      <c r="J9" s="1678"/>
      <c r="K9" s="1680" t="s">
        <v>11</v>
      </c>
      <c r="L9" s="1680"/>
      <c r="M9" s="1680"/>
      <c r="N9" s="1680" t="s">
        <v>12</v>
      </c>
      <c r="O9" s="1676"/>
      <c r="P9" s="1677"/>
      <c r="Q9" s="1676"/>
      <c r="R9" s="1681"/>
      <c r="S9" s="1682" t="s">
        <v>13</v>
      </c>
      <c r="T9" s="1683" t="s">
        <v>14</v>
      </c>
      <c r="U9" s="2402"/>
      <c r="V9" s="2403"/>
      <c r="W9" s="2404"/>
      <c r="X9" s="2397"/>
      <c r="Y9" s="2397"/>
      <c r="Z9" s="2397"/>
      <c r="AA9" s="2397"/>
      <c r="AB9" s="2397"/>
      <c r="AC9" s="212"/>
      <c r="AD9" s="212"/>
      <c r="AE9" s="2507"/>
      <c r="AF9" s="2507"/>
      <c r="AG9" s="1655"/>
      <c r="AH9" s="1655"/>
      <c r="AI9" s="535"/>
      <c r="AJ9" s="535"/>
      <c r="AK9" s="535"/>
      <c r="AL9" s="535"/>
    </row>
    <row r="10" spans="1:68" s="536" customFormat="1" ht="8.25" customHeight="1">
      <c r="A10" s="544"/>
      <c r="B10" s="544"/>
      <c r="C10" s="1674"/>
      <c r="D10" s="1684" t="s">
        <v>15</v>
      </c>
      <c r="E10" s="1684" t="s">
        <v>16</v>
      </c>
      <c r="F10" s="1671" t="s">
        <v>17</v>
      </c>
      <c r="G10" s="1678"/>
      <c r="H10" s="1679"/>
      <c r="I10" s="1678"/>
      <c r="J10" s="1678"/>
      <c r="K10" s="1685" t="s">
        <v>18</v>
      </c>
      <c r="L10" s="1685" t="s">
        <v>17</v>
      </c>
      <c r="M10" s="1685" t="s">
        <v>19</v>
      </c>
      <c r="N10" s="1685" t="s">
        <v>20</v>
      </c>
      <c r="O10" s="1684" t="s">
        <v>16</v>
      </c>
      <c r="P10" s="1671" t="s">
        <v>17</v>
      </c>
      <c r="Q10" s="1684" t="s">
        <v>16</v>
      </c>
      <c r="R10" s="1671" t="s">
        <v>17</v>
      </c>
      <c r="S10" s="1682" t="s">
        <v>21</v>
      </c>
      <c r="T10" s="1683" t="s">
        <v>22</v>
      </c>
      <c r="U10" s="1686" t="s">
        <v>15</v>
      </c>
      <c r="V10" s="1686" t="s">
        <v>16</v>
      </c>
      <c r="W10" s="1687" t="s">
        <v>17</v>
      </c>
      <c r="X10" s="2397"/>
      <c r="Y10" s="2397"/>
      <c r="Z10" s="2397"/>
      <c r="AA10" s="2397"/>
      <c r="AB10" s="2397"/>
      <c r="AC10" s="212"/>
      <c r="AD10" s="212"/>
      <c r="AE10" s="2507"/>
      <c r="AF10" s="2507" t="s">
        <v>68</v>
      </c>
      <c r="AG10" s="1655"/>
      <c r="AH10" s="1655"/>
      <c r="AI10" s="535"/>
      <c r="AJ10" s="535"/>
      <c r="AK10" s="535"/>
      <c r="AL10" s="535"/>
    </row>
    <row r="11" spans="1:68" s="536" customFormat="1" ht="8.25" customHeight="1">
      <c r="A11" s="544"/>
      <c r="B11" s="544"/>
      <c r="C11" s="1674"/>
      <c r="D11" s="1682" t="s">
        <v>23</v>
      </c>
      <c r="E11" s="1682"/>
      <c r="F11" s="1680" t="s">
        <v>23</v>
      </c>
      <c r="G11" s="1671" t="s">
        <v>24</v>
      </c>
      <c r="H11" s="1671" t="s">
        <v>25</v>
      </c>
      <c r="I11" s="1671" t="s">
        <v>26</v>
      </c>
      <c r="J11" s="1671" t="s">
        <v>27</v>
      </c>
      <c r="K11" s="1680" t="s">
        <v>28</v>
      </c>
      <c r="L11" s="1680" t="s">
        <v>29</v>
      </c>
      <c r="M11" s="1680" t="s">
        <v>30</v>
      </c>
      <c r="N11" s="1680" t="s">
        <v>31</v>
      </c>
      <c r="O11" s="1682"/>
      <c r="P11" s="1680" t="s">
        <v>23</v>
      </c>
      <c r="Q11" s="1682"/>
      <c r="R11" s="1680" t="s">
        <v>23</v>
      </c>
      <c r="S11" s="1674"/>
      <c r="T11" s="1683" t="s">
        <v>32</v>
      </c>
      <c r="U11" s="1688" t="s">
        <v>56</v>
      </c>
      <c r="V11" s="1688"/>
      <c r="W11" s="1689" t="s">
        <v>56</v>
      </c>
      <c r="X11" s="2397"/>
      <c r="Y11" s="2397"/>
      <c r="Z11" s="2397"/>
      <c r="AA11" s="2397"/>
      <c r="AB11" s="2397"/>
      <c r="AC11" s="212"/>
      <c r="AD11" s="212"/>
      <c r="AE11" s="2507"/>
      <c r="AF11" s="2507"/>
      <c r="AG11" s="1655"/>
      <c r="AH11" s="1655"/>
      <c r="AI11" s="535"/>
      <c r="AJ11" s="535"/>
      <c r="AK11" s="535"/>
      <c r="AL11" s="535"/>
    </row>
    <row r="12" spans="1:68" s="536" customFormat="1" ht="12.75">
      <c r="A12" s="544"/>
      <c r="B12" s="544"/>
      <c r="C12" s="1674"/>
      <c r="D12" s="1674"/>
      <c r="E12" s="1674"/>
      <c r="F12" s="1690"/>
      <c r="G12" s="1690"/>
      <c r="H12" s="1690"/>
      <c r="I12" s="1690"/>
      <c r="J12" s="1680" t="s">
        <v>33</v>
      </c>
      <c r="K12" s="1680" t="s">
        <v>34</v>
      </c>
      <c r="L12" s="1680"/>
      <c r="M12" s="1680"/>
      <c r="N12" s="1680"/>
      <c r="O12" s="1674"/>
      <c r="P12" s="1690"/>
      <c r="Q12" s="1674"/>
      <c r="R12" s="1690"/>
      <c r="S12" s="1691"/>
      <c r="T12" s="1692"/>
      <c r="U12" s="1693"/>
      <c r="V12" s="1693"/>
      <c r="W12" s="1694"/>
      <c r="X12" s="2397"/>
      <c r="Y12" s="2397"/>
      <c r="Z12" s="2397"/>
      <c r="AA12" s="2397"/>
      <c r="AB12" s="2397"/>
      <c r="AC12" s="212"/>
      <c r="AD12" s="212"/>
      <c r="AE12" s="2508"/>
      <c r="AF12" s="2508"/>
      <c r="AG12" s="1655"/>
      <c r="AH12" s="1655"/>
      <c r="AI12" s="535"/>
      <c r="AJ12" s="535"/>
      <c r="AK12" s="535"/>
      <c r="AL12" s="535"/>
    </row>
    <row r="13" spans="1:68" s="536" customFormat="1" ht="12.75">
      <c r="A13" s="545"/>
      <c r="B13" s="545" t="s">
        <v>35</v>
      </c>
      <c r="C13" s="1695" t="s">
        <v>36</v>
      </c>
      <c r="D13" s="1695"/>
      <c r="E13" s="1695"/>
      <c r="F13" s="1696" t="s">
        <v>37</v>
      </c>
      <c r="G13" s="1696" t="s">
        <v>38</v>
      </c>
      <c r="H13" s="1696" t="s">
        <v>39</v>
      </c>
      <c r="I13" s="1696" t="s">
        <v>40</v>
      </c>
      <c r="J13" s="1696" t="s">
        <v>41</v>
      </c>
      <c r="K13" s="1696" t="s">
        <v>42</v>
      </c>
      <c r="L13" s="1696" t="s">
        <v>43</v>
      </c>
      <c r="M13" s="1696" t="s">
        <v>44</v>
      </c>
      <c r="N13" s="1696" t="s">
        <v>45</v>
      </c>
      <c r="O13" s="1695"/>
      <c r="P13" s="1696" t="s">
        <v>37</v>
      </c>
      <c r="Q13" s="1695" t="s">
        <v>46</v>
      </c>
      <c r="R13" s="1695"/>
      <c r="S13" s="1697" t="s">
        <v>47</v>
      </c>
      <c r="T13" s="1698" t="s">
        <v>48</v>
      </c>
      <c r="U13" s="1695"/>
      <c r="V13" s="1695"/>
      <c r="W13" s="1696" t="s">
        <v>37</v>
      </c>
      <c r="X13" s="289"/>
      <c r="Y13" s="289"/>
      <c r="Z13" s="289"/>
      <c r="AA13" s="289"/>
      <c r="AB13" s="289"/>
      <c r="AC13" s="212"/>
      <c r="AD13" s="212"/>
      <c r="AE13" s="1699"/>
      <c r="AF13" s="1699"/>
      <c r="AG13" s="1655"/>
      <c r="AH13" s="1655"/>
      <c r="AI13" s="535"/>
      <c r="AJ13" s="535"/>
      <c r="AK13" s="535"/>
      <c r="AL13" s="535"/>
    </row>
    <row r="14" spans="1:68" s="536" customFormat="1" ht="12.75">
      <c r="A14" s="546"/>
      <c r="B14" s="547"/>
      <c r="C14" s="1700"/>
      <c r="D14" s="1700"/>
      <c r="E14" s="1700"/>
      <c r="F14" s="1701"/>
      <c r="G14" s="1701"/>
      <c r="H14" s="1701"/>
      <c r="I14" s="1701"/>
      <c r="J14" s="1701"/>
      <c r="K14" s="1701"/>
      <c r="L14" s="1701"/>
      <c r="M14" s="1701"/>
      <c r="N14" s="1701"/>
      <c r="O14" s="1700"/>
      <c r="P14" s="1701">
        <v>0</v>
      </c>
      <c r="Q14" s="1700"/>
      <c r="R14" s="1700">
        <v>0</v>
      </c>
      <c r="S14" s="1700"/>
      <c r="T14" s="1702">
        <f t="shared" ref="T14:T56" si="0">W14-L14</f>
        <v>0</v>
      </c>
      <c r="U14" s="1700"/>
      <c r="V14" s="1700"/>
      <c r="W14" s="1701"/>
      <c r="X14" s="1701"/>
      <c r="Y14" s="1701"/>
      <c r="Z14" s="1701">
        <v>0</v>
      </c>
      <c r="AA14" s="1700">
        <v>0</v>
      </c>
      <c r="AB14" s="464"/>
      <c r="AC14" s="212"/>
      <c r="AD14" s="212"/>
      <c r="AE14" s="1703"/>
      <c r="AF14" s="1703"/>
      <c r="AG14" s="1655"/>
      <c r="AH14" s="1655"/>
      <c r="AI14" s="535"/>
      <c r="AJ14" s="535"/>
      <c r="AK14" s="535"/>
      <c r="AL14" s="535"/>
    </row>
    <row r="15" spans="1:68" s="536" customFormat="1" ht="12.75">
      <c r="A15" s="548"/>
      <c r="B15" s="549"/>
      <c r="C15" s="1704"/>
      <c r="D15" s="1704"/>
      <c r="E15" s="1704"/>
      <c r="F15" s="1704"/>
      <c r="G15" s="1704"/>
      <c r="H15" s="1704"/>
      <c r="I15" s="1704"/>
      <c r="J15" s="1704"/>
      <c r="K15" s="1704"/>
      <c r="L15" s="1704"/>
      <c r="M15" s="1704"/>
      <c r="N15" s="1704"/>
      <c r="O15" s="1704"/>
      <c r="P15" s="1705"/>
      <c r="Q15" s="1704"/>
      <c r="R15" s="1706"/>
      <c r="S15" s="1706"/>
      <c r="T15" s="1702">
        <f t="shared" si="0"/>
        <v>0</v>
      </c>
      <c r="U15" s="1704"/>
      <c r="V15" s="1704"/>
      <c r="W15" s="1704"/>
      <c r="X15" s="1704"/>
      <c r="Y15" s="1704"/>
      <c r="Z15" s="1705"/>
      <c r="AA15" s="1706"/>
      <c r="AB15" s="464"/>
      <c r="AC15" s="212"/>
      <c r="AD15" s="212"/>
      <c r="AE15" s="1707"/>
      <c r="AF15" s="1707"/>
      <c r="AG15" s="1655"/>
      <c r="AH15" s="1655"/>
      <c r="AI15" s="535"/>
      <c r="AJ15" s="535"/>
      <c r="AK15" s="535"/>
      <c r="AL15" s="535"/>
    </row>
    <row r="16" spans="1:68" s="536" customFormat="1" ht="12.75">
      <c r="A16" s="550"/>
      <c r="B16" s="451"/>
      <c r="C16" s="1708"/>
      <c r="D16" s="1708"/>
      <c r="E16" s="1704"/>
      <c r="F16" s="1704"/>
      <c r="G16" s="1704"/>
      <c r="H16" s="1704"/>
      <c r="I16" s="1704"/>
      <c r="J16" s="1704"/>
      <c r="K16" s="1704"/>
      <c r="L16" s="1704"/>
      <c r="M16" s="1704"/>
      <c r="N16" s="1704"/>
      <c r="O16" s="1704"/>
      <c r="P16" s="1705"/>
      <c r="Q16" s="1704"/>
      <c r="R16" s="1706"/>
      <c r="S16" s="1706"/>
      <c r="T16" s="1709">
        <f t="shared" si="0"/>
        <v>0</v>
      </c>
      <c r="U16" s="1708"/>
      <c r="V16" s="1704"/>
      <c r="W16" s="1704"/>
      <c r="X16" s="1704"/>
      <c r="Y16" s="1704"/>
      <c r="Z16" s="1705"/>
      <c r="AA16" s="1706"/>
      <c r="AB16" s="824"/>
      <c r="AC16" s="1195"/>
      <c r="AD16" s="1195"/>
      <c r="AE16" s="1710"/>
      <c r="AF16" s="1710"/>
      <c r="AG16" s="1655"/>
      <c r="AH16" s="1655"/>
      <c r="AI16" s="535"/>
      <c r="AJ16" s="535"/>
      <c r="AK16" s="535"/>
      <c r="AL16" s="535"/>
    </row>
    <row r="17" spans="1:38" s="536" customFormat="1" ht="12.75">
      <c r="A17" s="551">
        <v>1</v>
      </c>
      <c r="B17" s="552" t="s">
        <v>316</v>
      </c>
      <c r="C17" s="1711">
        <f>703500*1.2</f>
        <v>844200</v>
      </c>
      <c r="D17" s="1711">
        <f>C17</f>
        <v>844200</v>
      </c>
      <c r="E17" s="1711">
        <v>1</v>
      </c>
      <c r="F17" s="1711">
        <f>E17*D17</f>
        <v>844200</v>
      </c>
      <c r="G17" s="1712"/>
      <c r="H17" s="1712"/>
      <c r="I17" s="1712"/>
      <c r="J17" s="1712"/>
      <c r="K17" s="1713"/>
      <c r="L17" s="1712"/>
      <c r="M17" s="1712"/>
      <c r="N17" s="1712"/>
      <c r="O17" s="1712"/>
      <c r="P17" s="1712"/>
      <c r="Q17" s="1712"/>
      <c r="R17" s="1712"/>
      <c r="S17" s="1712"/>
      <c r="T17" s="1714">
        <f t="shared" si="0"/>
        <v>0</v>
      </c>
      <c r="U17" s="1712"/>
      <c r="V17" s="1712"/>
      <c r="W17" s="1712"/>
      <c r="X17" s="1712"/>
      <c r="Y17" s="1712"/>
      <c r="Z17" s="1712"/>
      <c r="AA17" s="1712"/>
      <c r="AB17" s="1424"/>
      <c r="AC17" s="1195"/>
      <c r="AD17" s="1195"/>
      <c r="AE17" s="1710"/>
      <c r="AF17" s="1710"/>
      <c r="AG17" s="1655"/>
      <c r="AH17" s="1655"/>
      <c r="AI17" s="535"/>
      <c r="AJ17" s="535"/>
      <c r="AK17" s="535"/>
      <c r="AL17" s="535"/>
    </row>
    <row r="18" spans="1:38" s="536" customFormat="1" ht="12.75">
      <c r="A18" s="296"/>
      <c r="B18" s="529"/>
      <c r="C18" s="1711"/>
      <c r="D18" s="1711"/>
      <c r="E18" s="1711"/>
      <c r="F18" s="1711"/>
      <c r="G18" s="1712"/>
      <c r="H18" s="1712"/>
      <c r="I18" s="1712"/>
      <c r="J18" s="1712"/>
      <c r="K18" s="1712"/>
      <c r="L18" s="1712"/>
      <c r="M18" s="1712"/>
      <c r="N18" s="1712"/>
      <c r="O18" s="1712"/>
      <c r="P18" s="1712"/>
      <c r="Q18" s="1712"/>
      <c r="R18" s="1712"/>
      <c r="S18" s="1712"/>
      <c r="T18" s="1714">
        <f t="shared" si="0"/>
        <v>0</v>
      </c>
      <c r="U18" s="1712"/>
      <c r="V18" s="1712"/>
      <c r="W18" s="1712"/>
      <c r="X18" s="1712"/>
      <c r="Y18" s="1712"/>
      <c r="Z18" s="1712"/>
      <c r="AA18" s="1712"/>
      <c r="AB18" s="1424"/>
      <c r="AC18" s="1195"/>
      <c r="AD18" s="1195"/>
      <c r="AE18" s="1710"/>
      <c r="AF18" s="1710"/>
      <c r="AG18" s="1655"/>
      <c r="AH18" s="1655"/>
      <c r="AI18" s="535"/>
      <c r="AJ18" s="535"/>
      <c r="AK18" s="535"/>
      <c r="AL18" s="535"/>
    </row>
    <row r="19" spans="1:38" s="536" customFormat="1" ht="12.75">
      <c r="A19" s="296"/>
      <c r="B19" s="529"/>
      <c r="C19" s="1711"/>
      <c r="D19" s="1711"/>
      <c r="E19" s="1711"/>
      <c r="F19" s="1711"/>
      <c r="G19" s="1712"/>
      <c r="H19" s="1712"/>
      <c r="I19" s="1712"/>
      <c r="J19" s="1712"/>
      <c r="K19" s="1712"/>
      <c r="L19" s="1712"/>
      <c r="M19" s="1712"/>
      <c r="N19" s="1712"/>
      <c r="O19" s="1712"/>
      <c r="P19" s="1712"/>
      <c r="Q19" s="1712"/>
      <c r="R19" s="1712"/>
      <c r="S19" s="1712"/>
      <c r="T19" s="1714">
        <f t="shared" si="0"/>
        <v>0</v>
      </c>
      <c r="U19" s="1712"/>
      <c r="V19" s="1712"/>
      <c r="W19" s="1712"/>
      <c r="X19" s="1712"/>
      <c r="Y19" s="1712"/>
      <c r="Z19" s="1712"/>
      <c r="AA19" s="1712"/>
      <c r="AB19" s="1424"/>
      <c r="AC19" s="1195"/>
      <c r="AD19" s="1195"/>
      <c r="AE19" s="1710"/>
      <c r="AF19" s="1710"/>
      <c r="AG19" s="1655"/>
      <c r="AH19" s="1655"/>
      <c r="AI19" s="535"/>
      <c r="AJ19" s="535"/>
      <c r="AK19" s="535"/>
      <c r="AL19" s="535"/>
    </row>
    <row r="20" spans="1:38" s="536" customFormat="1" ht="12.75">
      <c r="A20" s="551">
        <v>2</v>
      </c>
      <c r="B20" s="552" t="s">
        <v>317</v>
      </c>
      <c r="C20" s="1711">
        <f>843000*1.2</f>
        <v>1011600</v>
      </c>
      <c r="D20" s="1711">
        <f>C20</f>
        <v>1011600</v>
      </c>
      <c r="E20" s="1711">
        <v>1</v>
      </c>
      <c r="F20" s="1711">
        <f>E20*D20</f>
        <v>1011600</v>
      </c>
      <c r="G20" s="1712"/>
      <c r="H20" s="1712"/>
      <c r="I20" s="1712"/>
      <c r="J20" s="1712"/>
      <c r="K20" s="1712"/>
      <c r="L20" s="1712"/>
      <c r="M20" s="1712"/>
      <c r="N20" s="1712"/>
      <c r="O20" s="1712"/>
      <c r="P20" s="1712"/>
      <c r="Q20" s="1712"/>
      <c r="R20" s="1712"/>
      <c r="S20" s="1712"/>
      <c r="T20" s="1714">
        <f t="shared" si="0"/>
        <v>0</v>
      </c>
      <c r="U20" s="1712"/>
      <c r="V20" s="1712"/>
      <c r="W20" s="1712"/>
      <c r="X20" s="1712"/>
      <c r="Y20" s="1712"/>
      <c r="Z20" s="1712"/>
      <c r="AA20" s="1712"/>
      <c r="AB20" s="1424"/>
      <c r="AC20" s="1195"/>
      <c r="AD20" s="1195"/>
      <c r="AE20" s="1710"/>
      <c r="AF20" s="1710"/>
      <c r="AG20" s="1655"/>
      <c r="AH20" s="1655"/>
      <c r="AI20" s="535"/>
      <c r="AJ20" s="535"/>
      <c r="AK20" s="535"/>
      <c r="AL20" s="535"/>
    </row>
    <row r="21" spans="1:38" s="536" customFormat="1" ht="12.75">
      <c r="A21" s="554"/>
      <c r="B21" s="451"/>
      <c r="C21" s="1712"/>
      <c r="D21" s="1712"/>
      <c r="E21" s="1712"/>
      <c r="F21" s="1712"/>
      <c r="G21" s="1712"/>
      <c r="H21" s="1712"/>
      <c r="I21" s="1712"/>
      <c r="J21" s="1712"/>
      <c r="K21" s="1712"/>
      <c r="L21" s="1712"/>
      <c r="M21" s="1712"/>
      <c r="N21" s="1712"/>
      <c r="O21" s="1712"/>
      <c r="P21" s="1712"/>
      <c r="Q21" s="1712"/>
      <c r="R21" s="1712"/>
      <c r="S21" s="1712"/>
      <c r="T21" s="1714">
        <f t="shared" si="0"/>
        <v>0</v>
      </c>
      <c r="U21" s="1712"/>
      <c r="V21" s="1712"/>
      <c r="W21" s="1712"/>
      <c r="X21" s="1712"/>
      <c r="Y21" s="1712"/>
      <c r="Z21" s="1712"/>
      <c r="AA21" s="1712"/>
      <c r="AB21" s="1424"/>
      <c r="AC21" s="1195"/>
      <c r="AD21" s="1195"/>
      <c r="AE21" s="1710"/>
      <c r="AF21" s="1710"/>
      <c r="AG21" s="1655"/>
      <c r="AH21" s="1655"/>
      <c r="AI21" s="535"/>
      <c r="AJ21" s="535"/>
      <c r="AK21" s="535"/>
      <c r="AL21" s="535"/>
    </row>
    <row r="22" spans="1:38" s="536" customFormat="1" ht="12.75">
      <c r="A22" s="554"/>
      <c r="B22" s="451"/>
      <c r="C22" s="1712"/>
      <c r="D22" s="1712"/>
      <c r="E22" s="1712"/>
      <c r="F22" s="1712"/>
      <c r="G22" s="1712"/>
      <c r="H22" s="1712"/>
      <c r="I22" s="1712"/>
      <c r="J22" s="1712"/>
      <c r="K22" s="1712"/>
      <c r="L22" s="1712"/>
      <c r="M22" s="1712"/>
      <c r="N22" s="1712"/>
      <c r="O22" s="1712"/>
      <c r="P22" s="1712"/>
      <c r="Q22" s="1712"/>
      <c r="R22" s="1712"/>
      <c r="S22" s="1712"/>
      <c r="T22" s="1714">
        <f t="shared" si="0"/>
        <v>0</v>
      </c>
      <c r="U22" s="1712"/>
      <c r="V22" s="1712"/>
      <c r="W22" s="1712"/>
      <c r="X22" s="1712"/>
      <c r="Y22" s="1712"/>
      <c r="Z22" s="1712"/>
      <c r="AA22" s="1712"/>
      <c r="AB22" s="1424"/>
      <c r="AC22" s="1195"/>
      <c r="AD22" s="1195"/>
      <c r="AE22" s="1710"/>
      <c r="AF22" s="1710"/>
      <c r="AG22" s="1655"/>
      <c r="AH22" s="1655"/>
      <c r="AI22" s="535"/>
      <c r="AJ22" s="535"/>
      <c r="AK22" s="535"/>
      <c r="AL22" s="535"/>
    </row>
    <row r="23" spans="1:38" s="536" customFormat="1" ht="22.5">
      <c r="A23" s="553">
        <v>3</v>
      </c>
      <c r="B23" s="452" t="s">
        <v>318</v>
      </c>
      <c r="C23" s="1712">
        <f>523000*1.2</f>
        <v>627600</v>
      </c>
      <c r="D23" s="1712">
        <f>C23</f>
        <v>627600</v>
      </c>
      <c r="E23" s="1712">
        <v>1</v>
      </c>
      <c r="F23" s="1712">
        <f>E23*D23</f>
        <v>627600</v>
      </c>
      <c r="G23" s="1712"/>
      <c r="H23" s="1712"/>
      <c r="I23" s="1712"/>
      <c r="J23" s="1712"/>
      <c r="K23" s="1712"/>
      <c r="L23" s="1712">
        <f t="shared" ref="L23:L29" si="1">I23-J23+K23</f>
        <v>0</v>
      </c>
      <c r="M23" s="1712"/>
      <c r="N23" s="1712"/>
      <c r="O23" s="1712"/>
      <c r="P23" s="1712">
        <v>0</v>
      </c>
      <c r="Q23" s="1712"/>
      <c r="R23" s="1712">
        <v>0</v>
      </c>
      <c r="S23" s="1712">
        <f>+P23-R23</f>
        <v>0</v>
      </c>
      <c r="T23" s="1714">
        <f t="shared" si="0"/>
        <v>627600</v>
      </c>
      <c r="U23" s="1712">
        <v>627600</v>
      </c>
      <c r="V23" s="1712">
        <v>1</v>
      </c>
      <c r="W23" s="1712">
        <v>627600</v>
      </c>
      <c r="X23" s="1712">
        <v>0</v>
      </c>
      <c r="Y23" s="1712"/>
      <c r="Z23" s="1712">
        <v>0</v>
      </c>
      <c r="AA23" s="1712">
        <v>0</v>
      </c>
      <c r="AB23" s="1424">
        <v>627600</v>
      </c>
      <c r="AC23" s="1195"/>
      <c r="AD23" s="1195"/>
      <c r="AE23" s="1710">
        <v>1</v>
      </c>
      <c r="AF23" s="1710">
        <f>AE23*F23</f>
        <v>627600</v>
      </c>
      <c r="AG23" s="1655"/>
      <c r="AH23" s="1655"/>
      <c r="AI23" s="535"/>
      <c r="AJ23" s="535"/>
      <c r="AK23" s="535"/>
      <c r="AL23" s="535"/>
    </row>
    <row r="24" spans="1:38" s="536" customFormat="1" ht="12.75">
      <c r="A24" s="553"/>
      <c r="B24" s="452"/>
      <c r="C24" s="1712"/>
      <c r="D24" s="1712"/>
      <c r="E24" s="1712"/>
      <c r="F24" s="1712"/>
      <c r="G24" s="1712"/>
      <c r="H24" s="1712"/>
      <c r="I24" s="1712"/>
      <c r="J24" s="1712"/>
      <c r="K24" s="1712"/>
      <c r="L24" s="1712">
        <f t="shared" si="1"/>
        <v>0</v>
      </c>
      <c r="M24" s="1712"/>
      <c r="N24" s="1712"/>
      <c r="O24" s="1712"/>
      <c r="P24" s="1712"/>
      <c r="Q24" s="1712"/>
      <c r="R24" s="1712"/>
      <c r="S24" s="1712"/>
      <c r="T24" s="1714">
        <f t="shared" si="0"/>
        <v>0</v>
      </c>
      <c r="U24" s="1712"/>
      <c r="V24" s="1712"/>
      <c r="W24" s="1712"/>
      <c r="X24" s="1712">
        <v>0</v>
      </c>
      <c r="Y24" s="1712"/>
      <c r="Z24" s="1712"/>
      <c r="AA24" s="1712"/>
      <c r="AB24" s="1424"/>
      <c r="AC24" s="1195"/>
      <c r="AD24" s="1195"/>
      <c r="AE24" s="1710"/>
      <c r="AF24" s="1710"/>
      <c r="AG24" s="1655"/>
      <c r="AH24" s="1655"/>
      <c r="AI24" s="535"/>
      <c r="AJ24" s="535"/>
      <c r="AK24" s="535"/>
      <c r="AL24" s="535"/>
    </row>
    <row r="25" spans="1:38" s="536" customFormat="1" ht="12.75">
      <c r="A25" s="553"/>
      <c r="B25" s="452" t="s">
        <v>319</v>
      </c>
      <c r="C25" s="1712"/>
      <c r="D25" s="1712"/>
      <c r="E25" s="1712"/>
      <c r="F25" s="1712"/>
      <c r="G25" s="1712"/>
      <c r="H25" s="1712"/>
      <c r="I25" s="1712"/>
      <c r="J25" s="1712"/>
      <c r="K25" s="1712"/>
      <c r="L25" s="1712">
        <f t="shared" si="1"/>
        <v>0</v>
      </c>
      <c r="M25" s="1712"/>
      <c r="N25" s="1712"/>
      <c r="O25" s="1712"/>
      <c r="P25" s="1712"/>
      <c r="Q25" s="1712"/>
      <c r="R25" s="1712"/>
      <c r="S25" s="1712"/>
      <c r="T25" s="1714">
        <f t="shared" si="0"/>
        <v>0</v>
      </c>
      <c r="U25" s="1712"/>
      <c r="V25" s="1712"/>
      <c r="W25" s="1712"/>
      <c r="X25" s="1712">
        <v>0</v>
      </c>
      <c r="Y25" s="1712"/>
      <c r="Z25" s="1712"/>
      <c r="AA25" s="1712"/>
      <c r="AB25" s="1424"/>
      <c r="AC25" s="1195"/>
      <c r="AD25" s="1195"/>
      <c r="AE25" s="1710"/>
      <c r="AF25" s="1710"/>
      <c r="AG25" s="1655"/>
      <c r="AH25" s="1655"/>
      <c r="AI25" s="535"/>
      <c r="AJ25" s="535"/>
      <c r="AK25" s="535"/>
      <c r="AL25" s="535"/>
    </row>
    <row r="26" spans="1:38" s="536" customFormat="1" ht="12.75">
      <c r="A26" s="553"/>
      <c r="B26" s="452"/>
      <c r="C26" s="1712"/>
      <c r="D26" s="1712"/>
      <c r="E26" s="1712"/>
      <c r="F26" s="1712"/>
      <c r="G26" s="1712"/>
      <c r="H26" s="1712"/>
      <c r="I26" s="1712"/>
      <c r="J26" s="1712"/>
      <c r="K26" s="1712"/>
      <c r="L26" s="1712">
        <f t="shared" si="1"/>
        <v>0</v>
      </c>
      <c r="M26" s="1712"/>
      <c r="N26" s="1712"/>
      <c r="O26" s="1712"/>
      <c r="P26" s="1712"/>
      <c r="Q26" s="1712"/>
      <c r="R26" s="1712"/>
      <c r="S26" s="1712"/>
      <c r="T26" s="1714">
        <f t="shared" si="0"/>
        <v>0</v>
      </c>
      <c r="U26" s="1712"/>
      <c r="V26" s="1712"/>
      <c r="W26" s="1712"/>
      <c r="X26" s="1712">
        <v>0</v>
      </c>
      <c r="Y26" s="1712"/>
      <c r="Z26" s="1712"/>
      <c r="AA26" s="1712"/>
      <c r="AB26" s="1424"/>
      <c r="AC26" s="1195"/>
      <c r="AD26" s="1195"/>
      <c r="AE26" s="1710"/>
      <c r="AF26" s="1710"/>
      <c r="AG26" s="1655"/>
      <c r="AH26" s="1655"/>
      <c r="AI26" s="535"/>
      <c r="AJ26" s="535"/>
      <c r="AK26" s="535"/>
      <c r="AL26" s="535"/>
    </row>
    <row r="27" spans="1:38" s="536" customFormat="1" ht="22.5">
      <c r="A27" s="553"/>
      <c r="B27" s="1224" t="s">
        <v>301</v>
      </c>
      <c r="C27" s="1712"/>
      <c r="D27" s="1712">
        <f>0.45*D23</f>
        <v>282420</v>
      </c>
      <c r="E27" s="1712">
        <v>1</v>
      </c>
      <c r="F27" s="1712">
        <f>E27*D27</f>
        <v>282420</v>
      </c>
      <c r="G27" s="1712">
        <v>2250</v>
      </c>
      <c r="H27" s="1712" t="s">
        <v>356</v>
      </c>
      <c r="I27" s="1712">
        <f>F27</f>
        <v>282420</v>
      </c>
      <c r="J27" s="1712"/>
      <c r="K27" s="1712"/>
      <c r="L27" s="1712">
        <f t="shared" si="1"/>
        <v>282420</v>
      </c>
      <c r="M27" s="1712"/>
      <c r="N27" s="1712"/>
      <c r="O27" s="1712">
        <v>1</v>
      </c>
      <c r="P27" s="1712">
        <v>282420</v>
      </c>
      <c r="Q27" s="1712">
        <v>1</v>
      </c>
      <c r="R27" s="1712">
        <v>282420</v>
      </c>
      <c r="S27" s="1712"/>
      <c r="T27" s="1714">
        <f t="shared" si="0"/>
        <v>-282420</v>
      </c>
      <c r="U27" s="1712"/>
      <c r="V27" s="1712"/>
      <c r="W27" s="1712"/>
      <c r="X27" s="1712">
        <v>282420</v>
      </c>
      <c r="Y27" s="1712"/>
      <c r="Z27" s="1712">
        <v>282420</v>
      </c>
      <c r="AA27" s="1712">
        <v>282420</v>
      </c>
      <c r="AB27" s="1424"/>
      <c r="AC27" s="1195"/>
      <c r="AD27" s="1195"/>
      <c r="AE27" s="1710"/>
      <c r="AF27" s="1710"/>
      <c r="AG27" s="1655"/>
      <c r="AH27" s="1655"/>
      <c r="AI27" s="535"/>
      <c r="AJ27" s="535"/>
      <c r="AK27" s="535"/>
      <c r="AL27" s="535"/>
    </row>
    <row r="28" spans="1:38" s="536" customFormat="1" ht="12.75">
      <c r="A28" s="553"/>
      <c r="B28" s="1224" t="s">
        <v>302</v>
      </c>
      <c r="C28" s="1712"/>
      <c r="D28" s="1712">
        <f>D23-D27-D29</f>
        <v>201180</v>
      </c>
      <c r="E28" s="1712">
        <v>1</v>
      </c>
      <c r="F28" s="1712">
        <f>E28*D28</f>
        <v>201180</v>
      </c>
      <c r="G28" s="1712"/>
      <c r="H28" s="1712"/>
      <c r="I28" s="1712">
        <f>F28</f>
        <v>201180</v>
      </c>
      <c r="J28" s="1712">
        <v>0</v>
      </c>
      <c r="K28" s="1712"/>
      <c r="L28" s="1712">
        <f t="shared" si="1"/>
        <v>201180</v>
      </c>
      <c r="M28" s="1712"/>
      <c r="N28" s="1712"/>
      <c r="O28" s="1712">
        <v>1</v>
      </c>
      <c r="P28" s="1712">
        <v>201180</v>
      </c>
      <c r="Q28" s="1712">
        <v>1</v>
      </c>
      <c r="R28" s="1712">
        <v>201180</v>
      </c>
      <c r="S28" s="1712"/>
      <c r="T28" s="1714">
        <f t="shared" si="0"/>
        <v>-201180</v>
      </c>
      <c r="U28" s="1712"/>
      <c r="V28" s="1712"/>
      <c r="W28" s="1712"/>
      <c r="X28" s="1712">
        <v>201180</v>
      </c>
      <c r="Y28" s="1712"/>
      <c r="Z28" s="1712">
        <v>201180</v>
      </c>
      <c r="AA28" s="1712">
        <v>201180</v>
      </c>
      <c r="AB28" s="1424"/>
      <c r="AC28" s="1195"/>
      <c r="AD28" s="1195"/>
      <c r="AE28" s="1710"/>
      <c r="AF28" s="1710"/>
      <c r="AG28" s="1655"/>
      <c r="AH28" s="1655"/>
      <c r="AI28" s="535"/>
      <c r="AJ28" s="535"/>
      <c r="AK28" s="535"/>
      <c r="AL28" s="535"/>
    </row>
    <row r="29" spans="1:38" s="536" customFormat="1" ht="12.75">
      <c r="A29" s="553"/>
      <c r="B29" s="1224" t="s">
        <v>303</v>
      </c>
      <c r="C29" s="1712"/>
      <c r="D29" s="1712">
        <v>144000</v>
      </c>
      <c r="E29" s="1712">
        <v>1</v>
      </c>
      <c r="F29" s="1712">
        <f>E29*D29</f>
        <v>144000</v>
      </c>
      <c r="G29" s="1712"/>
      <c r="H29" s="1712"/>
      <c r="I29" s="1712">
        <f>F29</f>
        <v>144000</v>
      </c>
      <c r="J29" s="1712">
        <v>0</v>
      </c>
      <c r="K29" s="1712"/>
      <c r="L29" s="1712">
        <f t="shared" si="1"/>
        <v>144000</v>
      </c>
      <c r="M29" s="1712"/>
      <c r="N29" s="1712"/>
      <c r="O29" s="1712">
        <v>1</v>
      </c>
      <c r="P29" s="1712">
        <v>144000</v>
      </c>
      <c r="Q29" s="1712">
        <v>1</v>
      </c>
      <c r="R29" s="1712">
        <v>144000</v>
      </c>
      <c r="S29" s="1712"/>
      <c r="T29" s="1714">
        <f t="shared" si="0"/>
        <v>-144000</v>
      </c>
      <c r="U29" s="1712"/>
      <c r="V29" s="1712"/>
      <c r="W29" s="1712"/>
      <c r="X29" s="1712">
        <v>144000</v>
      </c>
      <c r="Y29" s="1712"/>
      <c r="Z29" s="1712">
        <v>144000</v>
      </c>
      <c r="AA29" s="1712">
        <v>144000</v>
      </c>
      <c r="AB29" s="1425"/>
      <c r="AC29" s="1195"/>
      <c r="AD29" s="1195"/>
      <c r="AE29" s="1710"/>
      <c r="AF29" s="1710"/>
      <c r="AG29" s="1655"/>
      <c r="AH29" s="1655"/>
      <c r="AI29" s="535"/>
      <c r="AJ29" s="535"/>
      <c r="AK29" s="535"/>
      <c r="AL29" s="535"/>
    </row>
    <row r="30" spans="1:38" s="536" customFormat="1" ht="12.75">
      <c r="A30" s="553"/>
      <c r="B30" s="452"/>
      <c r="C30" s="1712"/>
      <c r="D30" s="1712"/>
      <c r="E30" s="1712"/>
      <c r="F30" s="1712"/>
      <c r="G30" s="1712"/>
      <c r="H30" s="1712"/>
      <c r="I30" s="1712"/>
      <c r="J30" s="1712"/>
      <c r="K30" s="1712"/>
      <c r="L30" s="1712"/>
      <c r="M30" s="1712"/>
      <c r="N30" s="1712"/>
      <c r="O30" s="1712"/>
      <c r="P30" s="1712"/>
      <c r="Q30" s="1712"/>
      <c r="R30" s="1712"/>
      <c r="S30" s="1712"/>
      <c r="T30" s="1714">
        <f t="shared" si="0"/>
        <v>0</v>
      </c>
      <c r="U30" s="1712"/>
      <c r="V30" s="1712"/>
      <c r="W30" s="1712"/>
      <c r="X30" s="1712"/>
      <c r="Y30" s="1712"/>
      <c r="Z30" s="1712"/>
      <c r="AA30" s="1712"/>
      <c r="AB30" s="1425"/>
      <c r="AC30" s="1195"/>
      <c r="AD30" s="1195"/>
      <c r="AE30" s="1710"/>
      <c r="AF30" s="1710"/>
      <c r="AG30" s="1655"/>
      <c r="AH30" s="1655"/>
      <c r="AI30" s="535"/>
      <c r="AJ30" s="535"/>
      <c r="AK30" s="535"/>
      <c r="AL30" s="535"/>
    </row>
    <row r="31" spans="1:38" s="536" customFormat="1" ht="12.75">
      <c r="A31" s="553"/>
      <c r="B31" s="452"/>
      <c r="C31" s="1712"/>
      <c r="D31" s="1712"/>
      <c r="E31" s="1712"/>
      <c r="F31" s="1712"/>
      <c r="G31" s="1712"/>
      <c r="H31" s="1712"/>
      <c r="I31" s="1712"/>
      <c r="J31" s="1712"/>
      <c r="K31" s="1712"/>
      <c r="L31" s="1712"/>
      <c r="M31" s="1712"/>
      <c r="N31" s="1712"/>
      <c r="O31" s="1712"/>
      <c r="P31" s="1712"/>
      <c r="Q31" s="1712"/>
      <c r="R31" s="1712"/>
      <c r="S31" s="1712"/>
      <c r="T31" s="1714">
        <f t="shared" si="0"/>
        <v>0</v>
      </c>
      <c r="U31" s="1712"/>
      <c r="V31" s="1712"/>
      <c r="W31" s="1712"/>
      <c r="X31" s="1712"/>
      <c r="Y31" s="1712"/>
      <c r="Z31" s="1712"/>
      <c r="AA31" s="1712"/>
      <c r="AB31" s="1424"/>
      <c r="AC31" s="1195"/>
      <c r="AD31" s="1195"/>
      <c r="AE31" s="1710"/>
      <c r="AF31" s="1710"/>
      <c r="AG31" s="1655"/>
      <c r="AH31" s="1655"/>
      <c r="AI31" s="535"/>
      <c r="AJ31" s="535"/>
      <c r="AK31" s="535"/>
      <c r="AL31" s="535"/>
    </row>
    <row r="32" spans="1:38" s="536" customFormat="1" ht="12.75">
      <c r="A32" s="553"/>
      <c r="B32" s="452"/>
      <c r="C32" s="1712"/>
      <c r="D32" s="1712"/>
      <c r="E32" s="1712"/>
      <c r="F32" s="1712"/>
      <c r="G32" s="1712"/>
      <c r="H32" s="1712"/>
      <c r="I32" s="1712"/>
      <c r="J32" s="1712"/>
      <c r="K32" s="1712"/>
      <c r="L32" s="1712"/>
      <c r="M32" s="1712"/>
      <c r="N32" s="1712"/>
      <c r="O32" s="1712"/>
      <c r="P32" s="1712"/>
      <c r="Q32" s="1712"/>
      <c r="R32" s="1712"/>
      <c r="S32" s="1712"/>
      <c r="T32" s="1714">
        <f t="shared" si="0"/>
        <v>0</v>
      </c>
      <c r="U32" s="1712"/>
      <c r="V32" s="1712"/>
      <c r="W32" s="1712"/>
      <c r="X32" s="1712"/>
      <c r="Y32" s="1712"/>
      <c r="Z32" s="1712"/>
      <c r="AA32" s="1712"/>
      <c r="AB32" s="1424"/>
      <c r="AC32" s="1195"/>
      <c r="AD32" s="1195"/>
      <c r="AE32" s="1710"/>
      <c r="AF32" s="1710"/>
      <c r="AG32" s="1655"/>
      <c r="AH32" s="1655"/>
      <c r="AI32" s="535"/>
      <c r="AJ32" s="535"/>
      <c r="AK32" s="535"/>
      <c r="AL32" s="535"/>
    </row>
    <row r="33" spans="1:38" s="536" customFormat="1" ht="12.75">
      <c r="A33" s="553"/>
      <c r="B33" s="452"/>
      <c r="C33" s="1712"/>
      <c r="D33" s="1712"/>
      <c r="E33" s="1712"/>
      <c r="F33" s="1712"/>
      <c r="G33" s="1712"/>
      <c r="H33" s="1712"/>
      <c r="I33" s="1712"/>
      <c r="J33" s="1712"/>
      <c r="K33" s="1712"/>
      <c r="L33" s="1712"/>
      <c r="M33" s="1712"/>
      <c r="N33" s="1712"/>
      <c r="O33" s="1712"/>
      <c r="P33" s="1712"/>
      <c r="Q33" s="1712"/>
      <c r="R33" s="1712"/>
      <c r="S33" s="1712"/>
      <c r="T33" s="1714">
        <f t="shared" si="0"/>
        <v>0</v>
      </c>
      <c r="U33" s="1712"/>
      <c r="V33" s="1712"/>
      <c r="W33" s="1712"/>
      <c r="X33" s="1712"/>
      <c r="Y33" s="1712"/>
      <c r="Z33" s="1712"/>
      <c r="AA33" s="1712"/>
      <c r="AB33" s="1424"/>
      <c r="AC33" s="1195"/>
      <c r="AD33" s="1195"/>
      <c r="AE33" s="1710"/>
      <c r="AF33" s="1710"/>
      <c r="AG33" s="1655"/>
      <c r="AH33" s="1655"/>
      <c r="AI33" s="535"/>
      <c r="AJ33" s="535"/>
      <c r="AK33" s="535"/>
      <c r="AL33" s="535"/>
    </row>
    <row r="34" spans="1:38" s="536" customFormat="1" ht="12.75">
      <c r="A34" s="553"/>
      <c r="B34" s="452"/>
      <c r="C34" s="1712"/>
      <c r="D34" s="1712"/>
      <c r="E34" s="1712"/>
      <c r="F34" s="1712"/>
      <c r="G34" s="1712"/>
      <c r="H34" s="1712"/>
      <c r="I34" s="1712"/>
      <c r="J34" s="1712"/>
      <c r="K34" s="1712"/>
      <c r="L34" s="1712"/>
      <c r="M34" s="1712"/>
      <c r="N34" s="1712"/>
      <c r="O34" s="1712"/>
      <c r="P34" s="1712"/>
      <c r="Q34" s="1712"/>
      <c r="R34" s="1712"/>
      <c r="S34" s="1712"/>
      <c r="T34" s="1714">
        <f t="shared" si="0"/>
        <v>0</v>
      </c>
      <c r="U34" s="1712"/>
      <c r="V34" s="1712"/>
      <c r="W34" s="1712"/>
      <c r="X34" s="1712"/>
      <c r="Y34" s="1712"/>
      <c r="Z34" s="1712"/>
      <c r="AA34" s="1712"/>
      <c r="AB34" s="1424"/>
      <c r="AC34" s="1195"/>
      <c r="AD34" s="1195"/>
      <c r="AE34" s="1710"/>
      <c r="AF34" s="1710"/>
      <c r="AG34" s="1655"/>
      <c r="AH34" s="1655"/>
      <c r="AI34" s="535"/>
      <c r="AJ34" s="535"/>
      <c r="AK34" s="535"/>
      <c r="AL34" s="535"/>
    </row>
    <row r="35" spans="1:38" s="536" customFormat="1" ht="12.75">
      <c r="A35" s="553"/>
      <c r="B35" s="452"/>
      <c r="C35" s="1712"/>
      <c r="D35" s="1712"/>
      <c r="E35" s="1712"/>
      <c r="F35" s="1712"/>
      <c r="G35" s="1712"/>
      <c r="H35" s="1712"/>
      <c r="I35" s="1712"/>
      <c r="J35" s="1712"/>
      <c r="K35" s="1712"/>
      <c r="L35" s="1712"/>
      <c r="M35" s="1712"/>
      <c r="N35" s="1712"/>
      <c r="O35" s="1712"/>
      <c r="P35" s="1712"/>
      <c r="Q35" s="1712"/>
      <c r="R35" s="1712"/>
      <c r="S35" s="1712"/>
      <c r="T35" s="1714">
        <f t="shared" si="0"/>
        <v>0</v>
      </c>
      <c r="U35" s="1712"/>
      <c r="V35" s="1712"/>
      <c r="W35" s="1712"/>
      <c r="X35" s="1712"/>
      <c r="Y35" s="1712"/>
      <c r="Z35" s="1712"/>
      <c r="AA35" s="1712"/>
      <c r="AB35" s="1424"/>
      <c r="AC35" s="1195"/>
      <c r="AD35" s="1195"/>
      <c r="AE35" s="1710"/>
      <c r="AF35" s="1710"/>
      <c r="AG35" s="1655"/>
      <c r="AH35" s="1655"/>
      <c r="AI35" s="535"/>
      <c r="AJ35" s="535"/>
      <c r="AK35" s="535"/>
      <c r="AL35" s="535"/>
    </row>
    <row r="36" spans="1:38" s="536" customFormat="1" ht="12.75">
      <c r="A36" s="553"/>
      <c r="B36" s="452"/>
      <c r="C36" s="1712"/>
      <c r="D36" s="1712"/>
      <c r="E36" s="1712"/>
      <c r="F36" s="1712"/>
      <c r="G36" s="1712"/>
      <c r="H36" s="1712"/>
      <c r="I36" s="1712"/>
      <c r="J36" s="1712"/>
      <c r="K36" s="1712"/>
      <c r="L36" s="1712"/>
      <c r="M36" s="1712"/>
      <c r="N36" s="1712"/>
      <c r="O36" s="1712"/>
      <c r="P36" s="1712"/>
      <c r="Q36" s="1712"/>
      <c r="R36" s="1712"/>
      <c r="S36" s="1712"/>
      <c r="T36" s="1714">
        <f t="shared" si="0"/>
        <v>0</v>
      </c>
      <c r="U36" s="1712"/>
      <c r="V36" s="1712"/>
      <c r="W36" s="1712"/>
      <c r="X36" s="1712"/>
      <c r="Y36" s="1712"/>
      <c r="Z36" s="1712"/>
      <c r="AA36" s="1712"/>
      <c r="AB36" s="1424"/>
      <c r="AC36" s="1195"/>
      <c r="AD36" s="1195"/>
      <c r="AE36" s="1710"/>
      <c r="AF36" s="1710"/>
      <c r="AG36" s="1655"/>
      <c r="AH36" s="1655"/>
      <c r="AI36" s="535"/>
      <c r="AJ36" s="535"/>
      <c r="AK36" s="535"/>
      <c r="AL36" s="535"/>
    </row>
    <row r="37" spans="1:38" s="536" customFormat="1" ht="12.75">
      <c r="A37" s="553"/>
      <c r="B37" s="452"/>
      <c r="C37" s="1712"/>
      <c r="D37" s="1712"/>
      <c r="E37" s="1712"/>
      <c r="F37" s="1712"/>
      <c r="G37" s="1712"/>
      <c r="H37" s="1712"/>
      <c r="I37" s="1712"/>
      <c r="J37" s="1712"/>
      <c r="K37" s="1712"/>
      <c r="L37" s="1712"/>
      <c r="M37" s="1712"/>
      <c r="N37" s="1712"/>
      <c r="O37" s="1712"/>
      <c r="P37" s="1712"/>
      <c r="Q37" s="1712"/>
      <c r="R37" s="1712"/>
      <c r="S37" s="1712"/>
      <c r="T37" s="1714">
        <f t="shared" si="0"/>
        <v>0</v>
      </c>
      <c r="U37" s="1712"/>
      <c r="V37" s="1712"/>
      <c r="W37" s="1712"/>
      <c r="X37" s="1712"/>
      <c r="Y37" s="1712"/>
      <c r="Z37" s="1712"/>
      <c r="AA37" s="1712"/>
      <c r="AB37" s="1424"/>
      <c r="AC37" s="1195"/>
      <c r="AD37" s="1195"/>
      <c r="AE37" s="1710"/>
      <c r="AF37" s="1710"/>
      <c r="AG37" s="1655"/>
      <c r="AH37" s="1655"/>
      <c r="AI37" s="535"/>
      <c r="AJ37" s="535"/>
      <c r="AK37" s="535"/>
      <c r="AL37" s="535"/>
    </row>
    <row r="38" spans="1:38" s="536" customFormat="1" ht="12.75">
      <c r="A38" s="553"/>
      <c r="B38" s="452"/>
      <c r="C38" s="1712"/>
      <c r="D38" s="1712"/>
      <c r="E38" s="1712"/>
      <c r="F38" s="1712"/>
      <c r="G38" s="1712"/>
      <c r="H38" s="1712"/>
      <c r="I38" s="1712"/>
      <c r="J38" s="1712"/>
      <c r="K38" s="1712"/>
      <c r="L38" s="1712"/>
      <c r="M38" s="1712"/>
      <c r="N38" s="1712"/>
      <c r="O38" s="1712"/>
      <c r="P38" s="1712"/>
      <c r="Q38" s="1712"/>
      <c r="R38" s="1712"/>
      <c r="S38" s="1712"/>
      <c r="T38" s="1714">
        <f t="shared" si="0"/>
        <v>0</v>
      </c>
      <c r="U38" s="1712"/>
      <c r="V38" s="1712"/>
      <c r="W38" s="1712"/>
      <c r="X38" s="1712"/>
      <c r="Y38" s="1712"/>
      <c r="Z38" s="1712"/>
      <c r="AA38" s="1712"/>
      <c r="AB38" s="1424"/>
      <c r="AC38" s="1195"/>
      <c r="AD38" s="1195"/>
      <c r="AE38" s="1710"/>
      <c r="AF38" s="1710"/>
      <c r="AG38" s="1655"/>
      <c r="AH38" s="1655"/>
      <c r="AI38" s="535"/>
      <c r="AJ38" s="535"/>
      <c r="AK38" s="535"/>
      <c r="AL38" s="535"/>
    </row>
    <row r="39" spans="1:38" s="536" customFormat="1" ht="12.75">
      <c r="A39" s="553"/>
      <c r="B39" s="452"/>
      <c r="C39" s="1712"/>
      <c r="D39" s="1712"/>
      <c r="E39" s="1712"/>
      <c r="F39" s="1712"/>
      <c r="G39" s="1712"/>
      <c r="H39" s="1712"/>
      <c r="I39" s="1712"/>
      <c r="J39" s="1712"/>
      <c r="K39" s="1712"/>
      <c r="L39" s="1712"/>
      <c r="M39" s="1712"/>
      <c r="N39" s="1712"/>
      <c r="O39" s="1712"/>
      <c r="P39" s="1712"/>
      <c r="Q39" s="1712"/>
      <c r="R39" s="1712"/>
      <c r="S39" s="1712"/>
      <c r="T39" s="1714">
        <f t="shared" si="0"/>
        <v>0</v>
      </c>
      <c r="U39" s="1712"/>
      <c r="V39" s="1712"/>
      <c r="W39" s="1712"/>
      <c r="X39" s="1712"/>
      <c r="Y39" s="1712"/>
      <c r="Z39" s="1712"/>
      <c r="AA39" s="1712"/>
      <c r="AB39" s="1424"/>
      <c r="AC39" s="1195"/>
      <c r="AD39" s="1195"/>
      <c r="AE39" s="1710"/>
      <c r="AF39" s="1710"/>
      <c r="AG39" s="1655"/>
      <c r="AH39" s="1655"/>
      <c r="AI39" s="535"/>
      <c r="AJ39" s="535"/>
      <c r="AK39" s="535"/>
      <c r="AL39" s="535"/>
    </row>
    <row r="40" spans="1:38" s="536" customFormat="1" ht="12.75">
      <c r="A40" s="553"/>
      <c r="B40" s="452"/>
      <c r="C40" s="1712"/>
      <c r="D40" s="1712"/>
      <c r="E40" s="1712"/>
      <c r="F40" s="1712"/>
      <c r="G40" s="1712"/>
      <c r="H40" s="1712"/>
      <c r="I40" s="1712"/>
      <c r="J40" s="1712"/>
      <c r="K40" s="1712"/>
      <c r="L40" s="1712"/>
      <c r="M40" s="1712"/>
      <c r="N40" s="1712"/>
      <c r="O40" s="1712"/>
      <c r="P40" s="1712"/>
      <c r="Q40" s="1712"/>
      <c r="R40" s="1712"/>
      <c r="S40" s="1712"/>
      <c r="T40" s="1714">
        <f t="shared" si="0"/>
        <v>0</v>
      </c>
      <c r="U40" s="1712"/>
      <c r="V40" s="1712"/>
      <c r="W40" s="1712"/>
      <c r="X40" s="1712"/>
      <c r="Y40" s="1712"/>
      <c r="Z40" s="1712"/>
      <c r="AA40" s="1712"/>
      <c r="AB40" s="1424"/>
      <c r="AC40" s="1195"/>
      <c r="AD40" s="1195"/>
      <c r="AE40" s="1710"/>
      <c r="AF40" s="1710"/>
      <c r="AG40" s="1655"/>
      <c r="AH40" s="1655"/>
      <c r="AI40" s="535"/>
      <c r="AJ40" s="535"/>
      <c r="AK40" s="535"/>
      <c r="AL40" s="535"/>
    </row>
    <row r="41" spans="1:38" s="536" customFormat="1" ht="12.75">
      <c r="A41" s="553"/>
      <c r="B41" s="452"/>
      <c r="C41" s="1712"/>
      <c r="D41" s="1712"/>
      <c r="E41" s="1712"/>
      <c r="F41" s="1712"/>
      <c r="G41" s="1712"/>
      <c r="H41" s="1712"/>
      <c r="I41" s="1712"/>
      <c r="J41" s="1712"/>
      <c r="K41" s="1712"/>
      <c r="L41" s="1712"/>
      <c r="M41" s="1712"/>
      <c r="N41" s="1712"/>
      <c r="O41" s="1712"/>
      <c r="P41" s="1712"/>
      <c r="Q41" s="1712"/>
      <c r="R41" s="1712"/>
      <c r="S41" s="1712"/>
      <c r="T41" s="1714">
        <f t="shared" si="0"/>
        <v>0</v>
      </c>
      <c r="U41" s="1712"/>
      <c r="V41" s="1712"/>
      <c r="W41" s="1712"/>
      <c r="X41" s="1712"/>
      <c r="Y41" s="1712"/>
      <c r="Z41" s="1712"/>
      <c r="AA41" s="1712"/>
      <c r="AB41" s="1424"/>
      <c r="AC41" s="1195"/>
      <c r="AD41" s="1195"/>
      <c r="AE41" s="1710"/>
      <c r="AF41" s="1710"/>
      <c r="AG41" s="1655"/>
      <c r="AH41" s="1655"/>
      <c r="AI41" s="535"/>
      <c r="AJ41" s="535"/>
      <c r="AK41" s="535"/>
      <c r="AL41" s="535"/>
    </row>
    <row r="42" spans="1:38" s="536" customFormat="1" ht="12.75">
      <c r="A42" s="553"/>
      <c r="B42" s="452"/>
      <c r="C42" s="1712"/>
      <c r="D42" s="1715"/>
      <c r="E42" s="1715"/>
      <c r="F42" s="1715"/>
      <c r="G42" s="1715"/>
      <c r="H42" s="1715"/>
      <c r="I42" s="1716"/>
      <c r="J42" s="1715"/>
      <c r="K42" s="1715"/>
      <c r="L42" s="1715"/>
      <c r="M42" s="1715"/>
      <c r="N42" s="1715"/>
      <c r="O42" s="1715"/>
      <c r="P42" s="1712"/>
      <c r="Q42" s="1715"/>
      <c r="R42" s="1712"/>
      <c r="S42" s="1712"/>
      <c r="T42" s="1714">
        <f t="shared" si="0"/>
        <v>0</v>
      </c>
      <c r="U42" s="1715"/>
      <c r="V42" s="1715"/>
      <c r="W42" s="1715"/>
      <c r="X42" s="1715"/>
      <c r="Y42" s="1715"/>
      <c r="Z42" s="1712"/>
      <c r="AA42" s="1712"/>
      <c r="AB42" s="1424"/>
      <c r="AC42" s="1195"/>
      <c r="AD42" s="1195"/>
      <c r="AE42" s="1710"/>
      <c r="AF42" s="1710"/>
      <c r="AG42" s="1655"/>
      <c r="AH42" s="1655"/>
      <c r="AI42" s="535"/>
      <c r="AJ42" s="535"/>
      <c r="AK42" s="535"/>
      <c r="AL42" s="535"/>
    </row>
    <row r="43" spans="1:38" s="536" customFormat="1" ht="12.75">
      <c r="A43" s="554"/>
      <c r="B43" s="451"/>
      <c r="C43" s="1712"/>
      <c r="D43" s="1715"/>
      <c r="E43" s="1715"/>
      <c r="F43" s="1715"/>
      <c r="G43" s="1715"/>
      <c r="H43" s="1715"/>
      <c r="I43" s="1715"/>
      <c r="J43" s="1715"/>
      <c r="K43" s="1715"/>
      <c r="L43" s="1715"/>
      <c r="M43" s="1715"/>
      <c r="N43" s="1715"/>
      <c r="O43" s="1715"/>
      <c r="P43" s="1712"/>
      <c r="Q43" s="1715"/>
      <c r="R43" s="1712"/>
      <c r="S43" s="1712"/>
      <c r="T43" s="1714">
        <f t="shared" si="0"/>
        <v>0</v>
      </c>
      <c r="U43" s="1715"/>
      <c r="V43" s="1715"/>
      <c r="W43" s="1715"/>
      <c r="X43" s="1715"/>
      <c r="Y43" s="1715"/>
      <c r="Z43" s="1712"/>
      <c r="AA43" s="1712"/>
      <c r="AB43" s="1424"/>
      <c r="AC43" s="1195"/>
      <c r="AD43" s="1195"/>
      <c r="AE43" s="1710"/>
      <c r="AF43" s="1710"/>
      <c r="AG43" s="1655"/>
      <c r="AH43" s="1655"/>
      <c r="AI43" s="535"/>
      <c r="AJ43" s="535"/>
      <c r="AK43" s="535"/>
      <c r="AL43" s="535"/>
    </row>
    <row r="44" spans="1:38" s="536" customFormat="1" ht="12.75">
      <c r="A44" s="554"/>
      <c r="B44" s="451"/>
      <c r="C44" s="1712"/>
      <c r="D44" s="1715"/>
      <c r="E44" s="1715"/>
      <c r="F44" s="1715"/>
      <c r="G44" s="1715"/>
      <c r="H44" s="1715"/>
      <c r="I44" s="1715"/>
      <c r="J44" s="1715"/>
      <c r="K44" s="1715"/>
      <c r="L44" s="1715"/>
      <c r="M44" s="1715"/>
      <c r="N44" s="1715"/>
      <c r="O44" s="1715"/>
      <c r="P44" s="1712"/>
      <c r="Q44" s="1715"/>
      <c r="R44" s="1712"/>
      <c r="S44" s="1712"/>
      <c r="T44" s="1714">
        <f t="shared" si="0"/>
        <v>0</v>
      </c>
      <c r="U44" s="1715"/>
      <c r="V44" s="1715"/>
      <c r="W44" s="1715"/>
      <c r="X44" s="1715"/>
      <c r="Y44" s="1715"/>
      <c r="Z44" s="1712"/>
      <c r="AA44" s="1712"/>
      <c r="AB44" s="1424"/>
      <c r="AC44" s="1195"/>
      <c r="AD44" s="1195"/>
      <c r="AE44" s="1710"/>
      <c r="AF44" s="1710"/>
      <c r="AG44" s="1655"/>
      <c r="AH44" s="1655"/>
      <c r="AI44" s="535"/>
      <c r="AJ44" s="535"/>
      <c r="AK44" s="535"/>
      <c r="AL44" s="535"/>
    </row>
    <row r="45" spans="1:38" s="536" customFormat="1" ht="12.75">
      <c r="A45" s="553"/>
      <c r="B45" s="555"/>
      <c r="C45" s="1712"/>
      <c r="D45" s="1715"/>
      <c r="E45" s="1715"/>
      <c r="F45" s="1715"/>
      <c r="G45" s="1715"/>
      <c r="H45" s="1715"/>
      <c r="I45" s="1715"/>
      <c r="J45" s="1715"/>
      <c r="K45" s="1715"/>
      <c r="L45" s="1715"/>
      <c r="M45" s="1715"/>
      <c r="N45" s="1715"/>
      <c r="O45" s="1715"/>
      <c r="P45" s="1712"/>
      <c r="Q45" s="1715"/>
      <c r="R45" s="1712"/>
      <c r="S45" s="1712"/>
      <c r="T45" s="1714">
        <f t="shared" si="0"/>
        <v>0</v>
      </c>
      <c r="U45" s="1715"/>
      <c r="V45" s="1715"/>
      <c r="W45" s="1715"/>
      <c r="X45" s="1715"/>
      <c r="Y45" s="1715"/>
      <c r="Z45" s="1712"/>
      <c r="AA45" s="1712"/>
      <c r="AB45" s="1424"/>
      <c r="AC45" s="1195"/>
      <c r="AD45" s="1195"/>
      <c r="AE45" s="1710"/>
      <c r="AF45" s="1710"/>
      <c r="AG45" s="1655"/>
      <c r="AH45" s="1655"/>
      <c r="AI45" s="535"/>
      <c r="AJ45" s="535"/>
      <c r="AK45" s="535"/>
      <c r="AL45" s="535"/>
    </row>
    <row r="46" spans="1:38" s="536" customFormat="1" ht="12.75">
      <c r="A46" s="553"/>
      <c r="B46" s="556"/>
      <c r="C46" s="1712"/>
      <c r="D46" s="1715"/>
      <c r="E46" s="1715"/>
      <c r="F46" s="1715"/>
      <c r="G46" s="1715"/>
      <c r="H46" s="1715"/>
      <c r="I46" s="1715"/>
      <c r="J46" s="1715"/>
      <c r="K46" s="1715"/>
      <c r="L46" s="1715"/>
      <c r="M46" s="1715"/>
      <c r="N46" s="1715"/>
      <c r="O46" s="1715"/>
      <c r="P46" s="1712"/>
      <c r="Q46" s="1715"/>
      <c r="R46" s="1712"/>
      <c r="S46" s="1712"/>
      <c r="T46" s="1714">
        <f t="shared" si="0"/>
        <v>0</v>
      </c>
      <c r="U46" s="1715"/>
      <c r="V46" s="1715"/>
      <c r="W46" s="1715"/>
      <c r="X46" s="1715"/>
      <c r="Y46" s="1715"/>
      <c r="Z46" s="1712"/>
      <c r="AA46" s="1712"/>
      <c r="AB46" s="1424"/>
      <c r="AC46" s="1195"/>
      <c r="AD46" s="1195"/>
      <c r="AE46" s="1710"/>
      <c r="AF46" s="1710"/>
      <c r="AG46" s="1655"/>
      <c r="AH46" s="1655"/>
      <c r="AI46" s="535"/>
      <c r="AJ46" s="535"/>
      <c r="AK46" s="535"/>
      <c r="AL46" s="535"/>
    </row>
    <row r="47" spans="1:38" s="536" customFormat="1" ht="12.75">
      <c r="A47" s="553"/>
      <c r="B47" s="451"/>
      <c r="C47" s="1712"/>
      <c r="D47" s="1715"/>
      <c r="E47" s="1715"/>
      <c r="F47" s="1715"/>
      <c r="G47" s="1715"/>
      <c r="H47" s="1715"/>
      <c r="I47" s="1715"/>
      <c r="J47" s="1715"/>
      <c r="K47" s="1715"/>
      <c r="L47" s="1715"/>
      <c r="M47" s="1715"/>
      <c r="N47" s="1715"/>
      <c r="O47" s="1715"/>
      <c r="P47" s="1712"/>
      <c r="Q47" s="1715"/>
      <c r="R47" s="1712"/>
      <c r="S47" s="1712"/>
      <c r="T47" s="1714">
        <f t="shared" si="0"/>
        <v>0</v>
      </c>
      <c r="U47" s="1715"/>
      <c r="V47" s="1715"/>
      <c r="W47" s="1715"/>
      <c r="X47" s="1715"/>
      <c r="Y47" s="1715"/>
      <c r="Z47" s="1712"/>
      <c r="AA47" s="1712"/>
      <c r="AB47" s="1424"/>
      <c r="AC47" s="1195"/>
      <c r="AD47" s="1195"/>
      <c r="AE47" s="1710"/>
      <c r="AF47" s="1710"/>
      <c r="AG47" s="1655"/>
      <c r="AH47" s="1655"/>
      <c r="AI47" s="535"/>
      <c r="AJ47" s="535"/>
      <c r="AK47" s="535"/>
      <c r="AL47" s="535"/>
    </row>
    <row r="48" spans="1:38" s="536" customFormat="1" ht="12.75">
      <c r="A48" s="553"/>
      <c r="B48" s="549"/>
      <c r="C48" s="1712"/>
      <c r="D48" s="1715"/>
      <c r="E48" s="1715"/>
      <c r="F48" s="1715"/>
      <c r="G48" s="1715"/>
      <c r="H48" s="1715"/>
      <c r="I48" s="1715"/>
      <c r="J48" s="1715"/>
      <c r="K48" s="1715"/>
      <c r="L48" s="1715"/>
      <c r="M48" s="1715"/>
      <c r="N48" s="1715"/>
      <c r="O48" s="1715"/>
      <c r="P48" s="1712"/>
      <c r="Q48" s="1715"/>
      <c r="R48" s="1712"/>
      <c r="S48" s="1712"/>
      <c r="T48" s="1714">
        <f t="shared" si="0"/>
        <v>0</v>
      </c>
      <c r="U48" s="1715"/>
      <c r="V48" s="1715"/>
      <c r="W48" s="1715"/>
      <c r="X48" s="1715"/>
      <c r="Y48" s="1715"/>
      <c r="Z48" s="1712"/>
      <c r="AA48" s="1712"/>
      <c r="AB48" s="1424"/>
      <c r="AC48" s="1195"/>
      <c r="AD48" s="1195"/>
      <c r="AE48" s="1710"/>
      <c r="AF48" s="1710"/>
      <c r="AG48" s="1655"/>
      <c r="AH48" s="1655"/>
      <c r="AI48" s="535"/>
      <c r="AJ48" s="535"/>
      <c r="AK48" s="535"/>
      <c r="AL48" s="535"/>
    </row>
    <row r="49" spans="1:38" s="536" customFormat="1" ht="12.75">
      <c r="A49" s="553"/>
      <c r="B49" s="451"/>
      <c r="C49" s="1712"/>
      <c r="D49" s="1715"/>
      <c r="E49" s="1715"/>
      <c r="F49" s="1715"/>
      <c r="G49" s="1715"/>
      <c r="H49" s="1715"/>
      <c r="I49" s="1715"/>
      <c r="J49" s="1715"/>
      <c r="K49" s="1715"/>
      <c r="L49" s="1715"/>
      <c r="M49" s="1715"/>
      <c r="N49" s="1715"/>
      <c r="O49" s="1715"/>
      <c r="P49" s="1712"/>
      <c r="Q49" s="1715"/>
      <c r="R49" s="1712"/>
      <c r="S49" s="1712"/>
      <c r="T49" s="1714">
        <f t="shared" si="0"/>
        <v>0</v>
      </c>
      <c r="U49" s="1715"/>
      <c r="V49" s="1715"/>
      <c r="W49" s="1715"/>
      <c r="X49" s="1715"/>
      <c r="Y49" s="1715"/>
      <c r="Z49" s="1712"/>
      <c r="AA49" s="1712"/>
      <c r="AB49" s="1424"/>
      <c r="AC49" s="1195"/>
      <c r="AD49" s="1195"/>
      <c r="AE49" s="1710"/>
      <c r="AF49" s="1710"/>
      <c r="AG49" s="1655"/>
      <c r="AH49" s="1655"/>
      <c r="AI49" s="535"/>
      <c r="AJ49" s="535"/>
      <c r="AK49" s="535"/>
      <c r="AL49" s="535"/>
    </row>
    <row r="50" spans="1:38" s="536" customFormat="1" ht="12.75">
      <c r="A50" s="553"/>
      <c r="B50" s="451"/>
      <c r="C50" s="1712"/>
      <c r="D50" s="1715"/>
      <c r="E50" s="1715"/>
      <c r="F50" s="1715"/>
      <c r="G50" s="1715"/>
      <c r="H50" s="1715"/>
      <c r="I50" s="1715"/>
      <c r="J50" s="1715"/>
      <c r="K50" s="1715"/>
      <c r="L50" s="1715"/>
      <c r="M50" s="1715"/>
      <c r="N50" s="1715"/>
      <c r="O50" s="1715"/>
      <c r="P50" s="1712"/>
      <c r="Q50" s="1715"/>
      <c r="R50" s="1712"/>
      <c r="S50" s="1712"/>
      <c r="T50" s="1714">
        <f t="shared" si="0"/>
        <v>0</v>
      </c>
      <c r="U50" s="1715"/>
      <c r="V50" s="1715"/>
      <c r="W50" s="1715"/>
      <c r="X50" s="1715"/>
      <c r="Y50" s="1715"/>
      <c r="Z50" s="1712"/>
      <c r="AA50" s="1712"/>
      <c r="AB50" s="1424"/>
      <c r="AC50" s="1195"/>
      <c r="AD50" s="1195"/>
      <c r="AE50" s="1710"/>
      <c r="AF50" s="1710"/>
      <c r="AG50" s="1655"/>
      <c r="AH50" s="1655"/>
      <c r="AI50" s="535"/>
      <c r="AJ50" s="535"/>
      <c r="AK50" s="535"/>
      <c r="AL50" s="535"/>
    </row>
    <row r="51" spans="1:38" s="536" customFormat="1" ht="12.75">
      <c r="A51" s="452"/>
      <c r="B51" s="451"/>
      <c r="C51" s="1715"/>
      <c r="D51" s="1715"/>
      <c r="E51" s="1715"/>
      <c r="F51" s="1715"/>
      <c r="G51" s="1715"/>
      <c r="H51" s="1715"/>
      <c r="I51" s="1715"/>
      <c r="J51" s="1715"/>
      <c r="K51" s="1715"/>
      <c r="L51" s="1715"/>
      <c r="M51" s="1715"/>
      <c r="N51" s="1715"/>
      <c r="O51" s="1715"/>
      <c r="P51" s="1712"/>
      <c r="Q51" s="1715"/>
      <c r="R51" s="1712"/>
      <c r="S51" s="1712"/>
      <c r="T51" s="1714">
        <f t="shared" si="0"/>
        <v>0</v>
      </c>
      <c r="U51" s="1715"/>
      <c r="V51" s="1715"/>
      <c r="W51" s="1715"/>
      <c r="X51" s="1715"/>
      <c r="Y51" s="1715"/>
      <c r="Z51" s="1712"/>
      <c r="AA51" s="1712"/>
      <c r="AB51" s="1424"/>
      <c r="AC51" s="1195"/>
      <c r="AD51" s="1195"/>
      <c r="AE51" s="1710"/>
      <c r="AF51" s="1710"/>
      <c r="AG51" s="1655"/>
      <c r="AH51" s="1655"/>
      <c r="AI51" s="535"/>
      <c r="AJ51" s="535"/>
      <c r="AK51" s="535"/>
      <c r="AL51" s="535"/>
    </row>
    <row r="52" spans="1:38" s="536" customFormat="1" ht="12.75">
      <c r="A52" s="548"/>
      <c r="B52" s="549"/>
      <c r="C52" s="1715"/>
      <c r="D52" s="1715"/>
      <c r="E52" s="1715"/>
      <c r="F52" s="1715"/>
      <c r="G52" s="1715"/>
      <c r="H52" s="1715"/>
      <c r="I52" s="1715"/>
      <c r="J52" s="1715"/>
      <c r="K52" s="1715"/>
      <c r="L52" s="1715"/>
      <c r="M52" s="1715"/>
      <c r="N52" s="1715"/>
      <c r="O52" s="1715"/>
      <c r="P52" s="1712"/>
      <c r="Q52" s="1715"/>
      <c r="R52" s="1716"/>
      <c r="S52" s="1712"/>
      <c r="T52" s="1714">
        <f t="shared" si="0"/>
        <v>0</v>
      </c>
      <c r="U52" s="1715"/>
      <c r="V52" s="1715"/>
      <c r="W52" s="1715"/>
      <c r="X52" s="1715"/>
      <c r="Y52" s="1715"/>
      <c r="Z52" s="1712"/>
      <c r="AA52" s="1716"/>
      <c r="AB52" s="1424"/>
      <c r="AC52" s="1195"/>
      <c r="AD52" s="1195"/>
      <c r="AE52" s="1710"/>
      <c r="AF52" s="1710"/>
      <c r="AG52" s="1655"/>
      <c r="AH52" s="1655"/>
      <c r="AI52" s="535"/>
      <c r="AJ52" s="535"/>
      <c r="AK52" s="535"/>
      <c r="AL52" s="535"/>
    </row>
    <row r="53" spans="1:38" s="536" customFormat="1" ht="12.75">
      <c r="A53" s="550"/>
      <c r="B53" s="451"/>
      <c r="C53" s="1715"/>
      <c r="D53" s="1715"/>
      <c r="E53" s="1715"/>
      <c r="F53" s="1715"/>
      <c r="G53" s="1715"/>
      <c r="H53" s="1715"/>
      <c r="I53" s="1715"/>
      <c r="J53" s="1715"/>
      <c r="K53" s="1715"/>
      <c r="L53" s="1715"/>
      <c r="M53" s="1715"/>
      <c r="N53" s="1715"/>
      <c r="O53" s="1715"/>
      <c r="P53" s="1712"/>
      <c r="Q53" s="1715"/>
      <c r="R53" s="1716"/>
      <c r="S53" s="1716"/>
      <c r="T53" s="1714">
        <f t="shared" si="0"/>
        <v>0</v>
      </c>
      <c r="U53" s="1715"/>
      <c r="V53" s="1715"/>
      <c r="W53" s="1715"/>
      <c r="X53" s="1715"/>
      <c r="Y53" s="1715"/>
      <c r="Z53" s="1712"/>
      <c r="AA53" s="1716"/>
      <c r="AB53" s="1424"/>
      <c r="AC53" s="1195"/>
      <c r="AD53" s="1195"/>
      <c r="AE53" s="1710"/>
      <c r="AF53" s="1710"/>
      <c r="AG53" s="1655"/>
      <c r="AH53" s="1655"/>
      <c r="AI53" s="535"/>
      <c r="AJ53" s="535"/>
      <c r="AK53" s="535"/>
      <c r="AL53" s="535"/>
    </row>
    <row r="54" spans="1:38" s="536" customFormat="1" ht="12.75">
      <c r="A54" s="550"/>
      <c r="B54" s="451"/>
      <c r="C54" s="1715"/>
      <c r="D54" s="1715"/>
      <c r="E54" s="1715"/>
      <c r="F54" s="1715"/>
      <c r="G54" s="1715"/>
      <c r="H54" s="1715"/>
      <c r="I54" s="1715"/>
      <c r="J54" s="1715"/>
      <c r="K54" s="1715"/>
      <c r="L54" s="1715"/>
      <c r="M54" s="1715"/>
      <c r="N54" s="1715"/>
      <c r="O54" s="1715"/>
      <c r="P54" s="1712"/>
      <c r="Q54" s="1715"/>
      <c r="R54" s="1716"/>
      <c r="S54" s="1716"/>
      <c r="T54" s="1714">
        <f t="shared" si="0"/>
        <v>0</v>
      </c>
      <c r="U54" s="1715"/>
      <c r="V54" s="1715"/>
      <c r="W54" s="1715"/>
      <c r="X54" s="1715"/>
      <c r="Y54" s="1715"/>
      <c r="Z54" s="1712"/>
      <c r="AA54" s="1716"/>
      <c r="AB54" s="1424"/>
      <c r="AC54" s="1195"/>
      <c r="AD54" s="1195"/>
      <c r="AE54" s="1710"/>
      <c r="AF54" s="1710"/>
      <c r="AG54" s="1655"/>
      <c r="AH54" s="1655"/>
      <c r="AI54" s="535"/>
      <c r="AJ54" s="535"/>
      <c r="AK54" s="535"/>
      <c r="AL54" s="535"/>
    </row>
    <row r="55" spans="1:38" s="536" customFormat="1" ht="12.75">
      <c r="A55" s="550"/>
      <c r="B55" s="451"/>
      <c r="C55" s="1715"/>
      <c r="D55" s="1715"/>
      <c r="E55" s="1715"/>
      <c r="F55" s="1715"/>
      <c r="G55" s="1715"/>
      <c r="H55" s="1715"/>
      <c r="I55" s="1715"/>
      <c r="J55" s="1715"/>
      <c r="K55" s="1715"/>
      <c r="L55" s="1715"/>
      <c r="M55" s="1715"/>
      <c r="N55" s="1715"/>
      <c r="O55" s="1715"/>
      <c r="P55" s="1712"/>
      <c r="Q55" s="1715"/>
      <c r="R55" s="1716"/>
      <c r="S55" s="1716"/>
      <c r="T55" s="1714">
        <f t="shared" si="0"/>
        <v>0</v>
      </c>
      <c r="U55" s="1715"/>
      <c r="V55" s="1715"/>
      <c r="W55" s="1715"/>
      <c r="X55" s="1715"/>
      <c r="Y55" s="1715"/>
      <c r="Z55" s="1712"/>
      <c r="AA55" s="1716"/>
      <c r="AB55" s="1424"/>
      <c r="AC55" s="1195"/>
      <c r="AD55" s="1195"/>
      <c r="AE55" s="1710"/>
      <c r="AF55" s="1710"/>
      <c r="AG55" s="1655"/>
      <c r="AH55" s="1655"/>
      <c r="AI55" s="535"/>
      <c r="AJ55" s="535"/>
      <c r="AK55" s="535"/>
      <c r="AL55" s="535"/>
    </row>
    <row r="56" spans="1:38" s="536" customFormat="1" ht="12.75">
      <c r="A56" s="550"/>
      <c r="B56" s="451"/>
      <c r="C56" s="1715"/>
      <c r="D56" s="1715"/>
      <c r="E56" s="1715"/>
      <c r="F56" s="1715"/>
      <c r="G56" s="1715"/>
      <c r="H56" s="1715"/>
      <c r="I56" s="1715"/>
      <c r="J56" s="1715"/>
      <c r="K56" s="1715"/>
      <c r="L56" s="1715"/>
      <c r="M56" s="1715"/>
      <c r="N56" s="1715"/>
      <c r="O56" s="1715"/>
      <c r="P56" s="1715"/>
      <c r="Q56" s="1715"/>
      <c r="R56" s="1716"/>
      <c r="S56" s="1716"/>
      <c r="T56" s="1714">
        <f t="shared" si="0"/>
        <v>0</v>
      </c>
      <c r="U56" s="1715"/>
      <c r="V56" s="1715"/>
      <c r="W56" s="1715"/>
      <c r="X56" s="1715"/>
      <c r="Y56" s="1715"/>
      <c r="Z56" s="1715"/>
      <c r="AA56" s="1716"/>
      <c r="AB56" s="1424"/>
      <c r="AC56" s="1195"/>
      <c r="AD56" s="1195"/>
      <c r="AE56" s="1710"/>
      <c r="AF56" s="1710"/>
      <c r="AG56" s="1655"/>
      <c r="AH56" s="1655"/>
      <c r="AI56" s="535"/>
      <c r="AJ56" s="535"/>
      <c r="AK56" s="535"/>
      <c r="AL56" s="535"/>
    </row>
    <row r="57" spans="1:38" s="536" customFormat="1" ht="12.75">
      <c r="A57" s="557"/>
      <c r="B57" s="558" t="s">
        <v>17</v>
      </c>
      <c r="C57" s="1717">
        <f>SUM(C15:C56)</f>
        <v>2483400</v>
      </c>
      <c r="D57" s="1717"/>
      <c r="E57" s="1717"/>
      <c r="F57" s="1717">
        <f>SUM(F14:F23)</f>
        <v>2483400</v>
      </c>
      <c r="G57" s="1717">
        <f t="shared" ref="G57:N57" si="2">SUM(G15:G56)</f>
        <v>2250</v>
      </c>
      <c r="H57" s="1717">
        <f t="shared" si="2"/>
        <v>0</v>
      </c>
      <c r="I57" s="1717">
        <f t="shared" si="2"/>
        <v>627600</v>
      </c>
      <c r="J57" s="1717">
        <f t="shared" si="2"/>
        <v>0</v>
      </c>
      <c r="K57" s="1717">
        <f t="shared" si="2"/>
        <v>0</v>
      </c>
      <c r="L57" s="1717">
        <f t="shared" si="2"/>
        <v>627600</v>
      </c>
      <c r="M57" s="1717">
        <f t="shared" si="2"/>
        <v>0</v>
      </c>
      <c r="N57" s="1717">
        <f t="shared" si="2"/>
        <v>0</v>
      </c>
      <c r="O57" s="1717">
        <f>SUM(O14:O56)</f>
        <v>3</v>
      </c>
      <c r="P57" s="1717">
        <f>SUM(P14:P56)</f>
        <v>627600</v>
      </c>
      <c r="Q57" s="1717">
        <f>SUM(Q14:Q56)</f>
        <v>3</v>
      </c>
      <c r="R57" s="1717">
        <f>SUM(R14:R56)</f>
        <v>627600</v>
      </c>
      <c r="S57" s="1717">
        <f>SUM(S15:S56)</f>
        <v>0</v>
      </c>
      <c r="T57" s="1718">
        <f>SUM(T14:T56)</f>
        <v>0</v>
      </c>
      <c r="U57" s="1717"/>
      <c r="V57" s="1717"/>
      <c r="W57" s="1717">
        <f>SUM(W15:W56)</f>
        <v>627600</v>
      </c>
      <c r="X57" s="1717">
        <f>SUM(X14:X56)</f>
        <v>627600</v>
      </c>
      <c r="Y57" s="1717">
        <f>SUM(Y14:Y56)</f>
        <v>0</v>
      </c>
      <c r="Z57" s="1717">
        <f>SUM(Z14:Z56)</f>
        <v>627600</v>
      </c>
      <c r="AA57" s="1717">
        <f>SUM(AA14:AA56)</f>
        <v>627600</v>
      </c>
      <c r="AB57" s="1717">
        <f>SUM(AB15:AB52)</f>
        <v>627600</v>
      </c>
      <c r="AC57" s="1195"/>
      <c r="AD57" s="1195"/>
      <c r="AE57" s="1719"/>
      <c r="AF57" s="1719">
        <f>SUM(AF14:AF56)</f>
        <v>627600</v>
      </c>
      <c r="AG57" s="1655"/>
      <c r="AH57" s="1655"/>
      <c r="AI57" s="535"/>
      <c r="AJ57" s="535"/>
      <c r="AK57" s="535"/>
      <c r="AL57" s="535"/>
    </row>
    <row r="58" spans="1:38" s="536" customFormat="1" ht="12.75">
      <c r="A58" s="559"/>
      <c r="B58" s="560"/>
      <c r="C58" s="1654"/>
      <c r="D58" s="1654"/>
      <c r="E58" s="1654"/>
      <c r="F58" s="1720"/>
      <c r="G58" s="1720"/>
      <c r="H58" s="1720"/>
      <c r="I58" s="1720"/>
      <c r="J58" s="1720"/>
      <c r="K58" s="1720"/>
      <c r="L58" s="1720"/>
      <c r="M58" s="1720"/>
      <c r="N58" s="1720"/>
      <c r="O58" s="1654"/>
      <c r="P58" s="1720"/>
      <c r="Q58" s="1654"/>
      <c r="R58" s="1654"/>
      <c r="S58" s="1655"/>
      <c r="T58" s="1655"/>
      <c r="U58" s="1654"/>
      <c r="V58" s="1654"/>
      <c r="W58" s="1720"/>
      <c r="X58" s="212"/>
      <c r="Y58" s="212"/>
      <c r="Z58" s="212"/>
      <c r="AA58" s="212"/>
      <c r="AB58" s="212"/>
      <c r="AC58" s="212"/>
      <c r="AD58" s="212"/>
      <c r="AE58" s="212"/>
      <c r="AF58" s="212"/>
      <c r="AG58" s="1655"/>
      <c r="AH58" s="1655"/>
      <c r="AI58" s="535"/>
      <c r="AJ58" s="535"/>
      <c r="AK58" s="535"/>
      <c r="AL58" s="535"/>
    </row>
    <row r="59" spans="1:38" s="536" customFormat="1" ht="12.75">
      <c r="A59" s="559"/>
      <c r="B59" s="560"/>
      <c r="C59" s="1654"/>
      <c r="D59" s="1654"/>
      <c r="E59" s="1654"/>
      <c r="F59" s="1720"/>
      <c r="G59" s="1720"/>
      <c r="H59" s="1720"/>
      <c r="I59" s="1720"/>
      <c r="J59" s="1720"/>
      <c r="K59" s="1720"/>
      <c r="L59" s="1720"/>
      <c r="M59" s="1720"/>
      <c r="N59" s="1720"/>
      <c r="O59" s="1654"/>
      <c r="P59" s="1720"/>
      <c r="Q59" s="1654"/>
      <c r="R59" s="1654"/>
      <c r="S59" s="1655"/>
      <c r="T59" s="1655"/>
      <c r="U59" s="1654"/>
      <c r="V59" s="1654"/>
      <c r="W59" s="1720"/>
      <c r="X59" s="212"/>
      <c r="Y59" s="212"/>
      <c r="Z59" s="212"/>
      <c r="AA59" s="212"/>
      <c r="AB59" s="212"/>
      <c r="AC59" s="212"/>
      <c r="AD59" s="212"/>
      <c r="AE59" s="212"/>
      <c r="AF59" s="212"/>
      <c r="AG59" s="1655"/>
      <c r="AH59" s="1655"/>
      <c r="AI59" s="535"/>
      <c r="AJ59" s="535"/>
      <c r="AK59" s="535"/>
      <c r="AL59" s="535"/>
    </row>
    <row r="60" spans="1:38" s="536" customFormat="1" ht="12.75">
      <c r="A60" s="534"/>
      <c r="B60" s="534"/>
      <c r="C60" s="1654"/>
      <c r="D60" s="1654"/>
      <c r="E60" s="1654"/>
      <c r="F60" s="1720"/>
      <c r="G60" s="1654"/>
      <c r="H60" s="1654"/>
      <c r="I60" s="1654"/>
      <c r="J60" s="1654"/>
      <c r="K60" s="1654"/>
      <c r="L60" s="1654"/>
      <c r="M60" s="1654"/>
      <c r="N60" s="1654"/>
      <c r="O60" s="1654"/>
      <c r="P60" s="1654"/>
      <c r="Q60" s="1655"/>
      <c r="R60" s="1654"/>
      <c r="S60" s="1655"/>
      <c r="T60" s="1655"/>
      <c r="U60" s="1654"/>
      <c r="V60" s="1654"/>
      <c r="W60" s="1720"/>
      <c r="X60" s="212"/>
      <c r="Y60" s="212"/>
      <c r="Z60" s="212"/>
      <c r="AA60" s="212"/>
      <c r="AB60" s="212"/>
      <c r="AC60" s="212"/>
      <c r="AD60" s="212"/>
      <c r="AE60" s="212"/>
      <c r="AF60" s="212"/>
      <c r="AG60" s="1655"/>
      <c r="AH60" s="1655"/>
      <c r="AI60" s="535"/>
      <c r="AJ60" s="535"/>
      <c r="AK60" s="535"/>
      <c r="AL60" s="535"/>
    </row>
    <row r="61" spans="1:38" s="536" customFormat="1" ht="12.75">
      <c r="A61" s="534"/>
      <c r="B61" s="534"/>
      <c r="C61" s="1654"/>
      <c r="D61" s="1654"/>
      <c r="E61" s="1654"/>
      <c r="F61" s="1720"/>
      <c r="G61" s="1654"/>
      <c r="H61" s="1654"/>
      <c r="I61" s="1654"/>
      <c r="J61" s="1654"/>
      <c r="K61" s="1654"/>
      <c r="L61" s="1654"/>
      <c r="M61" s="1654"/>
      <c r="N61" s="1654"/>
      <c r="O61" s="1654"/>
      <c r="P61" s="1654"/>
      <c r="Q61" s="1655"/>
      <c r="R61" s="1654"/>
      <c r="S61" s="1655"/>
      <c r="T61" s="1655"/>
      <c r="U61" s="1654"/>
      <c r="V61" s="1654"/>
      <c r="W61" s="1720"/>
      <c r="X61" s="212"/>
      <c r="Y61" s="212"/>
      <c r="Z61" s="212"/>
      <c r="AA61" s="212"/>
      <c r="AB61" s="212"/>
      <c r="AC61" s="212"/>
      <c r="AD61" s="212"/>
      <c r="AE61" s="212"/>
      <c r="AF61" s="212"/>
      <c r="AG61" s="1655"/>
      <c r="AH61" s="1655"/>
      <c r="AI61" s="535"/>
      <c r="AJ61" s="535"/>
      <c r="AK61" s="535"/>
      <c r="AL61" s="535"/>
    </row>
    <row r="62" spans="1:38" s="536" customFormat="1" ht="12.75">
      <c r="A62" s="534"/>
      <c r="B62" s="534"/>
      <c r="C62" s="1654"/>
      <c r="D62" s="1654"/>
      <c r="E62" s="1654"/>
      <c r="F62" s="1654"/>
      <c r="G62" s="1654"/>
      <c r="H62" s="1654"/>
      <c r="I62" s="1654"/>
      <c r="J62" s="1654"/>
      <c r="K62" s="1654"/>
      <c r="L62" s="1654"/>
      <c r="M62" s="1654"/>
      <c r="N62" s="1654"/>
      <c r="O62" s="1654"/>
      <c r="P62" s="1654"/>
      <c r="Q62" s="1655"/>
      <c r="R62" s="1654"/>
      <c r="S62" s="1655"/>
      <c r="T62" s="1655"/>
      <c r="U62" s="1654"/>
      <c r="V62" s="1654"/>
      <c r="W62" s="1654"/>
      <c r="X62" s="212"/>
      <c r="Y62" s="212"/>
      <c r="Z62" s="212"/>
      <c r="AA62" s="212"/>
      <c r="AB62" s="212"/>
      <c r="AC62" s="212"/>
      <c r="AD62" s="212"/>
      <c r="AE62" s="212"/>
      <c r="AF62" s="212"/>
      <c r="AG62" s="1655"/>
      <c r="AH62" s="1655"/>
      <c r="AI62" s="535"/>
      <c r="AJ62" s="535"/>
      <c r="AK62" s="535"/>
      <c r="AL62" s="535"/>
    </row>
    <row r="63" spans="1:38" s="536" customFormat="1" ht="12.75">
      <c r="A63" s="534"/>
      <c r="B63" s="534"/>
      <c r="C63" s="1654"/>
      <c r="D63" s="1654"/>
      <c r="E63" s="1654"/>
      <c r="F63" s="1721"/>
      <c r="G63" s="1721"/>
      <c r="H63" s="1721"/>
      <c r="I63" s="1721"/>
      <c r="J63" s="1654"/>
      <c r="K63" s="1654"/>
      <c r="L63" s="1654"/>
      <c r="M63" s="1654"/>
      <c r="N63" s="1654"/>
      <c r="O63" s="1654"/>
      <c r="P63" s="1654"/>
      <c r="Q63" s="1655"/>
      <c r="R63" s="1655"/>
      <c r="S63" s="1655"/>
      <c r="T63" s="1655"/>
      <c r="U63" s="1654"/>
      <c r="V63" s="1654"/>
      <c r="W63" s="1721"/>
      <c r="X63" s="212"/>
      <c r="Y63" s="212"/>
      <c r="Z63" s="212"/>
      <c r="AA63" s="212"/>
      <c r="AB63" s="212"/>
      <c r="AC63" s="212"/>
      <c r="AD63" s="212"/>
      <c r="AE63" s="212"/>
      <c r="AF63" s="212"/>
      <c r="AG63" s="1655"/>
      <c r="AH63" s="1655"/>
      <c r="AI63" s="535"/>
      <c r="AJ63" s="535"/>
      <c r="AK63" s="535"/>
      <c r="AL63" s="535"/>
    </row>
    <row r="64" spans="1:38" s="536" customFormat="1" ht="12.75">
      <c r="A64" s="534"/>
      <c r="B64" s="534"/>
      <c r="C64" s="1654"/>
      <c r="D64" s="1654"/>
      <c r="E64" s="1654"/>
      <c r="F64" s="1721"/>
      <c r="G64" s="1721"/>
      <c r="H64" s="1721"/>
      <c r="I64" s="1721"/>
      <c r="J64" s="1654"/>
      <c r="K64" s="1654"/>
      <c r="L64" s="1654"/>
      <c r="M64" s="1654"/>
      <c r="N64" s="1654"/>
      <c r="O64" s="1654"/>
      <c r="P64" s="1654"/>
      <c r="Q64" s="1655"/>
      <c r="R64" s="1655"/>
      <c r="S64" s="1655"/>
      <c r="T64" s="1655"/>
      <c r="U64" s="1654"/>
      <c r="V64" s="1654"/>
      <c r="W64" s="1721"/>
      <c r="X64" s="212"/>
      <c r="Y64" s="212"/>
      <c r="Z64" s="212"/>
      <c r="AA64" s="212"/>
      <c r="AB64" s="212"/>
      <c r="AC64" s="212"/>
      <c r="AD64" s="212"/>
      <c r="AE64" s="212"/>
      <c r="AF64" s="212"/>
      <c r="AG64" s="1655"/>
      <c r="AH64" s="1655"/>
      <c r="AI64" s="535"/>
      <c r="AJ64" s="535"/>
      <c r="AK64" s="535"/>
      <c r="AL64" s="535"/>
    </row>
    <row r="65" spans="1:38" s="536" customFormat="1" ht="12.75">
      <c r="A65" s="534"/>
      <c r="B65" s="534"/>
      <c r="C65" s="1654"/>
      <c r="D65" s="1654"/>
      <c r="E65" s="1654"/>
      <c r="F65" s="1654"/>
      <c r="G65" s="1654"/>
      <c r="H65" s="1654"/>
      <c r="I65" s="1654"/>
      <c r="J65" s="1654"/>
      <c r="K65" s="1654"/>
      <c r="L65" s="1654"/>
      <c r="M65" s="1654"/>
      <c r="N65" s="1654"/>
      <c r="O65" s="1654"/>
      <c r="P65" s="1654"/>
      <c r="Q65" s="1655"/>
      <c r="R65" s="1655"/>
      <c r="S65" s="1655"/>
      <c r="T65" s="1655"/>
      <c r="U65" s="1654"/>
      <c r="V65" s="1654"/>
      <c r="W65" s="1654"/>
      <c r="X65" s="212"/>
      <c r="Y65" s="212"/>
      <c r="Z65" s="212"/>
      <c r="AA65" s="212"/>
      <c r="AB65" s="212"/>
      <c r="AC65" s="212"/>
      <c r="AD65" s="212"/>
      <c r="AE65" s="212"/>
      <c r="AF65" s="212"/>
      <c r="AG65" s="1655"/>
      <c r="AH65" s="1655"/>
      <c r="AI65" s="535"/>
      <c r="AJ65" s="535"/>
      <c r="AK65" s="535"/>
      <c r="AL65" s="535"/>
    </row>
    <row r="66" spans="1:38" s="536" customFormat="1" ht="12.75">
      <c r="A66" s="534"/>
      <c r="B66" s="534"/>
      <c r="C66" s="1654"/>
      <c r="D66" s="1654"/>
      <c r="E66" s="1654"/>
      <c r="F66" s="1654"/>
      <c r="G66" s="1654"/>
      <c r="H66" s="1654"/>
      <c r="I66" s="1654"/>
      <c r="J66" s="1654"/>
      <c r="K66" s="1654"/>
      <c r="L66" s="1654"/>
      <c r="M66" s="1654"/>
      <c r="N66" s="1654"/>
      <c r="O66" s="1654"/>
      <c r="P66" s="1654"/>
      <c r="Q66" s="1655"/>
      <c r="R66" s="1655"/>
      <c r="S66" s="1655"/>
      <c r="T66" s="1655"/>
      <c r="U66" s="1654"/>
      <c r="V66" s="1654"/>
      <c r="W66" s="1654"/>
      <c r="X66" s="212"/>
      <c r="Y66" s="212"/>
      <c r="Z66" s="212"/>
      <c r="AA66" s="212"/>
      <c r="AB66" s="212"/>
      <c r="AC66" s="212"/>
      <c r="AD66" s="212"/>
      <c r="AE66" s="212"/>
      <c r="AF66" s="212"/>
      <c r="AG66" s="1655"/>
      <c r="AH66" s="1655"/>
      <c r="AI66" s="535"/>
      <c r="AJ66" s="535"/>
      <c r="AK66" s="535"/>
      <c r="AL66" s="535"/>
    </row>
    <row r="67" spans="1:38" s="536" customFormat="1" ht="12.75">
      <c r="A67" s="534"/>
      <c r="B67" s="534"/>
      <c r="C67" s="1654"/>
      <c r="D67" s="1654"/>
      <c r="E67" s="1654"/>
      <c r="F67" s="1654"/>
      <c r="G67" s="1654"/>
      <c r="H67" s="1654"/>
      <c r="I67" s="1654"/>
      <c r="J67" s="1654"/>
      <c r="K67" s="1654"/>
      <c r="L67" s="1654"/>
      <c r="M67" s="1654"/>
      <c r="N67" s="1654"/>
      <c r="O67" s="1654"/>
      <c r="P67" s="1654"/>
      <c r="Q67" s="1655"/>
      <c r="R67" s="1655"/>
      <c r="S67" s="1655"/>
      <c r="T67" s="1655"/>
      <c r="U67" s="1654"/>
      <c r="V67" s="1654"/>
      <c r="W67" s="1654"/>
      <c r="X67" s="212"/>
      <c r="Y67" s="212"/>
      <c r="Z67" s="212"/>
      <c r="AA67" s="212"/>
      <c r="AB67" s="212"/>
      <c r="AC67" s="212"/>
      <c r="AD67" s="212"/>
      <c r="AE67" s="212"/>
      <c r="AF67" s="212"/>
      <c r="AG67" s="1655"/>
      <c r="AH67" s="1655"/>
      <c r="AI67" s="535"/>
      <c r="AJ67" s="535"/>
      <c r="AK67" s="535"/>
      <c r="AL67" s="535"/>
    </row>
    <row r="68" spans="1:38" s="536" customFormat="1" ht="12.75">
      <c r="A68" s="534"/>
      <c r="B68" s="534"/>
      <c r="C68" s="1654"/>
      <c r="D68" s="1654"/>
      <c r="E68" s="1654"/>
      <c r="F68" s="1654"/>
      <c r="G68" s="1654"/>
      <c r="H68" s="1654"/>
      <c r="I68" s="1654"/>
      <c r="J68" s="1654"/>
      <c r="K68" s="1654"/>
      <c r="L68" s="1654"/>
      <c r="M68" s="1654"/>
      <c r="N68" s="1654"/>
      <c r="O68" s="1654"/>
      <c r="P68" s="1654"/>
      <c r="Q68" s="1655"/>
      <c r="R68" s="1655"/>
      <c r="S68" s="1655"/>
      <c r="T68" s="1655"/>
      <c r="U68" s="1654"/>
      <c r="V68" s="1654"/>
      <c r="W68" s="1654"/>
      <c r="X68" s="212"/>
      <c r="Y68" s="212"/>
      <c r="Z68" s="212"/>
      <c r="AA68" s="212"/>
      <c r="AB68" s="212"/>
      <c r="AC68" s="212"/>
      <c r="AD68" s="212"/>
      <c r="AE68" s="212"/>
      <c r="AF68" s="212"/>
      <c r="AG68" s="1655"/>
      <c r="AH68" s="1655"/>
      <c r="AI68" s="535"/>
      <c r="AJ68" s="535"/>
      <c r="AK68" s="535"/>
      <c r="AL68" s="535"/>
    </row>
    <row r="69" spans="1:38" s="536" customFormat="1" ht="12.75">
      <c r="A69" s="534"/>
      <c r="B69" s="534"/>
      <c r="C69" s="1654"/>
      <c r="D69" s="1654"/>
      <c r="E69" s="1654"/>
      <c r="F69" s="1654"/>
      <c r="G69" s="1654"/>
      <c r="H69" s="1654"/>
      <c r="I69" s="1654"/>
      <c r="J69" s="1654"/>
      <c r="K69" s="1654"/>
      <c r="L69" s="1654"/>
      <c r="M69" s="1654"/>
      <c r="N69" s="1654"/>
      <c r="O69" s="1654"/>
      <c r="P69" s="1654"/>
      <c r="Q69" s="1655"/>
      <c r="R69" s="1655"/>
      <c r="S69" s="1655"/>
      <c r="T69" s="1655"/>
      <c r="U69" s="1654"/>
      <c r="V69" s="1654"/>
      <c r="W69" s="1654"/>
      <c r="X69" s="212"/>
      <c r="Y69" s="212"/>
      <c r="Z69" s="212"/>
      <c r="AA69" s="212"/>
      <c r="AB69" s="212"/>
      <c r="AC69" s="212"/>
      <c r="AD69" s="212"/>
      <c r="AE69" s="212"/>
      <c r="AF69" s="212"/>
      <c r="AG69" s="1655"/>
      <c r="AH69" s="1655"/>
      <c r="AI69" s="535"/>
      <c r="AJ69" s="535"/>
      <c r="AK69" s="535"/>
      <c r="AL69" s="535"/>
    </row>
    <row r="70" spans="1:38" s="536" customFormat="1" ht="12.75">
      <c r="A70" s="534"/>
      <c r="B70" s="534"/>
      <c r="C70" s="1654"/>
      <c r="D70" s="1654"/>
      <c r="E70" s="1654"/>
      <c r="F70" s="1654"/>
      <c r="G70" s="1654"/>
      <c r="H70" s="1654"/>
      <c r="I70" s="1654"/>
      <c r="J70" s="1654"/>
      <c r="K70" s="1654"/>
      <c r="L70" s="1654"/>
      <c r="M70" s="1654"/>
      <c r="N70" s="1654"/>
      <c r="O70" s="1654"/>
      <c r="P70" s="1654"/>
      <c r="Q70" s="1655"/>
      <c r="R70" s="1655"/>
      <c r="S70" s="1655"/>
      <c r="T70" s="1655"/>
      <c r="U70" s="1654"/>
      <c r="V70" s="1654"/>
      <c r="W70" s="1654"/>
      <c r="X70" s="212"/>
      <c r="Y70" s="212"/>
      <c r="Z70" s="212"/>
      <c r="AA70" s="212"/>
      <c r="AB70" s="212"/>
      <c r="AC70" s="212"/>
      <c r="AD70" s="212"/>
      <c r="AE70" s="212"/>
      <c r="AF70" s="212"/>
      <c r="AG70" s="1655"/>
      <c r="AH70" s="1655"/>
      <c r="AI70" s="535"/>
      <c r="AJ70" s="535"/>
      <c r="AK70" s="535"/>
      <c r="AL70" s="535"/>
    </row>
    <row r="71" spans="1:38" s="536" customFormat="1" ht="12.75">
      <c r="A71" s="534"/>
      <c r="B71" s="534"/>
      <c r="C71" s="1654"/>
      <c r="D71" s="1654"/>
      <c r="E71" s="1654"/>
      <c r="F71" s="1654"/>
      <c r="G71" s="1654"/>
      <c r="H71" s="1654"/>
      <c r="I71" s="1654"/>
      <c r="J71" s="1654"/>
      <c r="K71" s="1654"/>
      <c r="L71" s="1654"/>
      <c r="M71" s="1654"/>
      <c r="N71" s="1654"/>
      <c r="O71" s="1654"/>
      <c r="P71" s="1654"/>
      <c r="Q71" s="1655"/>
      <c r="R71" s="1655"/>
      <c r="S71" s="1655"/>
      <c r="T71" s="1655"/>
      <c r="U71" s="1654"/>
      <c r="V71" s="1654"/>
      <c r="W71" s="1654"/>
      <c r="X71" s="212"/>
      <c r="Y71" s="212"/>
      <c r="Z71" s="212"/>
      <c r="AA71" s="212"/>
      <c r="AB71" s="212"/>
      <c r="AC71" s="212"/>
      <c r="AD71" s="212"/>
      <c r="AE71" s="212"/>
      <c r="AF71" s="212"/>
      <c r="AG71" s="1655"/>
      <c r="AH71" s="1655"/>
      <c r="AI71" s="535"/>
      <c r="AJ71" s="535"/>
      <c r="AK71" s="535"/>
      <c r="AL71" s="535"/>
    </row>
    <row r="72" spans="1:38" s="536" customFormat="1" ht="12.75">
      <c r="A72" s="534"/>
      <c r="B72" s="534"/>
      <c r="C72" s="1654"/>
      <c r="D72" s="1654"/>
      <c r="E72" s="1654"/>
      <c r="F72" s="1654"/>
      <c r="G72" s="1654"/>
      <c r="H72" s="1654"/>
      <c r="I72" s="1654"/>
      <c r="J72" s="1654"/>
      <c r="K72" s="1654"/>
      <c r="L72" s="1654"/>
      <c r="M72" s="1654"/>
      <c r="N72" s="1654"/>
      <c r="O72" s="1654"/>
      <c r="P72" s="1654"/>
      <c r="Q72" s="1655"/>
      <c r="R72" s="1655"/>
      <c r="S72" s="1655"/>
      <c r="T72" s="1655"/>
      <c r="U72" s="1654"/>
      <c r="V72" s="1654"/>
      <c r="W72" s="1654"/>
      <c r="X72" s="212"/>
      <c r="Y72" s="212"/>
      <c r="Z72" s="212"/>
      <c r="AA72" s="212"/>
      <c r="AB72" s="212"/>
      <c r="AC72" s="212"/>
      <c r="AD72" s="212"/>
      <c r="AE72" s="212"/>
      <c r="AF72" s="212"/>
      <c r="AG72" s="1655"/>
      <c r="AH72" s="1655"/>
      <c r="AI72" s="535"/>
      <c r="AJ72" s="535"/>
      <c r="AK72" s="535"/>
      <c r="AL72" s="535"/>
    </row>
    <row r="73" spans="1:38" s="536" customFormat="1" ht="12.75">
      <c r="A73" s="534"/>
      <c r="B73" s="534"/>
      <c r="C73" s="1654"/>
      <c r="D73" s="1654"/>
      <c r="E73" s="1654"/>
      <c r="F73" s="1654"/>
      <c r="G73" s="1654"/>
      <c r="H73" s="1654"/>
      <c r="I73" s="1654"/>
      <c r="J73" s="1654"/>
      <c r="K73" s="1654"/>
      <c r="L73" s="1654"/>
      <c r="M73" s="1654"/>
      <c r="N73" s="1654"/>
      <c r="O73" s="1654"/>
      <c r="P73" s="1654"/>
      <c r="Q73" s="1655"/>
      <c r="R73" s="1655"/>
      <c r="S73" s="1655"/>
      <c r="T73" s="1655"/>
      <c r="U73" s="1654"/>
      <c r="V73" s="1654"/>
      <c r="W73" s="1654"/>
      <c r="X73" s="212"/>
      <c r="Y73" s="212"/>
      <c r="Z73" s="212"/>
      <c r="AA73" s="212"/>
      <c r="AB73" s="212"/>
      <c r="AC73" s="212"/>
      <c r="AD73" s="212"/>
      <c r="AE73" s="212"/>
      <c r="AF73" s="212"/>
      <c r="AG73" s="1655"/>
      <c r="AH73" s="1655"/>
      <c r="AI73" s="535"/>
      <c r="AJ73" s="535"/>
      <c r="AK73" s="535"/>
      <c r="AL73" s="535"/>
    </row>
    <row r="74" spans="1:38" s="536" customFormat="1" ht="12.75">
      <c r="A74" s="534"/>
      <c r="B74" s="534"/>
      <c r="C74" s="1654"/>
      <c r="D74" s="1654"/>
      <c r="E74" s="1654"/>
      <c r="F74" s="1654"/>
      <c r="G74" s="1654"/>
      <c r="H74" s="1654"/>
      <c r="I74" s="1654"/>
      <c r="J74" s="1654"/>
      <c r="K74" s="1654"/>
      <c r="L74" s="1654"/>
      <c r="M74" s="1654"/>
      <c r="N74" s="1654"/>
      <c r="O74" s="1654"/>
      <c r="P74" s="1654"/>
      <c r="Q74" s="1655"/>
      <c r="R74" s="1655"/>
      <c r="S74" s="1655"/>
      <c r="T74" s="1655"/>
      <c r="U74" s="1654"/>
      <c r="V74" s="1654"/>
      <c r="W74" s="1654"/>
      <c r="X74" s="212"/>
      <c r="Y74" s="212"/>
      <c r="Z74" s="212"/>
      <c r="AA74" s="212"/>
      <c r="AB74" s="212"/>
      <c r="AC74" s="212"/>
      <c r="AD74" s="212"/>
      <c r="AE74" s="212"/>
      <c r="AF74" s="212"/>
      <c r="AG74" s="1655"/>
      <c r="AH74" s="1655"/>
      <c r="AI74" s="535"/>
      <c r="AJ74" s="535"/>
      <c r="AK74" s="535"/>
      <c r="AL74" s="535"/>
    </row>
    <row r="75" spans="1:38" s="536" customFormat="1" ht="12.75">
      <c r="A75" s="534"/>
      <c r="B75" s="534"/>
      <c r="C75" s="1654"/>
      <c r="D75" s="1654"/>
      <c r="E75" s="1654"/>
      <c r="F75" s="1654"/>
      <c r="G75" s="1654"/>
      <c r="H75" s="1654"/>
      <c r="I75" s="1654"/>
      <c r="J75" s="1654"/>
      <c r="K75" s="1654"/>
      <c r="L75" s="1654"/>
      <c r="M75" s="1654"/>
      <c r="N75" s="1654"/>
      <c r="O75" s="1654"/>
      <c r="P75" s="1654"/>
      <c r="Q75" s="1655"/>
      <c r="R75" s="1655"/>
      <c r="S75" s="1655"/>
      <c r="T75" s="1655"/>
      <c r="U75" s="1654"/>
      <c r="V75" s="1654"/>
      <c r="W75" s="1654"/>
      <c r="X75" s="212"/>
      <c r="Y75" s="212"/>
      <c r="Z75" s="212"/>
      <c r="AA75" s="212"/>
      <c r="AB75" s="212"/>
      <c r="AC75" s="212"/>
      <c r="AD75" s="212"/>
      <c r="AE75" s="212"/>
      <c r="AF75" s="212"/>
      <c r="AG75" s="1655"/>
      <c r="AH75" s="1655"/>
      <c r="AI75" s="535"/>
      <c r="AJ75" s="535"/>
      <c r="AK75" s="535"/>
      <c r="AL75" s="535"/>
    </row>
    <row r="76" spans="1:38" s="536" customFormat="1" ht="12.75">
      <c r="A76" s="534"/>
      <c r="B76" s="534"/>
      <c r="C76" s="1654"/>
      <c r="D76" s="1654"/>
      <c r="E76" s="1654"/>
      <c r="F76" s="1654"/>
      <c r="G76" s="1654"/>
      <c r="H76" s="1654"/>
      <c r="I76" s="1654"/>
      <c r="J76" s="1654"/>
      <c r="K76" s="1654"/>
      <c r="L76" s="1654"/>
      <c r="M76" s="1654"/>
      <c r="N76" s="1654"/>
      <c r="O76" s="1654"/>
      <c r="P76" s="1654"/>
      <c r="Q76" s="1655"/>
      <c r="R76" s="1655"/>
      <c r="S76" s="1655"/>
      <c r="T76" s="1655"/>
      <c r="U76" s="1654"/>
      <c r="V76" s="1654"/>
      <c r="W76" s="1654"/>
      <c r="X76" s="212"/>
      <c r="Y76" s="212"/>
      <c r="Z76" s="212"/>
      <c r="AA76" s="212"/>
      <c r="AB76" s="212"/>
      <c r="AC76" s="212"/>
      <c r="AD76" s="212"/>
      <c r="AE76" s="212"/>
      <c r="AF76" s="212"/>
      <c r="AG76" s="1655"/>
      <c r="AH76" s="1655"/>
      <c r="AI76" s="535"/>
      <c r="AJ76" s="535"/>
      <c r="AK76" s="535"/>
      <c r="AL76" s="535"/>
    </row>
    <row r="77" spans="1:38" s="536" customFormat="1" ht="12.75">
      <c r="A77" s="534"/>
      <c r="B77" s="534"/>
      <c r="C77" s="1654"/>
      <c r="D77" s="1654"/>
      <c r="E77" s="1654"/>
      <c r="F77" s="1654"/>
      <c r="G77" s="1654"/>
      <c r="H77" s="1654"/>
      <c r="I77" s="1654"/>
      <c r="J77" s="1654"/>
      <c r="K77" s="1654"/>
      <c r="L77" s="1654"/>
      <c r="M77" s="1654"/>
      <c r="N77" s="1654"/>
      <c r="O77" s="1654"/>
      <c r="P77" s="1654"/>
      <c r="Q77" s="1655"/>
      <c r="R77" s="1655"/>
      <c r="S77" s="1655"/>
      <c r="T77" s="1655"/>
      <c r="U77" s="1654"/>
      <c r="V77" s="1654"/>
      <c r="W77" s="1654"/>
      <c r="X77" s="212"/>
      <c r="Y77" s="212"/>
      <c r="Z77" s="212"/>
      <c r="AA77" s="212"/>
      <c r="AB77" s="212"/>
      <c r="AC77" s="212"/>
      <c r="AD77" s="212"/>
      <c r="AE77" s="212"/>
      <c r="AF77" s="212"/>
      <c r="AG77" s="1655"/>
      <c r="AH77" s="1655"/>
      <c r="AI77" s="535"/>
      <c r="AJ77" s="535"/>
      <c r="AK77" s="535"/>
      <c r="AL77" s="535"/>
    </row>
    <row r="78" spans="1:38" s="536" customFormat="1" ht="12.75">
      <c r="A78" s="534"/>
      <c r="B78" s="534"/>
      <c r="C78" s="1654"/>
      <c r="D78" s="1654"/>
      <c r="E78" s="1654"/>
      <c r="F78" s="1654"/>
      <c r="G78" s="1654"/>
      <c r="H78" s="1654"/>
      <c r="I78" s="1654"/>
      <c r="J78" s="1654"/>
      <c r="K78" s="1654"/>
      <c r="L78" s="1654"/>
      <c r="M78" s="1654"/>
      <c r="N78" s="1654"/>
      <c r="O78" s="1654"/>
      <c r="P78" s="1654"/>
      <c r="Q78" s="1655"/>
      <c r="R78" s="1655"/>
      <c r="S78" s="1655"/>
      <c r="T78" s="1655"/>
      <c r="U78" s="1654"/>
      <c r="V78" s="1654"/>
      <c r="W78" s="1654"/>
      <c r="X78" s="212"/>
      <c r="Y78" s="212"/>
      <c r="Z78" s="212"/>
      <c r="AA78" s="212"/>
      <c r="AB78" s="212"/>
      <c r="AC78" s="212"/>
      <c r="AD78" s="212"/>
      <c r="AE78" s="212"/>
      <c r="AF78" s="212"/>
      <c r="AG78" s="1655"/>
      <c r="AH78" s="1655"/>
      <c r="AI78" s="535"/>
      <c r="AJ78" s="535"/>
      <c r="AK78" s="535"/>
      <c r="AL78" s="535"/>
    </row>
    <row r="79" spans="1:38" s="536" customFormat="1" ht="12.75">
      <c r="A79" s="534"/>
      <c r="B79" s="534"/>
      <c r="C79" s="1654"/>
      <c r="D79" s="1654"/>
      <c r="E79" s="1654"/>
      <c r="F79" s="1654"/>
      <c r="G79" s="1654"/>
      <c r="H79" s="1654"/>
      <c r="I79" s="1654"/>
      <c r="J79" s="1654"/>
      <c r="K79" s="1654"/>
      <c r="L79" s="1654"/>
      <c r="M79" s="1654"/>
      <c r="N79" s="1654"/>
      <c r="O79" s="1654"/>
      <c r="P79" s="1654"/>
      <c r="Q79" s="1655"/>
      <c r="R79" s="1655"/>
      <c r="S79" s="1655"/>
      <c r="T79" s="1655"/>
      <c r="U79" s="1654"/>
      <c r="V79" s="1654"/>
      <c r="W79" s="1654"/>
      <c r="X79" s="212"/>
      <c r="Y79" s="212"/>
      <c r="Z79" s="212"/>
      <c r="AA79" s="212"/>
      <c r="AB79" s="212"/>
      <c r="AC79" s="212"/>
      <c r="AD79" s="212"/>
      <c r="AE79" s="212"/>
      <c r="AF79" s="212"/>
      <c r="AG79" s="1655"/>
      <c r="AH79" s="1655"/>
      <c r="AI79" s="535"/>
      <c r="AJ79" s="535"/>
      <c r="AK79" s="535"/>
      <c r="AL79" s="535"/>
    </row>
    <row r="80" spans="1:38" s="536" customFormat="1" ht="12.75">
      <c r="A80" s="534"/>
      <c r="B80" s="534"/>
      <c r="C80" s="1654"/>
      <c r="D80" s="1654"/>
      <c r="E80" s="1654"/>
      <c r="F80" s="1654"/>
      <c r="G80" s="1654"/>
      <c r="H80" s="1654"/>
      <c r="I80" s="1654"/>
      <c r="J80" s="1654"/>
      <c r="K80" s="1654"/>
      <c r="L80" s="1654"/>
      <c r="M80" s="1654"/>
      <c r="N80" s="1654"/>
      <c r="O80" s="1654"/>
      <c r="P80" s="1654"/>
      <c r="Q80" s="1655"/>
      <c r="R80" s="1655"/>
      <c r="S80" s="1655"/>
      <c r="T80" s="1655"/>
      <c r="U80" s="1654"/>
      <c r="V80" s="1654"/>
      <c r="W80" s="1654"/>
      <c r="X80" s="212"/>
      <c r="Y80" s="212"/>
      <c r="Z80" s="212"/>
      <c r="AA80" s="212"/>
      <c r="AB80" s="212"/>
      <c r="AC80" s="212"/>
      <c r="AD80" s="212"/>
      <c r="AE80" s="212"/>
      <c r="AF80" s="212"/>
      <c r="AG80" s="1655"/>
      <c r="AH80" s="1655"/>
      <c r="AI80" s="535"/>
      <c r="AJ80" s="535"/>
      <c r="AK80" s="535"/>
      <c r="AL80" s="535"/>
    </row>
    <row r="81" spans="1:38" s="536" customFormat="1" ht="12.75">
      <c r="A81" s="534"/>
      <c r="B81" s="534"/>
      <c r="C81" s="1654"/>
      <c r="D81" s="1654"/>
      <c r="E81" s="1654"/>
      <c r="F81" s="1654"/>
      <c r="G81" s="1654"/>
      <c r="H81" s="1654"/>
      <c r="I81" s="1654"/>
      <c r="J81" s="1654"/>
      <c r="K81" s="1654"/>
      <c r="L81" s="1654"/>
      <c r="M81" s="1654"/>
      <c r="N81" s="1654"/>
      <c r="O81" s="1654"/>
      <c r="P81" s="1654"/>
      <c r="Q81" s="1655"/>
      <c r="R81" s="1655"/>
      <c r="S81" s="1655"/>
      <c r="T81" s="1655"/>
      <c r="U81" s="1654"/>
      <c r="V81" s="1654"/>
      <c r="W81" s="1654"/>
      <c r="X81" s="212"/>
      <c r="Y81" s="212"/>
      <c r="Z81" s="212"/>
      <c r="AA81" s="212"/>
      <c r="AB81" s="212"/>
      <c r="AC81" s="212"/>
      <c r="AD81" s="212"/>
      <c r="AE81" s="212"/>
      <c r="AF81" s="212"/>
      <c r="AG81" s="1655"/>
      <c r="AH81" s="1655"/>
      <c r="AI81" s="535"/>
      <c r="AJ81" s="535"/>
      <c r="AK81" s="535"/>
      <c r="AL81" s="535"/>
    </row>
    <row r="82" spans="1:38" s="536" customFormat="1" ht="12.75">
      <c r="A82" s="534"/>
      <c r="B82" s="534"/>
      <c r="C82" s="1654"/>
      <c r="D82" s="1654"/>
      <c r="E82" s="1654"/>
      <c r="F82" s="1654"/>
      <c r="G82" s="1654"/>
      <c r="H82" s="1654"/>
      <c r="I82" s="1654"/>
      <c r="J82" s="1654"/>
      <c r="K82" s="1654"/>
      <c r="L82" s="1654"/>
      <c r="M82" s="1654"/>
      <c r="N82" s="1654"/>
      <c r="O82" s="1654"/>
      <c r="P82" s="1654"/>
      <c r="Q82" s="1655"/>
      <c r="R82" s="1655"/>
      <c r="S82" s="1655"/>
      <c r="T82" s="1655"/>
      <c r="U82" s="1654"/>
      <c r="V82" s="1654"/>
      <c r="W82" s="1654"/>
      <c r="X82" s="212"/>
      <c r="Y82" s="212"/>
      <c r="Z82" s="212"/>
      <c r="AA82" s="212"/>
      <c r="AB82" s="212"/>
      <c r="AC82" s="212"/>
      <c r="AD82" s="212"/>
      <c r="AE82" s="212"/>
      <c r="AF82" s="212"/>
      <c r="AG82" s="1655"/>
      <c r="AH82" s="1655"/>
      <c r="AI82" s="535"/>
      <c r="AJ82" s="535"/>
      <c r="AK82" s="535"/>
      <c r="AL82" s="535"/>
    </row>
    <row r="83" spans="1:38" s="536" customFormat="1" ht="12.75">
      <c r="A83" s="534"/>
      <c r="B83" s="534"/>
      <c r="C83" s="1654"/>
      <c r="D83" s="1654"/>
      <c r="E83" s="1654"/>
      <c r="F83" s="1654"/>
      <c r="G83" s="1654"/>
      <c r="H83" s="1654"/>
      <c r="I83" s="1654"/>
      <c r="J83" s="1654"/>
      <c r="K83" s="1654"/>
      <c r="L83" s="1654"/>
      <c r="M83" s="1654"/>
      <c r="N83" s="1654"/>
      <c r="O83" s="1654"/>
      <c r="P83" s="1654"/>
      <c r="Q83" s="1655"/>
      <c r="R83" s="1655"/>
      <c r="S83" s="1655"/>
      <c r="T83" s="1655"/>
      <c r="U83" s="1654"/>
      <c r="V83" s="1654"/>
      <c r="W83" s="1654"/>
      <c r="X83" s="212"/>
      <c r="Y83" s="212"/>
      <c r="Z83" s="212"/>
      <c r="AA83" s="212"/>
      <c r="AB83" s="212"/>
      <c r="AC83" s="212"/>
      <c r="AD83" s="212"/>
      <c r="AE83" s="212"/>
      <c r="AF83" s="212"/>
      <c r="AG83" s="1655"/>
      <c r="AH83" s="1655"/>
      <c r="AI83" s="535"/>
      <c r="AJ83" s="535"/>
      <c r="AK83" s="535"/>
      <c r="AL83" s="535"/>
    </row>
    <row r="84" spans="1:38" s="536" customFormat="1" ht="12.75">
      <c r="A84" s="534"/>
      <c r="B84" s="534"/>
      <c r="C84" s="1654"/>
      <c r="D84" s="1654"/>
      <c r="E84" s="1654"/>
      <c r="F84" s="1654"/>
      <c r="G84" s="1654"/>
      <c r="H84" s="1654"/>
      <c r="I84" s="1654"/>
      <c r="J84" s="1654"/>
      <c r="K84" s="1654"/>
      <c r="L84" s="1654"/>
      <c r="M84" s="1654"/>
      <c r="N84" s="1654"/>
      <c r="O84" s="1654"/>
      <c r="P84" s="1654"/>
      <c r="Q84" s="1655"/>
      <c r="R84" s="1655"/>
      <c r="S84" s="1655"/>
      <c r="T84" s="1655"/>
      <c r="U84" s="1654"/>
      <c r="V84" s="1654"/>
      <c r="W84" s="1654"/>
      <c r="X84" s="212"/>
      <c r="Y84" s="212"/>
      <c r="Z84" s="212"/>
      <c r="AA84" s="212"/>
      <c r="AB84" s="212"/>
      <c r="AC84" s="212"/>
      <c r="AD84" s="212"/>
      <c r="AE84" s="212"/>
      <c r="AF84" s="212"/>
      <c r="AG84" s="1655"/>
      <c r="AH84" s="1655"/>
      <c r="AI84" s="535"/>
      <c r="AJ84" s="535"/>
      <c r="AK84" s="535"/>
      <c r="AL84" s="535"/>
    </row>
    <row r="85" spans="1:38" s="536" customFormat="1" ht="12.75">
      <c r="A85" s="534"/>
      <c r="B85" s="534"/>
      <c r="C85" s="1654"/>
      <c r="D85" s="1654"/>
      <c r="E85" s="1654"/>
      <c r="F85" s="1654"/>
      <c r="G85" s="1654"/>
      <c r="H85" s="1654"/>
      <c r="I85" s="1654"/>
      <c r="J85" s="1654"/>
      <c r="K85" s="1654"/>
      <c r="L85" s="1654"/>
      <c r="M85" s="1654"/>
      <c r="N85" s="1654"/>
      <c r="O85" s="1654"/>
      <c r="P85" s="1654"/>
      <c r="Q85" s="1655"/>
      <c r="R85" s="1655"/>
      <c r="S85" s="1655"/>
      <c r="T85" s="1655"/>
      <c r="U85" s="1654"/>
      <c r="V85" s="1654"/>
      <c r="W85" s="1654"/>
      <c r="X85" s="212"/>
      <c r="Y85" s="212"/>
      <c r="Z85" s="212"/>
      <c r="AA85" s="212"/>
      <c r="AB85" s="212"/>
      <c r="AC85" s="212"/>
      <c r="AD85" s="212"/>
      <c r="AE85" s="212"/>
      <c r="AF85" s="212"/>
      <c r="AG85" s="1655"/>
      <c r="AH85" s="1655"/>
      <c r="AI85" s="535"/>
      <c r="AJ85" s="535"/>
      <c r="AK85" s="535"/>
      <c r="AL85" s="535"/>
    </row>
    <row r="86" spans="1:38" s="536" customFormat="1" ht="12.75">
      <c r="A86" s="534"/>
      <c r="B86" s="534"/>
      <c r="C86" s="1654"/>
      <c r="D86" s="1654"/>
      <c r="E86" s="1654"/>
      <c r="F86" s="1654"/>
      <c r="G86" s="1654"/>
      <c r="H86" s="1654"/>
      <c r="I86" s="1654"/>
      <c r="J86" s="1654"/>
      <c r="K86" s="1654"/>
      <c r="L86" s="1654"/>
      <c r="M86" s="1654"/>
      <c r="N86" s="1654"/>
      <c r="O86" s="1654"/>
      <c r="P86" s="1654"/>
      <c r="Q86" s="1655"/>
      <c r="R86" s="1655"/>
      <c r="S86" s="1655"/>
      <c r="T86" s="1655"/>
      <c r="U86" s="1654"/>
      <c r="V86" s="1654"/>
      <c r="W86" s="1654"/>
      <c r="X86" s="212"/>
      <c r="Y86" s="212"/>
      <c r="Z86" s="212"/>
      <c r="AA86" s="212"/>
      <c r="AB86" s="212"/>
      <c r="AC86" s="212"/>
      <c r="AD86" s="212"/>
      <c r="AE86" s="212"/>
      <c r="AF86" s="212"/>
      <c r="AG86" s="1655"/>
      <c r="AH86" s="1655"/>
      <c r="AI86" s="535"/>
      <c r="AJ86" s="535"/>
      <c r="AK86" s="535"/>
      <c r="AL86" s="535"/>
    </row>
    <row r="87" spans="1:38" s="536" customFormat="1" ht="12.75">
      <c r="A87" s="534"/>
      <c r="B87" s="534"/>
      <c r="C87" s="1654"/>
      <c r="D87" s="1654"/>
      <c r="E87" s="1654"/>
      <c r="F87" s="1654"/>
      <c r="G87" s="1654"/>
      <c r="H87" s="1654"/>
      <c r="I87" s="1654"/>
      <c r="J87" s="1654"/>
      <c r="K87" s="1654"/>
      <c r="L87" s="1654"/>
      <c r="M87" s="1654"/>
      <c r="N87" s="1654"/>
      <c r="O87" s="1654"/>
      <c r="P87" s="1654"/>
      <c r="Q87" s="1655"/>
      <c r="R87" s="1655"/>
      <c r="S87" s="1655"/>
      <c r="T87" s="1655"/>
      <c r="U87" s="1654"/>
      <c r="V87" s="1654"/>
      <c r="W87" s="1654"/>
      <c r="X87" s="212"/>
      <c r="Y87" s="212"/>
      <c r="Z87" s="212"/>
      <c r="AA87" s="212"/>
      <c r="AB87" s="212"/>
      <c r="AC87" s="212"/>
      <c r="AD87" s="212"/>
      <c r="AE87" s="212"/>
      <c r="AF87" s="212"/>
      <c r="AG87" s="1655"/>
      <c r="AH87" s="1655"/>
      <c r="AI87" s="535"/>
      <c r="AJ87" s="535"/>
      <c r="AK87" s="535"/>
      <c r="AL87" s="535"/>
    </row>
    <row r="88" spans="1:38" s="536" customFormat="1" ht="12.75">
      <c r="A88" s="534"/>
      <c r="B88" s="534"/>
      <c r="C88" s="1654"/>
      <c r="D88" s="1654"/>
      <c r="E88" s="1654"/>
      <c r="F88" s="1654"/>
      <c r="G88" s="1654"/>
      <c r="H88" s="1654"/>
      <c r="I88" s="1654"/>
      <c r="J88" s="1654"/>
      <c r="K88" s="1654"/>
      <c r="L88" s="1654"/>
      <c r="M88" s="1654"/>
      <c r="N88" s="1654"/>
      <c r="O88" s="1654"/>
      <c r="P88" s="1654"/>
      <c r="Q88" s="1655"/>
      <c r="R88" s="1655"/>
      <c r="S88" s="1655"/>
      <c r="T88" s="1655"/>
      <c r="U88" s="1654"/>
      <c r="V88" s="1654"/>
      <c r="W88" s="1654"/>
      <c r="X88" s="212"/>
      <c r="Y88" s="212"/>
      <c r="Z88" s="212"/>
      <c r="AA88" s="212"/>
      <c r="AB88" s="212"/>
      <c r="AC88" s="212"/>
      <c r="AD88" s="212"/>
      <c r="AE88" s="212"/>
      <c r="AF88" s="212"/>
      <c r="AG88" s="1655"/>
      <c r="AH88" s="1655"/>
      <c r="AI88" s="535"/>
      <c r="AJ88" s="535"/>
      <c r="AK88" s="535"/>
      <c r="AL88" s="535"/>
    </row>
    <row r="89" spans="1:38" s="536" customFormat="1" ht="12.75">
      <c r="A89" s="534"/>
      <c r="B89" s="534"/>
      <c r="C89" s="1654"/>
      <c r="D89" s="1654"/>
      <c r="E89" s="1654"/>
      <c r="F89" s="1654"/>
      <c r="G89" s="1654"/>
      <c r="H89" s="1654"/>
      <c r="I89" s="1654"/>
      <c r="J89" s="1654"/>
      <c r="K89" s="1654"/>
      <c r="L89" s="1654"/>
      <c r="M89" s="1654"/>
      <c r="N89" s="1654"/>
      <c r="O89" s="1654"/>
      <c r="P89" s="1654"/>
      <c r="Q89" s="1655"/>
      <c r="R89" s="1655"/>
      <c r="S89" s="1655"/>
      <c r="T89" s="1655"/>
      <c r="U89" s="1654"/>
      <c r="V89" s="1654"/>
      <c r="W89" s="1654"/>
      <c r="X89" s="212"/>
      <c r="Y89" s="212"/>
      <c r="Z89" s="212"/>
      <c r="AA89" s="212"/>
      <c r="AB89" s="212"/>
      <c r="AC89" s="212"/>
      <c r="AD89" s="212"/>
      <c r="AE89" s="212"/>
      <c r="AF89" s="212"/>
      <c r="AG89" s="1655"/>
      <c r="AH89" s="1655"/>
      <c r="AI89" s="535"/>
      <c r="AJ89" s="535"/>
      <c r="AK89" s="535"/>
      <c r="AL89" s="535"/>
    </row>
  </sheetData>
  <mergeCells count="9">
    <mergeCell ref="AF8:AF12"/>
    <mergeCell ref="E1:F1"/>
    <mergeCell ref="X8:X12"/>
    <mergeCell ref="Y8:Y12"/>
    <mergeCell ref="AE8:AE12"/>
    <mergeCell ref="AB8:AB12"/>
    <mergeCell ref="U8:W9"/>
    <mergeCell ref="AA8:AA12"/>
    <mergeCell ref="Z8:Z12"/>
  </mergeCell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83</vt:i4>
      </vt:variant>
      <vt:variant>
        <vt:lpstr>Plages nommées</vt:lpstr>
      </vt:variant>
      <vt:variant>
        <vt:i4>50</vt:i4>
      </vt:variant>
    </vt:vector>
  </HeadingPairs>
  <TitlesOfParts>
    <vt:vector size="133" baseType="lpstr">
      <vt:lpstr>Sythèse_Prod au 31-12-15</vt:lpstr>
      <vt:lpstr>201502000_ET</vt:lpstr>
      <vt:lpstr>201501292_ET</vt:lpstr>
      <vt:lpstr>201501266_ET</vt:lpstr>
      <vt:lpstr>201500563_ET</vt:lpstr>
      <vt:lpstr>201500445-DET</vt:lpstr>
      <vt:lpstr>201500468_ET</vt:lpstr>
      <vt:lpstr>201500266_ET</vt:lpstr>
      <vt:lpstr>201401401 _ET</vt:lpstr>
      <vt:lpstr>201401400_ET</vt:lpstr>
      <vt:lpstr>201401290_ET</vt:lpstr>
      <vt:lpstr>201401289_ET</vt:lpstr>
      <vt:lpstr>201401183_ET</vt:lpstr>
      <vt:lpstr>201401079_ET</vt:lpstr>
      <vt:lpstr>201400966_ET</vt:lpstr>
      <vt:lpstr>201400652_ET</vt:lpstr>
      <vt:lpstr>201400520_ET</vt:lpstr>
      <vt:lpstr>201400400_ET</vt:lpstr>
      <vt:lpstr>201400285_ET</vt:lpstr>
      <vt:lpstr>201400270-ET</vt:lpstr>
      <vt:lpstr>201400269-ET</vt:lpstr>
      <vt:lpstr>201400193_ET</vt:lpstr>
      <vt:lpstr>201400181_ET</vt:lpstr>
      <vt:lpstr>201400116_ET</vt:lpstr>
      <vt:lpstr>201400097_ET</vt:lpstr>
      <vt:lpstr>201400015_ET</vt:lpstr>
      <vt:lpstr>201400007_ET</vt:lpstr>
      <vt:lpstr>201301585_ET</vt:lpstr>
      <vt:lpstr>201301466_ET</vt:lpstr>
      <vt:lpstr>201301121_ET</vt:lpstr>
      <vt:lpstr>201301087_ET</vt:lpstr>
      <vt:lpstr>201300767_ET</vt:lpstr>
      <vt:lpstr>201200568_ET</vt:lpstr>
      <vt:lpstr>201200552_ET</vt:lpstr>
      <vt:lpstr>201200551_ET</vt:lpstr>
      <vt:lpstr>201200365_ET</vt:lpstr>
      <vt:lpstr>201200364_ET</vt:lpstr>
      <vt:lpstr>201200077_ET</vt:lpstr>
      <vt:lpstr>201101296_ET</vt:lpstr>
      <vt:lpstr>201101061_ET</vt:lpstr>
      <vt:lpstr>201100884_ET </vt:lpstr>
      <vt:lpstr>201100883_ET</vt:lpstr>
      <vt:lpstr>201100882_ET</vt:lpstr>
      <vt:lpstr>201100790_ET</vt:lpstr>
      <vt:lpstr>201100789_ET</vt:lpstr>
      <vt:lpstr>201100788_ET</vt:lpstr>
      <vt:lpstr>201100787_ET</vt:lpstr>
      <vt:lpstr>201100722_ET</vt:lpstr>
      <vt:lpstr>201100650_ET </vt:lpstr>
      <vt:lpstr>201100576_ET</vt:lpstr>
      <vt:lpstr>201100504_ET</vt:lpstr>
      <vt:lpstr>201100484_ET</vt:lpstr>
      <vt:lpstr>201100483_ET</vt:lpstr>
      <vt:lpstr>201100482_ET </vt:lpstr>
      <vt:lpstr>201100435_ET</vt:lpstr>
      <vt:lpstr>201100350_ET</vt:lpstr>
      <vt:lpstr>201100187_ET</vt:lpstr>
      <vt:lpstr>201001080_ET</vt:lpstr>
      <vt:lpstr>201001028_ET</vt:lpstr>
      <vt:lpstr>201000973_ET</vt:lpstr>
      <vt:lpstr>201000951_ET</vt:lpstr>
      <vt:lpstr>201000949_ET</vt:lpstr>
      <vt:lpstr>201000941_ET</vt:lpstr>
      <vt:lpstr>201000890_ET</vt:lpstr>
      <vt:lpstr>201000825_ET</vt:lpstr>
      <vt:lpstr>201000800_ET</vt:lpstr>
      <vt:lpstr>201000727_ET</vt:lpstr>
      <vt:lpstr>201000713_ET</vt:lpstr>
      <vt:lpstr>201000397_ET</vt:lpstr>
      <vt:lpstr>201000101_ET</vt:lpstr>
      <vt:lpstr>201000072_ET</vt:lpstr>
      <vt:lpstr>201000055_ET</vt:lpstr>
      <vt:lpstr>200900570_ET</vt:lpstr>
      <vt:lpstr>200900304_ET</vt:lpstr>
      <vt:lpstr>200900225_ET</vt:lpstr>
      <vt:lpstr>200900179_ET</vt:lpstr>
      <vt:lpstr>200900140_ET</vt:lpstr>
      <vt:lpstr>200900048-ET</vt:lpstr>
      <vt:lpstr>200900027_ET</vt:lpstr>
      <vt:lpstr>200800724_ET</vt:lpstr>
      <vt:lpstr>200800500_ET</vt:lpstr>
      <vt:lpstr>200800365_ET</vt:lpstr>
      <vt:lpstr>200600317_ET</vt:lpstr>
      <vt:lpstr>E</vt:lpstr>
      <vt:lpstr>'200800365_ET'!Zone_d_impression</vt:lpstr>
      <vt:lpstr>'200900027_ET'!Zone_d_impression</vt:lpstr>
      <vt:lpstr>'200900048-ET'!Zone_d_impression</vt:lpstr>
      <vt:lpstr>'200900140_ET'!Zone_d_impression</vt:lpstr>
      <vt:lpstr>'200900304_ET'!Zone_d_impression</vt:lpstr>
      <vt:lpstr>'201000713_ET'!Zone_d_impression</vt:lpstr>
      <vt:lpstr>'201000941_ET'!Zone_d_impression</vt:lpstr>
      <vt:lpstr>'201000973_ET'!Zone_d_impression</vt:lpstr>
      <vt:lpstr>'201001080_ET'!Zone_d_impression</vt:lpstr>
      <vt:lpstr>'201100435_ET'!Zone_d_impression</vt:lpstr>
      <vt:lpstr>'201100482_ET '!Zone_d_impression</vt:lpstr>
      <vt:lpstr>'201100483_ET'!Zone_d_impression</vt:lpstr>
      <vt:lpstr>'201100484_ET'!Zone_d_impression</vt:lpstr>
      <vt:lpstr>'201100504_ET'!Zone_d_impression</vt:lpstr>
      <vt:lpstr>'201100650_ET '!Zone_d_impression</vt:lpstr>
      <vt:lpstr>'201100722_ET'!Zone_d_impression</vt:lpstr>
      <vt:lpstr>'201100787_ET'!Zone_d_impression</vt:lpstr>
      <vt:lpstr>'201100788_ET'!Zone_d_impression</vt:lpstr>
      <vt:lpstr>'201100789_ET'!Zone_d_impression</vt:lpstr>
      <vt:lpstr>'201100790_ET'!Zone_d_impression</vt:lpstr>
      <vt:lpstr>'201100882_ET'!Zone_d_impression</vt:lpstr>
      <vt:lpstr>'201100883_ET'!Zone_d_impression</vt:lpstr>
      <vt:lpstr>'201100884_ET '!Zone_d_impression</vt:lpstr>
      <vt:lpstr>'201101061_ET'!Zone_d_impression</vt:lpstr>
      <vt:lpstr>'201200552_ET'!Zone_d_impression</vt:lpstr>
      <vt:lpstr>'201301121_ET'!Zone_d_impression</vt:lpstr>
      <vt:lpstr>'201301585_ET'!Zone_d_impression</vt:lpstr>
      <vt:lpstr>'201400007_ET'!Zone_d_impression</vt:lpstr>
      <vt:lpstr>'201400015_ET'!Zone_d_impression</vt:lpstr>
      <vt:lpstr>'201400193_ET'!Zone_d_impression</vt:lpstr>
      <vt:lpstr>'201400269-ET'!Zone_d_impression</vt:lpstr>
      <vt:lpstr>'201400270-ET'!Zone_d_impression</vt:lpstr>
      <vt:lpstr>'201400285_ET'!Zone_d_impression</vt:lpstr>
      <vt:lpstr>'201400400_ET'!Zone_d_impression</vt:lpstr>
      <vt:lpstr>'201400520_ET'!Zone_d_impression</vt:lpstr>
      <vt:lpstr>'201400652_ET'!Zone_d_impression</vt:lpstr>
      <vt:lpstr>'201401183_ET'!Zone_d_impression</vt:lpstr>
      <vt:lpstr>'201401289_ET'!Zone_d_impression</vt:lpstr>
      <vt:lpstr>'201401290_ET'!Zone_d_impression</vt:lpstr>
      <vt:lpstr>'201401400_ET'!Zone_d_impression</vt:lpstr>
      <vt:lpstr>'201401401 _ET'!Zone_d_impression</vt:lpstr>
      <vt:lpstr>'201500266_ET'!Zone_d_impression</vt:lpstr>
      <vt:lpstr>'201500445-DET'!Zone_d_impression</vt:lpstr>
      <vt:lpstr>'201500468_ET'!Zone_d_impression</vt:lpstr>
      <vt:lpstr>'201500563_ET'!Zone_d_impression</vt:lpstr>
      <vt:lpstr>'201501266_ET'!Zone_d_impression</vt:lpstr>
      <vt:lpstr>'201501292_ET'!Zone_d_impression</vt:lpstr>
      <vt:lpstr>'201502000_ET'!Zone_d_impression</vt:lpstr>
      <vt:lpstr>'Sythèse_Prod au 31-12-15'!Zone_d_impression</vt:lpstr>
    </vt:vector>
  </TitlesOfParts>
  <Company>CID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Abdelghani MOUSTAID</dc:creator>
  <cp:lastModifiedBy>Abdelghani MOUSTAID</cp:lastModifiedBy>
  <cp:lastPrinted>2015-11-04T10:08:20Z</cp:lastPrinted>
  <dcterms:created xsi:type="dcterms:W3CDTF">2007-02-04T18:44:15Z</dcterms:created>
  <dcterms:modified xsi:type="dcterms:W3CDTF">2015-11-19T14:16:44Z</dcterms:modified>
</cp:coreProperties>
</file>