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CE89F6A-2E53-473C-BF0E-264CB384D9F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12期" sheetId="3" r:id="rId1"/>
    <sheet name="6期" sheetId="4" r:id="rId2"/>
    <sheet name="收入测算等额本金" sheetId="5" r:id="rId3"/>
    <sheet name="收入测算等额本息" sheetId="6" r:id="rId4"/>
    <sheet name="Sheet1" sheetId="1" state="hidden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6" l="1"/>
  <c r="G4" i="6"/>
  <c r="I10" i="6"/>
  <c r="C11" i="6"/>
  <c r="C12" i="6"/>
  <c r="H11" i="6"/>
  <c r="F11" i="6"/>
  <c r="I11" i="6"/>
  <c r="H12" i="6"/>
  <c r="F12" i="6"/>
  <c r="G12" i="6"/>
  <c r="E12" i="6"/>
  <c r="C13" i="6"/>
  <c r="I12" i="6"/>
  <c r="H13" i="6"/>
  <c r="F13" i="6"/>
  <c r="G13" i="6"/>
  <c r="E13" i="6"/>
  <c r="G11" i="6"/>
  <c r="I28" i="5"/>
  <c r="I29" i="5"/>
  <c r="I27" i="5"/>
  <c r="C14" i="6"/>
  <c r="D14" i="6"/>
  <c r="E11" i="6"/>
  <c r="E10" i="6"/>
  <c r="E14" i="6"/>
  <c r="F14" i="6"/>
  <c r="I3" i="3"/>
  <c r="J7" i="3"/>
  <c r="J7" i="4"/>
  <c r="I13" i="6"/>
  <c r="I19" i="3"/>
  <c r="F4" i="5"/>
  <c r="F8" i="5"/>
  <c r="K26" i="5"/>
  <c r="H27" i="5"/>
  <c r="K27" i="5"/>
  <c r="J28" i="5"/>
  <c r="H28" i="5"/>
  <c r="K28" i="5"/>
  <c r="J29" i="5"/>
  <c r="J27" i="5"/>
  <c r="G28" i="5"/>
  <c r="H29" i="5"/>
  <c r="G29" i="5"/>
  <c r="G27" i="5"/>
  <c r="C6" i="5"/>
  <c r="F52" i="5"/>
  <c r="F7" i="5"/>
  <c r="C8" i="5"/>
  <c r="C7" i="5"/>
  <c r="F3" i="5"/>
  <c r="F6" i="5"/>
  <c r="F5" i="5"/>
  <c r="E39" i="5"/>
  <c r="C41" i="5"/>
  <c r="C42" i="5"/>
  <c r="C43" i="5"/>
  <c r="C44" i="5"/>
  <c r="C45" i="5"/>
  <c r="C46" i="5"/>
  <c r="C47" i="5"/>
  <c r="C40" i="5"/>
  <c r="D40" i="5"/>
  <c r="B40" i="5"/>
  <c r="E40" i="5"/>
  <c r="D41" i="5"/>
  <c r="B41" i="5"/>
  <c r="E41" i="5"/>
  <c r="D42" i="5"/>
  <c r="B42" i="5"/>
  <c r="E42" i="5"/>
  <c r="D43" i="5"/>
  <c r="B43" i="5"/>
  <c r="E43" i="5"/>
  <c r="D44" i="5"/>
  <c r="B44" i="5"/>
  <c r="E44" i="5"/>
  <c r="D45" i="5"/>
  <c r="B45" i="5"/>
  <c r="E45" i="5"/>
  <c r="D46" i="5"/>
  <c r="B46" i="5"/>
  <c r="E46" i="5"/>
  <c r="D47" i="5"/>
  <c r="B47" i="5"/>
  <c r="B48" i="5"/>
  <c r="C48" i="5"/>
  <c r="E47" i="5"/>
  <c r="H40" i="5"/>
  <c r="K39" i="5"/>
  <c r="J40" i="5"/>
  <c r="G40" i="5"/>
  <c r="H41" i="5"/>
  <c r="K40" i="5"/>
  <c r="J41" i="5"/>
  <c r="G41" i="5"/>
  <c r="H42" i="5"/>
  <c r="K41" i="5"/>
  <c r="J42" i="5"/>
  <c r="G42" i="5"/>
  <c r="H43" i="5"/>
  <c r="K42" i="5"/>
  <c r="J43" i="5"/>
  <c r="G43" i="5"/>
  <c r="H44" i="5"/>
  <c r="K43" i="5"/>
  <c r="J44" i="5"/>
  <c r="G44" i="5"/>
  <c r="H45" i="5"/>
  <c r="K44" i="5"/>
  <c r="J45" i="5"/>
  <c r="G45" i="5"/>
  <c r="H46" i="5"/>
  <c r="K45" i="5"/>
  <c r="J46" i="5"/>
  <c r="G46" i="5"/>
  <c r="H47" i="5"/>
  <c r="K46" i="5"/>
  <c r="J47" i="5"/>
  <c r="G47" i="5"/>
  <c r="H48" i="5"/>
  <c r="K47" i="5"/>
  <c r="J48" i="5"/>
  <c r="G48" i="5"/>
  <c r="G49" i="5"/>
  <c r="H49" i="5"/>
  <c r="O28" i="5"/>
  <c r="Q26" i="5"/>
  <c r="O27" i="5"/>
  <c r="Q27" i="5"/>
  <c r="P28" i="5"/>
  <c r="N28" i="5"/>
  <c r="O29" i="5"/>
  <c r="Q28" i="5"/>
  <c r="P29" i="5"/>
  <c r="N29" i="5"/>
  <c r="O30" i="5"/>
  <c r="Q29" i="5"/>
  <c r="P30" i="5"/>
  <c r="N30" i="5"/>
  <c r="O31" i="5"/>
  <c r="Q30" i="5"/>
  <c r="P31" i="5"/>
  <c r="N31" i="5"/>
  <c r="O32" i="5"/>
  <c r="Q31" i="5"/>
  <c r="P32" i="5"/>
  <c r="N32" i="5"/>
  <c r="P27" i="5"/>
  <c r="N27" i="5"/>
  <c r="Q39" i="5"/>
  <c r="K29" i="3"/>
  <c r="J31" i="3"/>
  <c r="J30" i="3"/>
  <c r="I40" i="3"/>
  <c r="D23" i="3"/>
  <c r="D22" i="3"/>
  <c r="P23" i="3"/>
  <c r="P22" i="3"/>
  <c r="E26" i="5"/>
  <c r="G20" i="5"/>
  <c r="J20" i="5"/>
  <c r="K20" i="5"/>
  <c r="G19" i="5"/>
  <c r="J19" i="5"/>
  <c r="K19" i="5"/>
  <c r="C19" i="5"/>
  <c r="D19" i="5"/>
  <c r="F19" i="5"/>
  <c r="J40" i="3"/>
  <c r="J32" i="3"/>
  <c r="J33" i="3"/>
  <c r="J34" i="3"/>
  <c r="J35" i="3"/>
  <c r="J36" i="3"/>
  <c r="J37" i="3"/>
  <c r="J38" i="3"/>
  <c r="I30" i="3"/>
  <c r="I31" i="3"/>
  <c r="I32" i="3"/>
  <c r="I33" i="3"/>
  <c r="I34" i="3"/>
  <c r="I35" i="3"/>
  <c r="I36" i="3"/>
  <c r="I37" i="3"/>
  <c r="I38" i="3"/>
  <c r="C18" i="5"/>
  <c r="D18" i="5"/>
  <c r="F18" i="5"/>
  <c r="C22" i="5"/>
  <c r="D22" i="5"/>
  <c r="F22" i="5"/>
  <c r="C20" i="5"/>
  <c r="C21" i="5"/>
  <c r="G18" i="5"/>
  <c r="J18" i="5"/>
  <c r="K18" i="5"/>
  <c r="G22" i="5"/>
  <c r="J22" i="5"/>
  <c r="K22" i="5"/>
  <c r="G21" i="5"/>
  <c r="J21" i="5"/>
  <c r="K21" i="5"/>
  <c r="P7" i="3"/>
  <c r="D7" i="3"/>
  <c r="D2" i="3"/>
  <c r="O42" i="5"/>
  <c r="O46" i="5"/>
  <c r="O50" i="5"/>
  <c r="O44" i="5"/>
  <c r="O48" i="5"/>
  <c r="O40" i="5"/>
  <c r="O41" i="5"/>
  <c r="O45" i="5"/>
  <c r="O49" i="5"/>
  <c r="O43" i="5"/>
  <c r="O47" i="5"/>
  <c r="O51" i="5"/>
  <c r="P40" i="5"/>
  <c r="C27" i="5"/>
  <c r="N19" i="5"/>
  <c r="N22" i="5"/>
  <c r="N18" i="5"/>
  <c r="D20" i="5"/>
  <c r="F20" i="5"/>
  <c r="N20" i="5"/>
  <c r="D21" i="5"/>
  <c r="F21" i="5"/>
  <c r="N21" i="5"/>
  <c r="D3" i="4"/>
  <c r="E27" i="5"/>
  <c r="N40" i="5"/>
  <c r="Q40" i="5"/>
  <c r="D27" i="5"/>
  <c r="B27" i="5"/>
  <c r="L6" i="4"/>
  <c r="I6" i="4"/>
  <c r="F6" i="4"/>
  <c r="E10" i="4"/>
  <c r="C6" i="4"/>
  <c r="Q8" i="4"/>
  <c r="Q9" i="4"/>
  <c r="Q10" i="4"/>
  <c r="Q11" i="4"/>
  <c r="Q12" i="4"/>
  <c r="Q7" i="4"/>
  <c r="I8" i="4"/>
  <c r="B28" i="5"/>
  <c r="C28" i="5"/>
  <c r="P41" i="5"/>
  <c r="N41" i="5"/>
  <c r="Q41" i="5"/>
  <c r="K29" i="5"/>
  <c r="Q13" i="4"/>
  <c r="E7" i="4"/>
  <c r="F7" i="4"/>
  <c r="E9" i="4"/>
  <c r="E12" i="4"/>
  <c r="E8" i="4"/>
  <c r="E11" i="4"/>
  <c r="D2" i="4"/>
  <c r="B3" i="4"/>
  <c r="D7" i="4"/>
  <c r="E13" i="4"/>
  <c r="I9" i="4"/>
  <c r="K7" i="4"/>
  <c r="B34" i="1"/>
  <c r="C34" i="1"/>
  <c r="C4" i="1"/>
  <c r="C19" i="1"/>
  <c r="D19" i="1"/>
  <c r="B16" i="1"/>
  <c r="B17" i="1"/>
  <c r="D15" i="1"/>
  <c r="D5" i="1"/>
  <c r="K4" i="1"/>
  <c r="L4" i="1"/>
  <c r="M4" i="1"/>
  <c r="K5" i="1"/>
  <c r="L5" i="1"/>
  <c r="E8" i="3"/>
  <c r="E9" i="3"/>
  <c r="E10" i="3"/>
  <c r="E11" i="3"/>
  <c r="E12" i="3"/>
  <c r="E13" i="3"/>
  <c r="E14" i="3"/>
  <c r="E15" i="3"/>
  <c r="E16" i="3"/>
  <c r="E17" i="3"/>
  <c r="E18" i="3"/>
  <c r="E7" i="3"/>
  <c r="B3" i="3"/>
  <c r="P8" i="3"/>
  <c r="P9" i="3"/>
  <c r="I8" i="3"/>
  <c r="K21" i="1"/>
  <c r="L21" i="1"/>
  <c r="M21" i="1"/>
  <c r="O3" i="1"/>
  <c r="J16" i="1"/>
  <c r="G3" i="1"/>
  <c r="D6" i="1"/>
  <c r="K7" i="3"/>
  <c r="C7" i="3"/>
  <c r="D7" i="1"/>
  <c r="D8" i="1"/>
  <c r="D9" i="1"/>
  <c r="D10" i="1"/>
  <c r="D11" i="1"/>
  <c r="D12" i="1"/>
  <c r="D13" i="1"/>
  <c r="D14" i="1"/>
  <c r="Q42" i="5"/>
  <c r="P42" i="5"/>
  <c r="N42" i="5"/>
  <c r="I9" i="3"/>
  <c r="I10" i="3"/>
  <c r="F8" i="4"/>
  <c r="D9" i="4"/>
  <c r="C9" i="4"/>
  <c r="D8" i="4"/>
  <c r="C8" i="4"/>
  <c r="O8" i="3"/>
  <c r="Q8" i="3"/>
  <c r="O12" i="3"/>
  <c r="O16" i="3"/>
  <c r="O9" i="3"/>
  <c r="Q9" i="3"/>
  <c r="O13" i="3"/>
  <c r="O17" i="3"/>
  <c r="O10" i="3"/>
  <c r="O14" i="3"/>
  <c r="O18" i="3"/>
  <c r="O11" i="3"/>
  <c r="O15" i="3"/>
  <c r="O7" i="3"/>
  <c r="Q7" i="3"/>
  <c r="F4" i="1"/>
  <c r="D4" i="1"/>
  <c r="E4" i="1"/>
  <c r="C7" i="4"/>
  <c r="O11" i="4"/>
  <c r="O8" i="4"/>
  <c r="O12" i="4"/>
  <c r="O9" i="4"/>
  <c r="O10" i="4"/>
  <c r="O7" i="4"/>
  <c r="P7" i="4"/>
  <c r="P8" i="4"/>
  <c r="P9" i="4"/>
  <c r="P10" i="4"/>
  <c r="P11" i="4"/>
  <c r="P12" i="4"/>
  <c r="F9" i="4"/>
  <c r="L7" i="4"/>
  <c r="I10" i="4"/>
  <c r="P10" i="3"/>
  <c r="F7" i="3"/>
  <c r="E19" i="3"/>
  <c r="L7" i="3"/>
  <c r="M5" i="1"/>
  <c r="I11" i="3"/>
  <c r="P43" i="5"/>
  <c r="N43" i="5"/>
  <c r="Q43" i="5"/>
  <c r="F5" i="1"/>
  <c r="E5" i="1"/>
  <c r="O13" i="4"/>
  <c r="P13" i="4"/>
  <c r="I11" i="4"/>
  <c r="R7" i="4"/>
  <c r="R8" i="4"/>
  <c r="R9" i="4"/>
  <c r="R10" i="4"/>
  <c r="R11" i="4"/>
  <c r="R12" i="4"/>
  <c r="D10" i="4"/>
  <c r="C10" i="4"/>
  <c r="F10" i="4"/>
  <c r="J8" i="4"/>
  <c r="K8" i="4"/>
  <c r="L8" i="4"/>
  <c r="O19" i="3"/>
  <c r="P19" i="3"/>
  <c r="J8" i="3"/>
  <c r="K6" i="1"/>
  <c r="L6" i="1"/>
  <c r="P11" i="3"/>
  <c r="Q10" i="3"/>
  <c r="R7" i="3"/>
  <c r="R8" i="3"/>
  <c r="R9" i="3"/>
  <c r="I12" i="3"/>
  <c r="D8" i="3"/>
  <c r="F8" i="3"/>
  <c r="Q44" i="5"/>
  <c r="P44" i="5"/>
  <c r="N44" i="5"/>
  <c r="C8" i="3"/>
  <c r="K8" i="3"/>
  <c r="F6" i="1"/>
  <c r="E6" i="1"/>
  <c r="D11" i="4"/>
  <c r="C11" i="4"/>
  <c r="F11" i="4"/>
  <c r="J9" i="4"/>
  <c r="K9" i="4"/>
  <c r="I12" i="4"/>
  <c r="R10" i="3"/>
  <c r="I13" i="3"/>
  <c r="M6" i="1"/>
  <c r="D9" i="3"/>
  <c r="C9" i="3"/>
  <c r="F9" i="3"/>
  <c r="P12" i="3"/>
  <c r="Q11" i="3"/>
  <c r="L8" i="3"/>
  <c r="Q45" i="5"/>
  <c r="P45" i="5"/>
  <c r="N45" i="5"/>
  <c r="Q32" i="5"/>
  <c r="N33" i="5"/>
  <c r="O33" i="5"/>
  <c r="F7" i="1"/>
  <c r="E7" i="1"/>
  <c r="D12" i="4"/>
  <c r="C12" i="4"/>
  <c r="F12" i="4"/>
  <c r="L9" i="4"/>
  <c r="D10" i="3"/>
  <c r="C10" i="3"/>
  <c r="F10" i="3"/>
  <c r="P13" i="3"/>
  <c r="Q12" i="3"/>
  <c r="I14" i="3"/>
  <c r="J9" i="3"/>
  <c r="R11" i="3"/>
  <c r="K7" i="1"/>
  <c r="L7" i="1"/>
  <c r="M7" i="1"/>
  <c r="Q46" i="5"/>
  <c r="P46" i="5"/>
  <c r="N46" i="5"/>
  <c r="K48" i="5"/>
  <c r="K9" i="3"/>
  <c r="L9" i="3"/>
  <c r="J10" i="3"/>
  <c r="E8" i="1"/>
  <c r="F8" i="1"/>
  <c r="J10" i="4"/>
  <c r="K10" i="4"/>
  <c r="L10" i="4"/>
  <c r="F11" i="3"/>
  <c r="D11" i="3"/>
  <c r="K8" i="1"/>
  <c r="L8" i="1"/>
  <c r="M8" i="1"/>
  <c r="I15" i="3"/>
  <c r="R12" i="3"/>
  <c r="P14" i="3"/>
  <c r="Q13" i="3"/>
  <c r="Q47" i="5"/>
  <c r="P47" i="5"/>
  <c r="N47" i="5"/>
  <c r="K10" i="3"/>
  <c r="L10" i="3"/>
  <c r="J11" i="3"/>
  <c r="K11" i="3"/>
  <c r="L11" i="3"/>
  <c r="C11" i="3"/>
  <c r="E9" i="1"/>
  <c r="F9" i="1"/>
  <c r="J11" i="4"/>
  <c r="K11" i="4"/>
  <c r="L11" i="4"/>
  <c r="K9" i="1"/>
  <c r="L9" i="1"/>
  <c r="M9" i="1"/>
  <c r="P15" i="3"/>
  <c r="Q14" i="3"/>
  <c r="R13" i="3"/>
  <c r="I16" i="3"/>
  <c r="F12" i="3"/>
  <c r="D12" i="3"/>
  <c r="C12" i="3"/>
  <c r="Q48" i="5"/>
  <c r="P48" i="5"/>
  <c r="N48" i="5"/>
  <c r="E10" i="1"/>
  <c r="F10" i="1"/>
  <c r="J12" i="4"/>
  <c r="K12" i="4"/>
  <c r="L12" i="4"/>
  <c r="I17" i="3"/>
  <c r="K10" i="1"/>
  <c r="L10" i="1"/>
  <c r="M10" i="1"/>
  <c r="P16" i="3"/>
  <c r="Q15" i="3"/>
  <c r="R14" i="3"/>
  <c r="J12" i="3"/>
  <c r="K12" i="3"/>
  <c r="L12" i="3"/>
  <c r="F13" i="3"/>
  <c r="D13" i="3"/>
  <c r="C13" i="3"/>
  <c r="P49" i="5"/>
  <c r="N49" i="5"/>
  <c r="Q49" i="5"/>
  <c r="F11" i="1"/>
  <c r="E11" i="1"/>
  <c r="R15" i="3"/>
  <c r="J13" i="3"/>
  <c r="K13" i="3"/>
  <c r="L13" i="3"/>
  <c r="K11" i="1"/>
  <c r="L11" i="1"/>
  <c r="M11" i="1"/>
  <c r="F14" i="3"/>
  <c r="D14" i="3"/>
  <c r="C14" i="3"/>
  <c r="I18" i="3"/>
  <c r="J19" i="3"/>
  <c r="P17" i="3"/>
  <c r="Q16" i="3"/>
  <c r="Q50" i="5"/>
  <c r="P50" i="5"/>
  <c r="N50" i="5"/>
  <c r="F12" i="1"/>
  <c r="E12" i="1"/>
  <c r="R16" i="3"/>
  <c r="C13" i="4"/>
  <c r="D13" i="4"/>
  <c r="J14" i="3"/>
  <c r="K14" i="3"/>
  <c r="L14" i="3"/>
  <c r="D15" i="3"/>
  <c r="C15" i="3"/>
  <c r="F15" i="3"/>
  <c r="P18" i="3"/>
  <c r="Q18" i="3"/>
  <c r="Q17" i="3"/>
  <c r="K12" i="1"/>
  <c r="L12" i="1"/>
  <c r="M12" i="1"/>
  <c r="Q51" i="5"/>
  <c r="P51" i="5"/>
  <c r="N51" i="5"/>
  <c r="N52" i="5"/>
  <c r="O52" i="5"/>
  <c r="F13" i="1"/>
  <c r="E13" i="1"/>
  <c r="R17" i="3"/>
  <c r="I13" i="4"/>
  <c r="J13" i="4"/>
  <c r="K13" i="1"/>
  <c r="L13" i="1"/>
  <c r="M13" i="1"/>
  <c r="F16" i="3"/>
  <c r="D16" i="3"/>
  <c r="C16" i="3"/>
  <c r="Q19" i="3"/>
  <c r="J15" i="3"/>
  <c r="K15" i="3"/>
  <c r="L15" i="3"/>
  <c r="F14" i="1"/>
  <c r="E14" i="1"/>
  <c r="E15" i="1"/>
  <c r="J16" i="3"/>
  <c r="K16" i="3"/>
  <c r="L16" i="3"/>
  <c r="K14" i="1"/>
  <c r="L14" i="1"/>
  <c r="M14" i="1"/>
  <c r="F17" i="3"/>
  <c r="D18" i="3"/>
  <c r="D17" i="3"/>
  <c r="C17" i="3"/>
  <c r="C18" i="3"/>
  <c r="C19" i="3"/>
  <c r="D19" i="3"/>
  <c r="K13" i="4"/>
  <c r="K15" i="1"/>
  <c r="L15" i="1"/>
  <c r="L16" i="1"/>
  <c r="M15" i="1"/>
  <c r="J17" i="3"/>
  <c r="K17" i="3"/>
  <c r="L17" i="3"/>
  <c r="J18" i="3"/>
  <c r="K18" i="3"/>
  <c r="K19" i="3"/>
  <c r="J22" i="3"/>
  <c r="J23" i="3"/>
  <c r="G30" i="5"/>
  <c r="H30" i="5"/>
</calcChain>
</file>

<file path=xl/sharedStrings.xml><?xml version="1.0" encoding="utf-8"?>
<sst xmlns="http://schemas.openxmlformats.org/spreadsheetml/2006/main" count="218" uniqueCount="52">
  <si>
    <t>每期还款额</t>
    <phoneticPr fontId="2" type="noConversion"/>
  </si>
  <si>
    <t>每期还本金</t>
    <phoneticPr fontId="2" type="noConversion"/>
  </si>
  <si>
    <t>贷款余额</t>
    <phoneticPr fontId="2" type="noConversion"/>
  </si>
  <si>
    <t>每期付利息</t>
    <phoneticPr fontId="2" type="noConversion"/>
  </si>
  <si>
    <t>每月实际利率</t>
    <phoneticPr fontId="2" type="noConversion"/>
  </si>
  <si>
    <t>年化利率</t>
    <phoneticPr fontId="2" type="noConversion"/>
  </si>
  <si>
    <t>期间</t>
    <phoneticPr fontId="2" type="noConversion"/>
  </si>
  <si>
    <t>月息0.5%</t>
    <phoneticPr fontId="2" type="noConversion"/>
  </si>
  <si>
    <t>等本等息</t>
    <phoneticPr fontId="2" type="noConversion"/>
  </si>
  <si>
    <t>贷款本金</t>
    <phoneticPr fontId="2" type="noConversion"/>
  </si>
  <si>
    <t>等额本金</t>
    <phoneticPr fontId="2" type="noConversion"/>
  </si>
  <si>
    <t>期数</t>
    <phoneticPr fontId="2" type="noConversion"/>
  </si>
  <si>
    <t>本金</t>
    <phoneticPr fontId="2" type="noConversion"/>
  </si>
  <si>
    <t>等额本息</t>
    <phoneticPr fontId="2" type="noConversion"/>
  </si>
  <si>
    <t>利息</t>
    <phoneticPr fontId="2" type="noConversion"/>
  </si>
  <si>
    <t>实际月利率</t>
    <phoneticPr fontId="2" type="noConversion"/>
  </si>
  <si>
    <t>还款本金</t>
    <phoneticPr fontId="2" type="noConversion"/>
  </si>
  <si>
    <t>名义年利率</t>
    <phoneticPr fontId="2" type="noConversion"/>
  </si>
  <si>
    <t>名义月利率</t>
    <phoneticPr fontId="2" type="noConversion"/>
  </si>
  <si>
    <t>月息</t>
    <phoneticPr fontId="2" type="noConversion"/>
  </si>
  <si>
    <t>期数</t>
    <phoneticPr fontId="2" type="noConversion"/>
  </si>
  <si>
    <t>1期</t>
    <phoneticPr fontId="2" type="noConversion"/>
  </si>
  <si>
    <t>6期</t>
    <phoneticPr fontId="2" type="noConversion"/>
  </si>
  <si>
    <t>9期</t>
    <phoneticPr fontId="2" type="noConversion"/>
  </si>
  <si>
    <t>12期</t>
    <phoneticPr fontId="2" type="noConversion"/>
  </si>
  <si>
    <t>人数</t>
    <phoneticPr fontId="2" type="noConversion"/>
  </si>
  <si>
    <t>总贷款金额</t>
    <phoneticPr fontId="2" type="noConversion"/>
  </si>
  <si>
    <t>名义收益率</t>
    <phoneticPr fontId="2" type="noConversion"/>
  </si>
  <si>
    <t>实际收益率</t>
    <phoneticPr fontId="2" type="noConversion"/>
  </si>
  <si>
    <t>实际年化利率</t>
    <phoneticPr fontId="2" type="noConversion"/>
  </si>
  <si>
    <t>名义收入</t>
    <phoneticPr fontId="2" type="noConversion"/>
  </si>
  <si>
    <t>名义损失</t>
    <phoneticPr fontId="2" type="noConversion"/>
  </si>
  <si>
    <t>计息类型</t>
    <phoneticPr fontId="2" type="noConversion"/>
  </si>
  <si>
    <t>人均贷款金额</t>
    <phoneticPr fontId="2" type="noConversion"/>
  </si>
  <si>
    <t>年利率</t>
    <phoneticPr fontId="2" type="noConversion"/>
  </si>
  <si>
    <t>收入</t>
    <phoneticPr fontId="2" type="noConversion"/>
  </si>
  <si>
    <t>名义损失率</t>
    <phoneticPr fontId="2" type="noConversion"/>
  </si>
  <si>
    <t>损益率</t>
    <phoneticPr fontId="2" type="noConversion"/>
  </si>
  <si>
    <t>实际损失率</t>
    <phoneticPr fontId="2" type="noConversion"/>
  </si>
  <si>
    <t>3期</t>
    <phoneticPr fontId="2" type="noConversion"/>
  </si>
  <si>
    <t>收回本金</t>
    <phoneticPr fontId="2" type="noConversion"/>
  </si>
  <si>
    <t>8期</t>
    <phoneticPr fontId="2" type="noConversion"/>
  </si>
  <si>
    <t>实际年化收入</t>
    <phoneticPr fontId="2" type="noConversion"/>
  </si>
  <si>
    <t>资金成本</t>
    <phoneticPr fontId="2" type="noConversion"/>
  </si>
  <si>
    <t>坏账成本</t>
    <phoneticPr fontId="2" type="noConversion"/>
  </si>
  <si>
    <t>数据成本</t>
    <phoneticPr fontId="2" type="noConversion"/>
  </si>
  <si>
    <t>获客成本</t>
    <phoneticPr fontId="2" type="noConversion"/>
  </si>
  <si>
    <t>坏账金额</t>
    <phoneticPr fontId="2" type="noConversion"/>
  </si>
  <si>
    <t>除坏账外成本合计</t>
    <phoneticPr fontId="2" type="noConversion"/>
  </si>
  <si>
    <t>天信实收利息</t>
    <phoneticPr fontId="2" type="noConversion"/>
  </si>
  <si>
    <t>实收利息比例</t>
    <phoneticPr fontId="2" type="noConversion"/>
  </si>
  <si>
    <t>天信每期实收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</si>
</sst>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¥&quot;#,##0.00;[Red]&quot;¥&quot;\-#,##0.00"/>
    <numFmt numFmtId="176" formatCode="0.00_ "/>
    <numFmt numFmtId="177" formatCode="0.0%"/>
    <numFmt numFmtId="178" formatCode="0.0000000%"/>
    <numFmt numFmtId="179" formatCode="0_);[Red]\(0\)"/>
    <numFmt numFmtId="180" formatCode="0_ "/>
    <numFmt numFmtId="181" formatCode="0.0_);[Red]\(0.0\)"/>
    <numFmt numFmtId="182" formatCode="0.00_);[Red]\(0.00\)"/>
    <numFmt numFmtId="183" formatCode="0.0000%"/>
    <numFmt numFmtId="184" formatCode="0.0000000_);[Red]\(0.0000000\)"/>
    <numFmt numFmtId="185" formatCode="0.000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0" fontId="4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10" fontId="3" fillId="0" borderId="0" xfId="0" applyNumberFormat="1" applyFont="1" applyAlignment="1"/>
    <xf numFmtId="9" fontId="4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77" fontId="6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/>
    </xf>
    <xf numFmtId="181" fontId="4" fillId="0" borderId="0" xfId="0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180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9" fontId="8" fillId="0" borderId="0" xfId="0" applyNumberFormat="1" applyFont="1" applyAlignment="1">
      <alignment horizontal="center"/>
    </xf>
    <xf numFmtId="182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0" applyNumberFormat="1" applyFont="1"/>
    <xf numFmtId="0" fontId="10" fillId="0" borderId="0" xfId="0" applyNumberFormat="1" applyFont="1"/>
    <xf numFmtId="177" fontId="9" fillId="0" borderId="0" xfId="1" applyNumberFormat="1" applyFont="1" applyAlignment="1"/>
    <xf numFmtId="10" fontId="9" fillId="0" borderId="0" xfId="1" applyNumberFormat="1" applyFont="1" applyAlignment="1"/>
    <xf numFmtId="10" fontId="9" fillId="0" borderId="0" xfId="0" applyNumberFormat="1" applyFont="1"/>
    <xf numFmtId="183" fontId="9" fillId="0" borderId="0" xfId="0" applyNumberFormat="1" applyFont="1"/>
    <xf numFmtId="184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176" fontId="9" fillId="0" borderId="0" xfId="1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0" fontId="9" fillId="0" borderId="0" xfId="1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7" fontId="9" fillId="0" borderId="0" xfId="1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9" fillId="0" borderId="0" xfId="1" applyFont="1" applyAlignment="1">
      <alignment horizontal="center" vertical="center"/>
    </xf>
    <xf numFmtId="182" fontId="9" fillId="0" borderId="0" xfId="1" applyNumberFormat="1" applyFont="1" applyAlignment="1">
      <alignment horizontal="center" vertical="center"/>
    </xf>
    <xf numFmtId="182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85" fontId="9" fillId="0" borderId="0" xfId="0" applyNumberFormat="1" applyFont="1"/>
    <xf numFmtId="10" fontId="10" fillId="0" borderId="0" xfId="0" applyNumberFormat="1" applyFont="1"/>
    <xf numFmtId="0" fontId="11" fillId="0" borderId="0" xfId="0" applyFont="1"/>
    <xf numFmtId="10" fontId="11" fillId="0" borderId="0" xfId="0" applyNumberFormat="1" applyFont="1"/>
    <xf numFmtId="10" fontId="11" fillId="0" borderId="0" xfId="1" applyNumberFormat="1" applyFont="1" applyAlignment="1"/>
    <xf numFmtId="0" fontId="12" fillId="0" borderId="0" xfId="0" applyFont="1"/>
    <xf numFmtId="10" fontId="12" fillId="0" borderId="0" xfId="0" applyNumberFormat="1" applyFont="1"/>
    <xf numFmtId="0" fontId="11" fillId="0" borderId="0" xfId="0" applyNumberFormat="1" applyFont="1"/>
    <xf numFmtId="180" fontId="9" fillId="0" borderId="0" xfId="0" applyNumberFormat="1" applyFont="1" applyAlignment="1">
      <alignment horizontal="center" vertical="center"/>
    </xf>
    <xf numFmtId="8" fontId="6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 vertical="center"/>
    </xf>
    <xf numFmtId="9" fontId="9" fillId="0" borderId="0" xfId="0" applyNumberFormat="1" applyFont="1"/>
    <xf numFmtId="10" fontId="10" fillId="0" borderId="0" xfId="0" applyNumberFormat="1" applyFont="1" applyAlignment="1">
      <alignment horizontal="center" vertical="center"/>
    </xf>
    <xf numFmtId="10" fontId="10" fillId="0" borderId="0" xfId="1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16</xdr:row>
      <xdr:rowOff>9525</xdr:rowOff>
    </xdr:from>
    <xdr:to>
      <xdr:col>9</xdr:col>
      <xdr:colOff>47625</xdr:colOff>
      <xdr:row>24</xdr:row>
      <xdr:rowOff>28363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1FB6BC-1AFD-4C11-825D-BE0E2654F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3371850"/>
          <a:ext cx="4724400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showGridLines="0" workbookViewId="0">
      <selection activeCell="I3" sqref="I3"/>
    </sheetView>
  </sheetViews>
  <sheetFormatPr defaultColWidth="9" defaultRowHeight="16.5"/>
  <cols>
    <col min="1" max="1" width="6.375" style="8" bestFit="1" customWidth="1"/>
    <col min="2" max="2" width="11.375" style="8" bestFit="1" customWidth="1"/>
    <col min="3" max="4" width="9.625" style="15" bestFit="1" customWidth="1"/>
    <col min="5" max="5" width="9.625" style="8" bestFit="1" customWidth="1"/>
    <col min="6" max="6" width="8" style="8" bestFit="1" customWidth="1"/>
    <col min="7" max="7" width="5.125" style="8" customWidth="1"/>
    <col min="8" max="8" width="8" style="8" bestFit="1" customWidth="1"/>
    <col min="9" max="9" width="12.875" style="8" customWidth="1"/>
    <col min="10" max="10" width="10.375" style="8" bestFit="1" customWidth="1"/>
    <col min="11" max="11" width="11.5" style="8" bestFit="1" customWidth="1"/>
    <col min="12" max="12" width="9.375" style="8" bestFit="1" customWidth="1"/>
    <col min="13" max="13" width="4.375" style="8" customWidth="1"/>
    <col min="14" max="14" width="8" style="8" bestFit="1" customWidth="1"/>
    <col min="15" max="17" width="9.625" style="8" bestFit="1" customWidth="1"/>
    <col min="18" max="18" width="8" style="8" bestFit="1" customWidth="1"/>
    <col min="19" max="16384" width="9" style="8"/>
  </cols>
  <sheetData>
    <row r="1" spans="1:18">
      <c r="A1" s="8" t="s">
        <v>20</v>
      </c>
      <c r="B1" s="8">
        <v>12</v>
      </c>
    </row>
    <row r="2" spans="1:18" s="13" customFormat="1">
      <c r="A2" s="12" t="s">
        <v>12</v>
      </c>
      <c r="B2" s="13">
        <v>12000</v>
      </c>
      <c r="C2" s="12" t="s">
        <v>17</v>
      </c>
      <c r="D2" s="14">
        <f>D3*12</f>
        <v>0.06</v>
      </c>
      <c r="E2" s="12"/>
      <c r="F2" s="12"/>
      <c r="N2" s="8"/>
    </row>
    <row r="3" spans="1:18" s="13" customFormat="1">
      <c r="A3" s="12" t="s">
        <v>14</v>
      </c>
      <c r="B3" s="13">
        <f>B2*D2</f>
        <v>720</v>
      </c>
      <c r="C3" s="12" t="s">
        <v>18</v>
      </c>
      <c r="D3" s="24">
        <v>5.0000000000000001E-3</v>
      </c>
      <c r="E3" s="12"/>
      <c r="F3" s="12"/>
      <c r="I3" s="55">
        <f>PMT(D2/12,B1,-B2)</f>
        <v>1032.7971564849677</v>
      </c>
    </row>
    <row r="4" spans="1:18" s="19" customFormat="1">
      <c r="B4" s="19" t="s">
        <v>10</v>
      </c>
      <c r="C4" s="20"/>
      <c r="D4" s="20"/>
      <c r="H4" s="19" t="s">
        <v>13</v>
      </c>
      <c r="N4" s="19" t="s">
        <v>8</v>
      </c>
    </row>
    <row r="5" spans="1:18">
      <c r="B5" s="1" t="s">
        <v>11</v>
      </c>
      <c r="C5" s="11" t="s">
        <v>0</v>
      </c>
      <c r="D5" s="11" t="s">
        <v>3</v>
      </c>
      <c r="E5" s="3" t="s">
        <v>1</v>
      </c>
      <c r="F5" s="3" t="s">
        <v>2</v>
      </c>
      <c r="H5" s="1" t="s">
        <v>11</v>
      </c>
      <c r="I5" s="11" t="s">
        <v>0</v>
      </c>
      <c r="J5" s="11" t="s">
        <v>3</v>
      </c>
      <c r="K5" s="3" t="s">
        <v>1</v>
      </c>
      <c r="L5" s="3" t="s">
        <v>2</v>
      </c>
      <c r="N5" s="1" t="s">
        <v>11</v>
      </c>
      <c r="O5" s="11" t="s">
        <v>0</v>
      </c>
      <c r="P5" s="11" t="s">
        <v>3</v>
      </c>
      <c r="Q5" s="3" t="s">
        <v>1</v>
      </c>
      <c r="R5" s="3" t="s">
        <v>2</v>
      </c>
    </row>
    <row r="6" spans="1:18">
      <c r="B6" s="8">
        <v>0</v>
      </c>
      <c r="C6" s="18">
        <v>-12000</v>
      </c>
      <c r="F6" s="15">
        <v>12000</v>
      </c>
      <c r="H6" s="8">
        <v>0</v>
      </c>
      <c r="I6" s="18">
        <v>-12000</v>
      </c>
      <c r="J6" s="15"/>
      <c r="L6" s="21">
        <v>12000</v>
      </c>
      <c r="N6" s="8">
        <v>0</v>
      </c>
      <c r="O6" s="18">
        <v>-12000</v>
      </c>
      <c r="P6" s="15"/>
      <c r="R6" s="15">
        <v>12000</v>
      </c>
    </row>
    <row r="7" spans="1:18">
      <c r="B7" s="8">
        <v>1</v>
      </c>
      <c r="C7" s="15">
        <f>D7+E7</f>
        <v>1060</v>
      </c>
      <c r="D7" s="15">
        <f>F6*$D$3</f>
        <v>60</v>
      </c>
      <c r="E7" s="8">
        <f>F$6/12</f>
        <v>1000</v>
      </c>
      <c r="F7" s="15">
        <f>F6-E7</f>
        <v>11000</v>
      </c>
      <c r="H7" s="8">
        <v>1</v>
      </c>
      <c r="I7" s="16">
        <v>1032.8</v>
      </c>
      <c r="J7" s="21">
        <f>L6*$D$3</f>
        <v>60</v>
      </c>
      <c r="K7" s="21">
        <f>I7-J7</f>
        <v>972.8</v>
      </c>
      <c r="L7" s="21">
        <f t="shared" ref="L7:L17" si="0">L6-K7</f>
        <v>11027.2</v>
      </c>
      <c r="N7" s="8">
        <v>1</v>
      </c>
      <c r="O7" s="15">
        <f>($B$2+$B$3)/$B$1</f>
        <v>1060</v>
      </c>
      <c r="P7" s="15">
        <f>R6*D3</f>
        <v>60</v>
      </c>
      <c r="Q7" s="15">
        <f>O7-P7</f>
        <v>1000</v>
      </c>
      <c r="R7" s="15">
        <f>R6-Q7</f>
        <v>11000</v>
      </c>
    </row>
    <row r="8" spans="1:18">
      <c r="B8" s="8">
        <v>2</v>
      </c>
      <c r="C8" s="15">
        <f t="shared" ref="C8:C18" si="1">D8+E8</f>
        <v>1055</v>
      </c>
      <c r="D8" s="15">
        <f t="shared" ref="D8:D18" si="2">F7*$D$3</f>
        <v>55</v>
      </c>
      <c r="E8" s="8">
        <f t="shared" ref="E8:E18" si="3">F$6/12</f>
        <v>1000</v>
      </c>
      <c r="F8" s="15">
        <f t="shared" ref="F8:F17" si="4">F7-E8</f>
        <v>10000</v>
      </c>
      <c r="H8" s="8">
        <v>2</v>
      </c>
      <c r="I8" s="16">
        <f>I7</f>
        <v>1032.8</v>
      </c>
      <c r="J8" s="21">
        <f t="shared" ref="J8:J18" si="5">L7*$D$3</f>
        <v>55.136000000000003</v>
      </c>
      <c r="K8" s="21">
        <f>I8-J8</f>
        <v>977.66399999999999</v>
      </c>
      <c r="L8" s="21">
        <f t="shared" si="0"/>
        <v>10049.536</v>
      </c>
      <c r="N8" s="8">
        <v>2</v>
      </c>
      <c r="O8" s="15">
        <f t="shared" ref="O8:O18" si="6">($B$2+$B$3)/$B$1</f>
        <v>1060</v>
      </c>
      <c r="P8" s="15">
        <f>P7</f>
        <v>60</v>
      </c>
      <c r="Q8" s="15">
        <f t="shared" ref="Q8:Q18" si="7">O8-P8</f>
        <v>1000</v>
      </c>
      <c r="R8" s="15">
        <f t="shared" ref="R8:R17" si="8">R7-Q8</f>
        <v>10000</v>
      </c>
    </row>
    <row r="9" spans="1:18">
      <c r="B9" s="8">
        <v>3</v>
      </c>
      <c r="C9" s="15">
        <f t="shared" si="1"/>
        <v>1050</v>
      </c>
      <c r="D9" s="15">
        <f t="shared" si="2"/>
        <v>50</v>
      </c>
      <c r="E9" s="8">
        <f t="shared" si="3"/>
        <v>1000</v>
      </c>
      <c r="F9" s="15">
        <f t="shared" si="4"/>
        <v>9000</v>
      </c>
      <c r="H9" s="8">
        <v>3</v>
      </c>
      <c r="I9" s="16">
        <f t="shared" ref="I9:I18" si="9">I8</f>
        <v>1032.8</v>
      </c>
      <c r="J9" s="21">
        <f t="shared" si="5"/>
        <v>50.247680000000003</v>
      </c>
      <c r="K9" s="21">
        <f t="shared" ref="K9:K18" si="10">I9-J9</f>
        <v>982.55232000000001</v>
      </c>
      <c r="L9" s="21">
        <f t="shared" si="0"/>
        <v>9066.9836799999994</v>
      </c>
      <c r="N9" s="8">
        <v>3</v>
      </c>
      <c r="O9" s="15">
        <f t="shared" si="6"/>
        <v>1060</v>
      </c>
      <c r="P9" s="15">
        <f t="shared" ref="P9:P18" si="11">P8</f>
        <v>60</v>
      </c>
      <c r="Q9" s="15">
        <f t="shared" si="7"/>
        <v>1000</v>
      </c>
      <c r="R9" s="15">
        <f t="shared" si="8"/>
        <v>9000</v>
      </c>
    </row>
    <row r="10" spans="1:18">
      <c r="B10" s="8">
        <v>4</v>
      </c>
      <c r="C10" s="15">
        <f t="shared" si="1"/>
        <v>1045</v>
      </c>
      <c r="D10" s="15">
        <f t="shared" si="2"/>
        <v>45</v>
      </c>
      <c r="E10" s="8">
        <f t="shared" si="3"/>
        <v>1000</v>
      </c>
      <c r="F10" s="15">
        <f t="shared" si="4"/>
        <v>8000</v>
      </c>
      <c r="H10" s="8">
        <v>4</v>
      </c>
      <c r="I10" s="16">
        <f t="shared" si="9"/>
        <v>1032.8</v>
      </c>
      <c r="J10" s="21">
        <f t="shared" si="5"/>
        <v>45.334918399999999</v>
      </c>
      <c r="K10" s="21">
        <f t="shared" si="10"/>
        <v>987.46508159999996</v>
      </c>
      <c r="L10" s="21">
        <f t="shared" si="0"/>
        <v>8079.5185983999991</v>
      </c>
      <c r="N10" s="8">
        <v>4</v>
      </c>
      <c r="O10" s="15">
        <f t="shared" si="6"/>
        <v>1060</v>
      </c>
      <c r="P10" s="15">
        <f t="shared" si="11"/>
        <v>60</v>
      </c>
      <c r="Q10" s="15">
        <f t="shared" si="7"/>
        <v>1000</v>
      </c>
      <c r="R10" s="15">
        <f t="shared" si="8"/>
        <v>8000</v>
      </c>
    </row>
    <row r="11" spans="1:18">
      <c r="B11" s="8">
        <v>5</v>
      </c>
      <c r="C11" s="15">
        <f t="shared" si="1"/>
        <v>1040</v>
      </c>
      <c r="D11" s="15">
        <f t="shared" si="2"/>
        <v>40</v>
      </c>
      <c r="E11" s="8">
        <f t="shared" si="3"/>
        <v>1000</v>
      </c>
      <c r="F11" s="15">
        <f t="shared" si="4"/>
        <v>7000</v>
      </c>
      <c r="H11" s="8">
        <v>5</v>
      </c>
      <c r="I11" s="16">
        <f t="shared" si="9"/>
        <v>1032.8</v>
      </c>
      <c r="J11" s="21">
        <f t="shared" si="5"/>
        <v>40.397592991999993</v>
      </c>
      <c r="K11" s="21">
        <f t="shared" si="10"/>
        <v>992.40240700799995</v>
      </c>
      <c r="L11" s="21">
        <f t="shared" si="0"/>
        <v>7087.1161913919987</v>
      </c>
      <c r="N11" s="8">
        <v>5</v>
      </c>
      <c r="O11" s="15">
        <f t="shared" si="6"/>
        <v>1060</v>
      </c>
      <c r="P11" s="15">
        <f t="shared" si="11"/>
        <v>60</v>
      </c>
      <c r="Q11" s="15">
        <f t="shared" si="7"/>
        <v>1000</v>
      </c>
      <c r="R11" s="15">
        <f t="shared" si="8"/>
        <v>7000</v>
      </c>
    </row>
    <row r="12" spans="1:18">
      <c r="B12" s="8">
        <v>6</v>
      </c>
      <c r="C12" s="15">
        <f t="shared" si="1"/>
        <v>1035</v>
      </c>
      <c r="D12" s="15">
        <f t="shared" si="2"/>
        <v>35</v>
      </c>
      <c r="E12" s="8">
        <f t="shared" si="3"/>
        <v>1000</v>
      </c>
      <c r="F12" s="15">
        <f t="shared" si="4"/>
        <v>6000</v>
      </c>
      <c r="H12" s="8">
        <v>6</v>
      </c>
      <c r="I12" s="16">
        <f t="shared" si="9"/>
        <v>1032.8</v>
      </c>
      <c r="J12" s="21">
        <f t="shared" si="5"/>
        <v>35.435580956959996</v>
      </c>
      <c r="K12" s="21">
        <f t="shared" si="10"/>
        <v>997.36441904304002</v>
      </c>
      <c r="L12" s="21">
        <f t="shared" si="0"/>
        <v>6089.7517723489582</v>
      </c>
      <c r="N12" s="8">
        <v>6</v>
      </c>
      <c r="O12" s="15">
        <f t="shared" si="6"/>
        <v>1060</v>
      </c>
      <c r="P12" s="15">
        <f t="shared" si="11"/>
        <v>60</v>
      </c>
      <c r="Q12" s="15">
        <f t="shared" si="7"/>
        <v>1000</v>
      </c>
      <c r="R12" s="15">
        <f t="shared" si="8"/>
        <v>6000</v>
      </c>
    </row>
    <row r="13" spans="1:18">
      <c r="B13" s="8">
        <v>7</v>
      </c>
      <c r="C13" s="15">
        <f t="shared" si="1"/>
        <v>1030</v>
      </c>
      <c r="D13" s="15">
        <f t="shared" si="2"/>
        <v>30</v>
      </c>
      <c r="E13" s="8">
        <f t="shared" si="3"/>
        <v>1000</v>
      </c>
      <c r="F13" s="15">
        <f t="shared" si="4"/>
        <v>5000</v>
      </c>
      <c r="H13" s="8">
        <v>7</v>
      </c>
      <c r="I13" s="16">
        <f t="shared" si="9"/>
        <v>1032.8</v>
      </c>
      <c r="J13" s="21">
        <f t="shared" si="5"/>
        <v>30.448758861744793</v>
      </c>
      <c r="K13" s="21">
        <f t="shared" si="10"/>
        <v>1002.3512411382552</v>
      </c>
      <c r="L13" s="21">
        <f t="shared" si="0"/>
        <v>5087.4005312107029</v>
      </c>
      <c r="N13" s="8">
        <v>7</v>
      </c>
      <c r="O13" s="15">
        <f t="shared" si="6"/>
        <v>1060</v>
      </c>
      <c r="P13" s="15">
        <f t="shared" si="11"/>
        <v>60</v>
      </c>
      <c r="Q13" s="15">
        <f t="shared" si="7"/>
        <v>1000</v>
      </c>
      <c r="R13" s="15">
        <f t="shared" si="8"/>
        <v>5000</v>
      </c>
    </row>
    <row r="14" spans="1:18">
      <c r="B14" s="8">
        <v>8</v>
      </c>
      <c r="C14" s="15">
        <f t="shared" si="1"/>
        <v>1025</v>
      </c>
      <c r="D14" s="15">
        <f t="shared" si="2"/>
        <v>25</v>
      </c>
      <c r="E14" s="8">
        <f t="shared" si="3"/>
        <v>1000</v>
      </c>
      <c r="F14" s="15">
        <f t="shared" si="4"/>
        <v>4000</v>
      </c>
      <c r="H14" s="8">
        <v>8</v>
      </c>
      <c r="I14" s="16">
        <f t="shared" si="9"/>
        <v>1032.8</v>
      </c>
      <c r="J14" s="21">
        <f t="shared" si="5"/>
        <v>25.437002656053515</v>
      </c>
      <c r="K14" s="21">
        <f t="shared" si="10"/>
        <v>1007.3629973439464</v>
      </c>
      <c r="L14" s="21">
        <f t="shared" si="0"/>
        <v>4080.0375338667563</v>
      </c>
      <c r="N14" s="8">
        <v>8</v>
      </c>
      <c r="O14" s="15">
        <f t="shared" si="6"/>
        <v>1060</v>
      </c>
      <c r="P14" s="15">
        <f t="shared" si="11"/>
        <v>60</v>
      </c>
      <c r="Q14" s="15">
        <f t="shared" si="7"/>
        <v>1000</v>
      </c>
      <c r="R14" s="15">
        <f t="shared" si="8"/>
        <v>4000</v>
      </c>
    </row>
    <row r="15" spans="1:18">
      <c r="B15" s="8">
        <v>9</v>
      </c>
      <c r="C15" s="15">
        <f t="shared" si="1"/>
        <v>1020</v>
      </c>
      <c r="D15" s="15">
        <f t="shared" si="2"/>
        <v>20</v>
      </c>
      <c r="E15" s="8">
        <f t="shared" si="3"/>
        <v>1000</v>
      </c>
      <c r="F15" s="15">
        <f t="shared" si="4"/>
        <v>3000</v>
      </c>
      <c r="H15" s="8">
        <v>9</v>
      </c>
      <c r="I15" s="16">
        <f t="shared" si="9"/>
        <v>1032.8</v>
      </c>
      <c r="J15" s="21">
        <f t="shared" si="5"/>
        <v>20.400187669333782</v>
      </c>
      <c r="K15" s="21">
        <f t="shared" si="10"/>
        <v>1012.3998123306661</v>
      </c>
      <c r="L15" s="21">
        <f t="shared" si="0"/>
        <v>3067.6377215360903</v>
      </c>
      <c r="N15" s="8">
        <v>9</v>
      </c>
      <c r="O15" s="15">
        <f t="shared" si="6"/>
        <v>1060</v>
      </c>
      <c r="P15" s="15">
        <f t="shared" si="11"/>
        <v>60</v>
      </c>
      <c r="Q15" s="15">
        <f t="shared" si="7"/>
        <v>1000</v>
      </c>
      <c r="R15" s="15">
        <f t="shared" si="8"/>
        <v>3000</v>
      </c>
    </row>
    <row r="16" spans="1:18">
      <c r="B16" s="8">
        <v>10</v>
      </c>
      <c r="C16" s="15">
        <f t="shared" si="1"/>
        <v>1015</v>
      </c>
      <c r="D16" s="15">
        <f t="shared" si="2"/>
        <v>15</v>
      </c>
      <c r="E16" s="8">
        <f t="shared" si="3"/>
        <v>1000</v>
      </c>
      <c r="F16" s="15">
        <f t="shared" si="4"/>
        <v>2000</v>
      </c>
      <c r="H16" s="8">
        <v>10</v>
      </c>
      <c r="I16" s="16">
        <f t="shared" si="9"/>
        <v>1032.8</v>
      </c>
      <c r="J16" s="21">
        <f t="shared" si="5"/>
        <v>15.338188607680452</v>
      </c>
      <c r="K16" s="21">
        <f t="shared" si="10"/>
        <v>1017.4618113923195</v>
      </c>
      <c r="L16" s="21">
        <f t="shared" si="0"/>
        <v>2050.175910143771</v>
      </c>
      <c r="N16" s="8">
        <v>10</v>
      </c>
      <c r="O16" s="15">
        <f t="shared" si="6"/>
        <v>1060</v>
      </c>
      <c r="P16" s="15">
        <f t="shared" si="11"/>
        <v>60</v>
      </c>
      <c r="Q16" s="15">
        <f t="shared" si="7"/>
        <v>1000</v>
      </c>
      <c r="R16" s="15">
        <f t="shared" si="8"/>
        <v>2000</v>
      </c>
    </row>
    <row r="17" spans="2:18">
      <c r="B17" s="8">
        <v>11</v>
      </c>
      <c r="C17" s="15">
        <f t="shared" si="1"/>
        <v>1010</v>
      </c>
      <c r="D17" s="15">
        <f t="shared" si="2"/>
        <v>10</v>
      </c>
      <c r="E17" s="8">
        <f t="shared" si="3"/>
        <v>1000</v>
      </c>
      <c r="F17" s="15">
        <f t="shared" si="4"/>
        <v>1000</v>
      </c>
      <c r="H17" s="8">
        <v>11</v>
      </c>
      <c r="I17" s="16">
        <f t="shared" si="9"/>
        <v>1032.8</v>
      </c>
      <c r="J17" s="21">
        <f t="shared" si="5"/>
        <v>10.250879550718855</v>
      </c>
      <c r="K17" s="21">
        <f t="shared" si="10"/>
        <v>1022.5491204492811</v>
      </c>
      <c r="L17" s="21">
        <f t="shared" si="0"/>
        <v>1027.6267896944901</v>
      </c>
      <c r="N17" s="8">
        <v>11</v>
      </c>
      <c r="O17" s="15">
        <f t="shared" si="6"/>
        <v>1060</v>
      </c>
      <c r="P17" s="15">
        <f t="shared" si="11"/>
        <v>60</v>
      </c>
      <c r="Q17" s="15">
        <f t="shared" si="7"/>
        <v>1000</v>
      </c>
      <c r="R17" s="15">
        <f t="shared" si="8"/>
        <v>1000</v>
      </c>
    </row>
    <row r="18" spans="2:18">
      <c r="B18" s="8">
        <v>12</v>
      </c>
      <c r="C18" s="15">
        <f t="shared" si="1"/>
        <v>1005</v>
      </c>
      <c r="D18" s="15">
        <f t="shared" si="2"/>
        <v>5</v>
      </c>
      <c r="E18" s="8">
        <f t="shared" si="3"/>
        <v>1000</v>
      </c>
      <c r="H18" s="8">
        <v>12</v>
      </c>
      <c r="I18" s="16">
        <f t="shared" si="9"/>
        <v>1032.8</v>
      </c>
      <c r="J18" s="21">
        <f t="shared" si="5"/>
        <v>5.1381339484724506</v>
      </c>
      <c r="K18" s="21">
        <f t="shared" si="10"/>
        <v>1027.6618660515276</v>
      </c>
      <c r="N18" s="8">
        <v>12</v>
      </c>
      <c r="O18" s="15">
        <f t="shared" si="6"/>
        <v>1060</v>
      </c>
      <c r="P18" s="15">
        <f t="shared" si="11"/>
        <v>60</v>
      </c>
      <c r="Q18" s="15">
        <f t="shared" si="7"/>
        <v>1000</v>
      </c>
    </row>
    <row r="19" spans="2:18" s="1" customFormat="1">
      <c r="C19" s="17">
        <f>IRR(C6:C18)</f>
        <v>4.9999999999998934E-3</v>
      </c>
      <c r="D19" s="17">
        <f>C19*12</f>
        <v>5.9999999999998721E-2</v>
      </c>
      <c r="E19" s="1">
        <f>SUM(E7:E18)</f>
        <v>12000</v>
      </c>
      <c r="I19" s="17">
        <f>IRR(I6:I18)</f>
        <v>5.0004296175418794E-3</v>
      </c>
      <c r="J19" s="17">
        <f>I19*12</f>
        <v>6.0005155410502553E-2</v>
      </c>
      <c r="K19" s="11">
        <f>SUM(K7:K18)</f>
        <v>12000.035076357035</v>
      </c>
      <c r="O19" s="17">
        <f>IRR(O6:O18)</f>
        <v>9.0803187654180384E-3</v>
      </c>
      <c r="P19" s="17">
        <f>O19*12</f>
        <v>0.10896382518501646</v>
      </c>
      <c r="Q19" s="11">
        <f>SUM(Q7:Q18)</f>
        <v>12000</v>
      </c>
    </row>
    <row r="20" spans="2:18" s="1" customFormat="1">
      <c r="C20" s="11" t="s">
        <v>15</v>
      </c>
      <c r="D20" s="11" t="s">
        <v>29</v>
      </c>
      <c r="E20" s="1" t="s">
        <v>16</v>
      </c>
      <c r="I20" s="11" t="s">
        <v>15</v>
      </c>
      <c r="J20" s="11" t="s">
        <v>29</v>
      </c>
      <c r="K20" s="1" t="s">
        <v>16</v>
      </c>
      <c r="O20" s="11" t="s">
        <v>15</v>
      </c>
      <c r="P20" s="11" t="s">
        <v>29</v>
      </c>
      <c r="Q20" s="1" t="s">
        <v>16</v>
      </c>
    </row>
    <row r="21" spans="2:18" s="1" customFormat="1">
      <c r="C21" s="11"/>
      <c r="D21" s="11"/>
      <c r="I21" s="11"/>
      <c r="J21" s="11"/>
      <c r="O21" s="11"/>
      <c r="P21" s="11"/>
    </row>
    <row r="22" spans="2:18">
      <c r="C22" s="11" t="s">
        <v>35</v>
      </c>
      <c r="D22" s="11">
        <f>SUM(D7:D18)</f>
        <v>390</v>
      </c>
      <c r="E22" s="1"/>
      <c r="I22" s="11" t="s">
        <v>35</v>
      </c>
      <c r="J22" s="15">
        <f>SUM(J7:J18)</f>
        <v>393.56492364296383</v>
      </c>
      <c r="O22" s="11" t="s">
        <v>35</v>
      </c>
      <c r="P22" s="15">
        <f>SUM(P7:P18)</f>
        <v>720</v>
      </c>
    </row>
    <row r="23" spans="2:18">
      <c r="C23" s="11" t="s">
        <v>34</v>
      </c>
      <c r="D23" s="17">
        <f>D22/B2</f>
        <v>3.2500000000000001E-2</v>
      </c>
      <c r="E23" s="1"/>
      <c r="I23" s="11" t="s">
        <v>34</v>
      </c>
      <c r="J23" s="7">
        <f>J22/B2</f>
        <v>3.2797076970246988E-2</v>
      </c>
      <c r="O23" s="11" t="s">
        <v>34</v>
      </c>
      <c r="P23" s="7">
        <f>P22/B2</f>
        <v>0.06</v>
      </c>
    </row>
    <row r="27" spans="2:18">
      <c r="I27" s="18">
        <v>-4</v>
      </c>
      <c r="J27" s="18">
        <v>-4</v>
      </c>
      <c r="K27" s="8">
        <v>-100</v>
      </c>
    </row>
    <row r="28" spans="2:18">
      <c r="I28" s="16">
        <v>0</v>
      </c>
      <c r="J28" s="16">
        <v>0</v>
      </c>
      <c r="K28" s="33">
        <v>97.44</v>
      </c>
    </row>
    <row r="29" spans="2:18">
      <c r="I29" s="16">
        <v>0</v>
      </c>
      <c r="J29" s="16">
        <v>0</v>
      </c>
      <c r="K29" s="17">
        <f>IRR(K27:K28)</f>
        <v>-2.5600000000000178E-2</v>
      </c>
    </row>
    <row r="30" spans="2:18">
      <c r="I30" s="16">
        <f t="shared" ref="I30:J38" si="12">I29</f>
        <v>0</v>
      </c>
      <c r="J30" s="16">
        <f t="shared" si="12"/>
        <v>0</v>
      </c>
    </row>
    <row r="31" spans="2:18">
      <c r="I31" s="16">
        <f t="shared" si="12"/>
        <v>0</v>
      </c>
      <c r="J31" s="16">
        <f t="shared" si="12"/>
        <v>0</v>
      </c>
    </row>
    <row r="32" spans="2:18">
      <c r="I32" s="16">
        <f t="shared" si="12"/>
        <v>0</v>
      </c>
      <c r="J32" s="16">
        <f t="shared" si="12"/>
        <v>0</v>
      </c>
    </row>
    <row r="33" spans="9:10">
      <c r="I33" s="16">
        <f t="shared" si="12"/>
        <v>0</v>
      </c>
      <c r="J33" s="16">
        <f t="shared" si="12"/>
        <v>0</v>
      </c>
    </row>
    <row r="34" spans="9:10">
      <c r="I34" s="16">
        <f t="shared" si="12"/>
        <v>0</v>
      </c>
      <c r="J34" s="16">
        <f t="shared" si="12"/>
        <v>0</v>
      </c>
    </row>
    <row r="35" spans="9:10">
      <c r="I35" s="16">
        <f t="shared" si="12"/>
        <v>0</v>
      </c>
      <c r="J35" s="16">
        <f t="shared" si="12"/>
        <v>0</v>
      </c>
    </row>
    <row r="36" spans="9:10">
      <c r="I36" s="16">
        <f t="shared" si="12"/>
        <v>0</v>
      </c>
      <c r="J36" s="16">
        <f t="shared" si="12"/>
        <v>0</v>
      </c>
    </row>
    <row r="37" spans="9:10">
      <c r="I37" s="16">
        <f t="shared" si="12"/>
        <v>0</v>
      </c>
      <c r="J37" s="16">
        <f t="shared" si="12"/>
        <v>0</v>
      </c>
    </row>
    <row r="38" spans="9:10">
      <c r="I38" s="16">
        <f t="shared" si="12"/>
        <v>0</v>
      </c>
      <c r="J38" s="16">
        <f t="shared" si="12"/>
        <v>0</v>
      </c>
    </row>
    <row r="39" spans="9:10">
      <c r="I39" s="33">
        <v>5.4378999999999997E-2</v>
      </c>
      <c r="J39" s="33">
        <v>0.1</v>
      </c>
    </row>
    <row r="40" spans="9:10">
      <c r="I40" s="17">
        <f>IRR(I27:I39)</f>
        <v>-0.30104735109509251</v>
      </c>
      <c r="J40" s="17">
        <f>IRR(J27:J39)</f>
        <v>-0.26464846939696796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1D16-10FF-49E3-BE02-16172147D246}">
  <dimension ref="A1:R14"/>
  <sheetViews>
    <sheetView showGridLines="0" workbookViewId="0">
      <selection activeCell="K7" sqref="K7"/>
    </sheetView>
  </sheetViews>
  <sheetFormatPr defaultColWidth="9" defaultRowHeight="16.5"/>
  <cols>
    <col min="1" max="1" width="6.375" style="8" bestFit="1" customWidth="1"/>
    <col min="2" max="2" width="11.375" style="8" bestFit="1" customWidth="1"/>
    <col min="3" max="4" width="9.625" style="15" bestFit="1" customWidth="1"/>
    <col min="5" max="5" width="9.625" style="8" bestFit="1" customWidth="1"/>
    <col min="6" max="6" width="8" style="8" bestFit="1" customWidth="1"/>
    <col min="7" max="7" width="5.125" style="8" customWidth="1"/>
    <col min="8" max="8" width="8" style="8" bestFit="1" customWidth="1"/>
    <col min="9" max="11" width="9.625" style="8" bestFit="1" customWidth="1"/>
    <col min="12" max="12" width="9.375" style="8" bestFit="1" customWidth="1"/>
    <col min="13" max="13" width="4.375" style="8" customWidth="1"/>
    <col min="14" max="14" width="8" style="8" bestFit="1" customWidth="1"/>
    <col min="15" max="17" width="9.625" style="8" bestFit="1" customWidth="1"/>
    <col min="18" max="18" width="8" style="8" bestFit="1" customWidth="1"/>
    <col min="19" max="16384" width="9" style="8"/>
  </cols>
  <sheetData>
    <row r="1" spans="1:18">
      <c r="A1" s="8" t="s">
        <v>11</v>
      </c>
      <c r="B1" s="8">
        <v>6</v>
      </c>
    </row>
    <row r="2" spans="1:18" s="13" customFormat="1">
      <c r="A2" s="12" t="s">
        <v>12</v>
      </c>
      <c r="B2" s="13">
        <v>6000</v>
      </c>
      <c r="C2" s="12" t="s">
        <v>17</v>
      </c>
      <c r="D2" s="14">
        <f>D3*12</f>
        <v>0.12</v>
      </c>
      <c r="E2" s="12"/>
      <c r="F2" s="12"/>
    </row>
    <row r="3" spans="1:18" s="13" customFormat="1">
      <c r="A3" s="12" t="s">
        <v>14</v>
      </c>
      <c r="B3" s="13">
        <f>B2*D2/2</f>
        <v>360</v>
      </c>
      <c r="C3" s="12" t="s">
        <v>18</v>
      </c>
      <c r="D3" s="24">
        <f>1%</f>
        <v>0.01</v>
      </c>
      <c r="E3" s="12"/>
      <c r="F3" s="12"/>
    </row>
    <row r="4" spans="1:18" s="19" customFormat="1">
      <c r="B4" s="19" t="s">
        <v>10</v>
      </c>
      <c r="C4" s="20"/>
      <c r="D4" s="20"/>
      <c r="H4" s="19" t="s">
        <v>13</v>
      </c>
      <c r="N4" s="19" t="s">
        <v>8</v>
      </c>
    </row>
    <row r="5" spans="1:18">
      <c r="B5" s="1" t="s">
        <v>11</v>
      </c>
      <c r="C5" s="11" t="s">
        <v>0</v>
      </c>
      <c r="D5" s="11" t="s">
        <v>3</v>
      </c>
      <c r="E5" s="3" t="s">
        <v>1</v>
      </c>
      <c r="F5" s="3" t="s">
        <v>2</v>
      </c>
      <c r="H5" s="1" t="s">
        <v>11</v>
      </c>
      <c r="I5" s="11" t="s">
        <v>0</v>
      </c>
      <c r="J5" s="11" t="s">
        <v>3</v>
      </c>
      <c r="K5" s="3" t="s">
        <v>1</v>
      </c>
      <c r="L5" s="3" t="s">
        <v>2</v>
      </c>
      <c r="N5" s="1" t="s">
        <v>11</v>
      </c>
      <c r="O5" s="11" t="s">
        <v>0</v>
      </c>
      <c r="P5" s="11" t="s">
        <v>3</v>
      </c>
      <c r="Q5" s="3" t="s">
        <v>1</v>
      </c>
      <c r="R5" s="3" t="s">
        <v>2</v>
      </c>
    </row>
    <row r="6" spans="1:18">
      <c r="B6" s="8">
        <v>0</v>
      </c>
      <c r="C6" s="18">
        <f>-B2</f>
        <v>-6000</v>
      </c>
      <c r="F6" s="15">
        <f>B2</f>
        <v>6000</v>
      </c>
      <c r="H6" s="8">
        <v>0</v>
      </c>
      <c r="I6" s="18">
        <f>-B2</f>
        <v>-6000</v>
      </c>
      <c r="J6" s="15"/>
      <c r="L6" s="21">
        <f>B2</f>
        <v>6000</v>
      </c>
      <c r="N6" s="8">
        <v>0</v>
      </c>
      <c r="O6" s="18">
        <v>-6000</v>
      </c>
      <c r="P6" s="15"/>
      <c r="R6" s="15">
        <v>6000</v>
      </c>
    </row>
    <row r="7" spans="1:18">
      <c r="B7" s="8">
        <v>1</v>
      </c>
      <c r="C7" s="15">
        <f>D7+E7</f>
        <v>1060</v>
      </c>
      <c r="D7" s="15">
        <f t="shared" ref="D7:D12" si="0">F6*$D$3</f>
        <v>60</v>
      </c>
      <c r="E7" s="8">
        <f>F$6/$B$1</f>
        <v>1000</v>
      </c>
      <c r="F7" s="15">
        <f>F6-E7</f>
        <v>5000</v>
      </c>
      <c r="H7" s="8">
        <v>1</v>
      </c>
      <c r="I7" s="16">
        <v>1032.8</v>
      </c>
      <c r="J7" s="21">
        <f>L6*$D$3</f>
        <v>60</v>
      </c>
      <c r="K7" s="21">
        <f>I7-J7</f>
        <v>972.8</v>
      </c>
      <c r="L7" s="21">
        <f t="shared" ref="L7:L12" si="1">L6-K7</f>
        <v>5027.2</v>
      </c>
      <c r="N7" s="8">
        <v>1</v>
      </c>
      <c r="O7" s="15">
        <f>($B$2+$B$3)/6</f>
        <v>1060</v>
      </c>
      <c r="P7" s="15">
        <f>O7-Q7</f>
        <v>60</v>
      </c>
      <c r="Q7" s="15">
        <f>$B$2/6</f>
        <v>1000</v>
      </c>
      <c r="R7" s="15">
        <f>R6-Q7</f>
        <v>5000</v>
      </c>
    </row>
    <row r="8" spans="1:18">
      <c r="B8" s="8">
        <v>2</v>
      </c>
      <c r="C8" s="15">
        <f t="shared" ref="C8:C12" si="2">D8+E8</f>
        <v>1050</v>
      </c>
      <c r="D8" s="15">
        <f t="shared" si="0"/>
        <v>50</v>
      </c>
      <c r="E8" s="8">
        <f t="shared" ref="E8:E12" si="3">F$6/$B$1</f>
        <v>1000</v>
      </c>
      <c r="F8" s="15">
        <f t="shared" ref="F8:F12" si="4">F7-E8</f>
        <v>4000</v>
      </c>
      <c r="H8" s="8">
        <v>2</v>
      </c>
      <c r="I8" s="16">
        <f>I7</f>
        <v>1032.8</v>
      </c>
      <c r="J8" s="21">
        <f t="shared" ref="J7:J12" si="5">L7*$D$3</f>
        <v>50.271999999999998</v>
      </c>
      <c r="K8" s="21">
        <f>I8-J8</f>
        <v>982.52799999999991</v>
      </c>
      <c r="L8" s="21">
        <f t="shared" si="1"/>
        <v>4044.672</v>
      </c>
      <c r="N8" s="8">
        <v>2</v>
      </c>
      <c r="O8" s="15">
        <f t="shared" ref="O8:O12" si="6">($B$2+$B$3)/6</f>
        <v>1060</v>
      </c>
      <c r="P8" s="15">
        <f>P7</f>
        <v>60</v>
      </c>
      <c r="Q8" s="15">
        <f t="shared" ref="Q8:Q12" si="7">$B$2/6</f>
        <v>1000</v>
      </c>
      <c r="R8" s="15">
        <f t="shared" ref="R8:R12" si="8">R7-Q8</f>
        <v>4000</v>
      </c>
    </row>
    <row r="9" spans="1:18">
      <c r="B9" s="8">
        <v>3</v>
      </c>
      <c r="C9" s="15">
        <f t="shared" si="2"/>
        <v>1040</v>
      </c>
      <c r="D9" s="15">
        <f t="shared" si="0"/>
        <v>40</v>
      </c>
      <c r="E9" s="8">
        <f t="shared" si="3"/>
        <v>1000</v>
      </c>
      <c r="F9" s="15">
        <f t="shared" si="4"/>
        <v>3000</v>
      </c>
      <c r="H9" s="8">
        <v>3</v>
      </c>
      <c r="I9" s="16">
        <f t="shared" ref="I9:I12" si="9">I8</f>
        <v>1032.8</v>
      </c>
      <c r="J9" s="21">
        <f t="shared" si="5"/>
        <v>40.446719999999999</v>
      </c>
      <c r="K9" s="21">
        <f t="shared" ref="K9:K12" si="10">I9-J9</f>
        <v>992.35327999999993</v>
      </c>
      <c r="L9" s="21">
        <f t="shared" si="1"/>
        <v>3052.3187200000002</v>
      </c>
      <c r="N9" s="8">
        <v>3</v>
      </c>
      <c r="O9" s="15">
        <f t="shared" si="6"/>
        <v>1060</v>
      </c>
      <c r="P9" s="15">
        <f t="shared" ref="P9:P12" si="11">P8</f>
        <v>60</v>
      </c>
      <c r="Q9" s="15">
        <f t="shared" si="7"/>
        <v>1000</v>
      </c>
      <c r="R9" s="15">
        <f t="shared" si="8"/>
        <v>3000</v>
      </c>
    </row>
    <row r="10" spans="1:18">
      <c r="B10" s="8">
        <v>4</v>
      </c>
      <c r="C10" s="15">
        <f t="shared" si="2"/>
        <v>1030</v>
      </c>
      <c r="D10" s="15">
        <f t="shared" si="0"/>
        <v>30</v>
      </c>
      <c r="E10" s="8">
        <f t="shared" si="3"/>
        <v>1000</v>
      </c>
      <c r="F10" s="15">
        <f t="shared" si="4"/>
        <v>2000</v>
      </c>
      <c r="H10" s="8">
        <v>4</v>
      </c>
      <c r="I10" s="16">
        <f t="shared" si="9"/>
        <v>1032.8</v>
      </c>
      <c r="J10" s="21">
        <f t="shared" si="5"/>
        <v>30.523187200000002</v>
      </c>
      <c r="K10" s="21">
        <f t="shared" si="10"/>
        <v>1002.2768127999999</v>
      </c>
      <c r="L10" s="21">
        <f t="shared" si="1"/>
        <v>2050.0419072000004</v>
      </c>
      <c r="N10" s="8">
        <v>4</v>
      </c>
      <c r="O10" s="15">
        <f t="shared" si="6"/>
        <v>1060</v>
      </c>
      <c r="P10" s="15">
        <f t="shared" si="11"/>
        <v>60</v>
      </c>
      <c r="Q10" s="15">
        <f t="shared" si="7"/>
        <v>1000</v>
      </c>
      <c r="R10" s="15">
        <f t="shared" si="8"/>
        <v>2000</v>
      </c>
    </row>
    <row r="11" spans="1:18">
      <c r="B11" s="8">
        <v>5</v>
      </c>
      <c r="C11" s="15">
        <f t="shared" si="2"/>
        <v>1020</v>
      </c>
      <c r="D11" s="15">
        <f t="shared" si="0"/>
        <v>20</v>
      </c>
      <c r="E11" s="8">
        <f t="shared" si="3"/>
        <v>1000</v>
      </c>
      <c r="F11" s="15">
        <f t="shared" si="4"/>
        <v>1000</v>
      </c>
      <c r="H11" s="8">
        <v>5</v>
      </c>
      <c r="I11" s="16">
        <f t="shared" si="9"/>
        <v>1032.8</v>
      </c>
      <c r="J11" s="21">
        <f t="shared" si="5"/>
        <v>20.500419072000003</v>
      </c>
      <c r="K11" s="21">
        <f t="shared" si="10"/>
        <v>1012.299580928</v>
      </c>
      <c r="L11" s="21">
        <f t="shared" si="1"/>
        <v>1037.7423262720004</v>
      </c>
      <c r="N11" s="8">
        <v>5</v>
      </c>
      <c r="O11" s="15">
        <f t="shared" si="6"/>
        <v>1060</v>
      </c>
      <c r="P11" s="15">
        <f t="shared" si="11"/>
        <v>60</v>
      </c>
      <c r="Q11" s="15">
        <f t="shared" si="7"/>
        <v>1000</v>
      </c>
      <c r="R11" s="15">
        <f t="shared" si="8"/>
        <v>1000</v>
      </c>
    </row>
    <row r="12" spans="1:18">
      <c r="B12" s="8">
        <v>6</v>
      </c>
      <c r="C12" s="15">
        <f t="shared" si="2"/>
        <v>1010</v>
      </c>
      <c r="D12" s="15">
        <f t="shared" si="0"/>
        <v>10</v>
      </c>
      <c r="E12" s="8">
        <f t="shared" si="3"/>
        <v>1000</v>
      </c>
      <c r="F12" s="15">
        <f t="shared" si="4"/>
        <v>0</v>
      </c>
      <c r="H12" s="8">
        <v>6</v>
      </c>
      <c r="I12" s="16">
        <f t="shared" si="9"/>
        <v>1032.8</v>
      </c>
      <c r="J12" s="21">
        <f t="shared" si="5"/>
        <v>10.377423262720004</v>
      </c>
      <c r="K12" s="21">
        <f t="shared" si="10"/>
        <v>1022.42257673728</v>
      </c>
      <c r="L12" s="21">
        <f t="shared" si="1"/>
        <v>15.319749534720358</v>
      </c>
      <c r="N12" s="8">
        <v>6</v>
      </c>
      <c r="O12" s="15">
        <f t="shared" si="6"/>
        <v>1060</v>
      </c>
      <c r="P12" s="15">
        <f t="shared" si="11"/>
        <v>60</v>
      </c>
      <c r="Q12" s="15">
        <f t="shared" si="7"/>
        <v>1000</v>
      </c>
      <c r="R12" s="15">
        <f t="shared" si="8"/>
        <v>0</v>
      </c>
    </row>
    <row r="13" spans="1:18" s="1" customFormat="1">
      <c r="C13" s="17">
        <f>IRR(C6:C12)</f>
        <v>1.0000000000000009E-2</v>
      </c>
      <c r="D13" s="17">
        <f>C13*12</f>
        <v>0.12000000000000011</v>
      </c>
      <c r="E13" s="1">
        <f>SUM(E7:E12)</f>
        <v>6000</v>
      </c>
      <c r="I13" s="17">
        <f>IRR(I6:I12)</f>
        <v>9.2996951395467597E-3</v>
      </c>
      <c r="J13" s="17">
        <f>I13*12</f>
        <v>0.11159634167456112</v>
      </c>
      <c r="K13" s="11">
        <f>SUM(K7:K12)</f>
        <v>5984.6802504652796</v>
      </c>
      <c r="O13" s="17">
        <f>IRR(O6:O12)</f>
        <v>1.6906692354526021E-2</v>
      </c>
      <c r="P13" s="17">
        <f>O13*12</f>
        <v>0.20288030825431225</v>
      </c>
      <c r="Q13" s="11">
        <f>SUM(Q7:Q12)</f>
        <v>6000</v>
      </c>
    </row>
    <row r="14" spans="1:18" s="1" customFormat="1">
      <c r="C14" s="11" t="s">
        <v>15</v>
      </c>
      <c r="D14" s="11" t="s">
        <v>5</v>
      </c>
      <c r="E14" s="1" t="s">
        <v>16</v>
      </c>
      <c r="I14" s="11" t="s">
        <v>15</v>
      </c>
      <c r="J14" s="11" t="s">
        <v>5</v>
      </c>
      <c r="K14" s="1" t="s">
        <v>16</v>
      </c>
      <c r="O14" s="11" t="s">
        <v>15</v>
      </c>
      <c r="P14" s="11" t="s">
        <v>5</v>
      </c>
      <c r="Q14" s="1" t="s">
        <v>16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8140-E52E-4210-BA0E-9D9B85DBB500}">
  <dimension ref="B1:Q53"/>
  <sheetViews>
    <sheetView showGridLines="0" workbookViewId="0">
      <selection activeCell="G24" sqref="G24:K31"/>
    </sheetView>
  </sheetViews>
  <sheetFormatPr defaultRowHeight="16.5"/>
  <cols>
    <col min="1" max="1" width="9" style="25"/>
    <col min="2" max="2" width="24.375" style="25" customWidth="1"/>
    <col min="3" max="3" width="13.25" style="27" bestFit="1" customWidth="1"/>
    <col min="4" max="4" width="13.25" style="25" bestFit="1" customWidth="1"/>
    <col min="5" max="5" width="13.25" style="25" customWidth="1"/>
    <col min="6" max="6" width="14.5" style="25" bestFit="1" customWidth="1"/>
    <col min="7" max="7" width="11.375" style="25" bestFit="1" customWidth="1"/>
    <col min="8" max="8" width="14.625" style="25" bestFit="1" customWidth="1"/>
    <col min="9" max="9" width="14.5" style="25" customWidth="1"/>
    <col min="10" max="10" width="13.375" style="25" bestFit="1" customWidth="1"/>
    <col min="11" max="11" width="12.625" style="25" bestFit="1" customWidth="1"/>
    <col min="12" max="13" width="11.25" style="25" customWidth="1"/>
    <col min="14" max="14" width="10.625" style="25" bestFit="1" customWidth="1"/>
    <col min="15" max="15" width="14.5" style="25" bestFit="1" customWidth="1"/>
    <col min="16" max="16" width="13.25" style="25" bestFit="1" customWidth="1"/>
    <col min="17" max="16384" width="9" style="25"/>
  </cols>
  <sheetData>
    <row r="1" spans="2:6">
      <c r="B1" s="25" t="s">
        <v>32</v>
      </c>
      <c r="C1" s="27" t="s">
        <v>10</v>
      </c>
      <c r="E1" s="25" t="s">
        <v>25</v>
      </c>
      <c r="F1" s="27">
        <v>100</v>
      </c>
    </row>
    <row r="2" spans="2:6">
      <c r="B2" s="25" t="s">
        <v>42</v>
      </c>
      <c r="C2" s="31">
        <v>0.35</v>
      </c>
      <c r="E2" s="25" t="s">
        <v>33</v>
      </c>
      <c r="F2" s="27">
        <v>1</v>
      </c>
    </row>
    <row r="3" spans="2:6">
      <c r="B3" s="25" t="s">
        <v>44</v>
      </c>
      <c r="C3" s="31">
        <v>1.4999999999999999E-2</v>
      </c>
      <c r="E3" s="25" t="s">
        <v>26</v>
      </c>
      <c r="F3" s="27">
        <f>F2*F1</f>
        <v>100</v>
      </c>
    </row>
    <row r="4" spans="2:6">
      <c r="B4" s="25" t="s">
        <v>50</v>
      </c>
      <c r="C4" s="57">
        <v>0.7</v>
      </c>
      <c r="E4" s="25" t="s">
        <v>47</v>
      </c>
      <c r="F4" s="25">
        <f>F3*C3</f>
        <v>1.5</v>
      </c>
    </row>
    <row r="5" spans="2:6" s="48" customFormat="1">
      <c r="B5" s="48" t="s">
        <v>45</v>
      </c>
      <c r="C5" s="49">
        <v>0.02</v>
      </c>
      <c r="E5" s="48" t="s">
        <v>45</v>
      </c>
      <c r="F5" s="48">
        <f>F3*C5</f>
        <v>2</v>
      </c>
    </row>
    <row r="6" spans="2:6" s="48" customFormat="1">
      <c r="B6" s="48" t="s">
        <v>46</v>
      </c>
      <c r="C6" s="50">
        <f>(C2-C3)*25%</f>
        <v>8.3749999999999991E-2</v>
      </c>
      <c r="E6" s="48" t="s">
        <v>46</v>
      </c>
      <c r="F6" s="48">
        <f>F3*C6</f>
        <v>8.375</v>
      </c>
    </row>
    <row r="7" spans="2:6" s="48" customFormat="1">
      <c r="B7" s="48" t="s">
        <v>43</v>
      </c>
      <c r="C7" s="49">
        <f>6.2%</f>
        <v>6.2E-2</v>
      </c>
      <c r="E7" s="48" t="s">
        <v>43</v>
      </c>
      <c r="F7" s="48">
        <f>F3*C7</f>
        <v>6.2</v>
      </c>
    </row>
    <row r="8" spans="2:6" s="48" customFormat="1">
      <c r="B8" s="51" t="s">
        <v>48</v>
      </c>
      <c r="C8" s="52">
        <f>SUM(C5:C7)</f>
        <v>0.16575000000000001</v>
      </c>
      <c r="E8" s="48" t="s">
        <v>40</v>
      </c>
      <c r="F8" s="53">
        <f>F3-F4</f>
        <v>98.5</v>
      </c>
    </row>
    <row r="11" spans="2:6">
      <c r="C11" s="25"/>
    </row>
    <row r="12" spans="2:6">
      <c r="C12" s="25"/>
    </row>
    <row r="13" spans="2:6">
      <c r="C13" s="25"/>
    </row>
    <row r="14" spans="2:6">
      <c r="C14" s="31"/>
    </row>
    <row r="15" spans="2:6" hidden="1">
      <c r="C15" s="31"/>
    </row>
    <row r="16" spans="2:6" hidden="1">
      <c r="C16" s="31"/>
    </row>
    <row r="17" spans="2:17" hidden="1">
      <c r="B17" s="26" t="s">
        <v>11</v>
      </c>
      <c r="C17" s="47" t="s">
        <v>30</v>
      </c>
      <c r="D17" s="28" t="s">
        <v>27</v>
      </c>
      <c r="E17" s="28"/>
      <c r="F17" s="28" t="s">
        <v>28</v>
      </c>
      <c r="G17" s="26" t="s">
        <v>31</v>
      </c>
      <c r="H17" s="26"/>
      <c r="I17" s="26"/>
      <c r="J17" s="26" t="s">
        <v>36</v>
      </c>
      <c r="K17" s="26" t="s">
        <v>38</v>
      </c>
      <c r="L17" s="26"/>
      <c r="M17" s="26"/>
      <c r="N17" s="25" t="s">
        <v>37</v>
      </c>
    </row>
    <row r="18" spans="2:17" hidden="1">
      <c r="B18" s="25" t="s">
        <v>21</v>
      </c>
      <c r="C18" s="31" t="e">
        <f>$F$3*(1-#REF!)*$C$2/12/2</f>
        <v>#REF!</v>
      </c>
      <c r="D18" s="30" t="e">
        <f>C18/$F$3</f>
        <v>#REF!</v>
      </c>
      <c r="E18" s="30"/>
      <c r="F18" s="29" t="e">
        <f>D18*2</f>
        <v>#REF!</v>
      </c>
      <c r="G18" s="25" t="e">
        <f>$F$3*#REF!</f>
        <v>#REF!</v>
      </c>
      <c r="J18" s="31" t="e">
        <f>G18/$F$3</f>
        <v>#REF!</v>
      </c>
      <c r="K18" s="31" t="e">
        <f>J18</f>
        <v>#REF!</v>
      </c>
      <c r="L18" s="31"/>
      <c r="M18" s="31"/>
      <c r="N18" s="32" t="e">
        <f>F18-K18</f>
        <v>#REF!</v>
      </c>
    </row>
    <row r="19" spans="2:17" hidden="1">
      <c r="B19" s="25" t="s">
        <v>39</v>
      </c>
      <c r="C19" s="31" t="e">
        <f>$F$3*(1-#REF!)*$C$2/12/2*3</f>
        <v>#REF!</v>
      </c>
      <c r="D19" s="30" t="e">
        <f>C19/$F$3</f>
        <v>#REF!</v>
      </c>
      <c r="E19" s="30"/>
      <c r="F19" s="29" t="e">
        <f>D19*2</f>
        <v>#REF!</v>
      </c>
      <c r="G19" s="25" t="e">
        <f>$F$3*#REF!</f>
        <v>#REF!</v>
      </c>
      <c r="J19" s="31" t="e">
        <f>G19/$F$3</f>
        <v>#REF!</v>
      </c>
      <c r="K19" s="31" t="e">
        <f t="shared" ref="K19:K22" si="0">J19</f>
        <v>#REF!</v>
      </c>
      <c r="L19" s="31"/>
      <c r="M19" s="31"/>
      <c r="N19" s="32" t="e">
        <f>F19-K19</f>
        <v>#REF!</v>
      </c>
    </row>
    <row r="20" spans="2:17" hidden="1">
      <c r="B20" s="25" t="s">
        <v>22</v>
      </c>
      <c r="C20" s="31" t="e">
        <f>$F$3*(1-#REF!)*$C$2/12*6/2</f>
        <v>#REF!</v>
      </c>
      <c r="D20" s="30" t="e">
        <f>C20/$F$3</f>
        <v>#REF!</v>
      </c>
      <c r="E20" s="30"/>
      <c r="F20" s="29" t="e">
        <f t="shared" ref="F20:F21" si="1">D20*2</f>
        <v>#REF!</v>
      </c>
      <c r="G20" s="25" t="e">
        <f>$F$3*#REF!</f>
        <v>#REF!</v>
      </c>
      <c r="J20" s="31" t="e">
        <f>G20/$F$3</f>
        <v>#REF!</v>
      </c>
      <c r="K20" s="31" t="e">
        <f t="shared" si="0"/>
        <v>#REF!</v>
      </c>
      <c r="L20" s="31"/>
      <c r="M20" s="31"/>
      <c r="N20" s="32" t="e">
        <f t="shared" ref="N20:N22" si="2">F20-K20</f>
        <v>#REF!</v>
      </c>
    </row>
    <row r="21" spans="2:17" hidden="1">
      <c r="B21" s="25" t="s">
        <v>23</v>
      </c>
      <c r="C21" s="31" t="e">
        <f>$F$3*(1-#REF!)*$C$2/12*9/2</f>
        <v>#REF!</v>
      </c>
      <c r="D21" s="30" t="e">
        <f>C21/$F$3</f>
        <v>#REF!</v>
      </c>
      <c r="E21" s="30"/>
      <c r="F21" s="29" t="e">
        <f t="shared" si="1"/>
        <v>#REF!</v>
      </c>
      <c r="G21" s="25" t="e">
        <f>$F$3*#REF!</f>
        <v>#REF!</v>
      </c>
      <c r="J21" s="31" t="e">
        <f>G21/$F$3</f>
        <v>#REF!</v>
      </c>
      <c r="K21" s="31" t="e">
        <f t="shared" si="0"/>
        <v>#REF!</v>
      </c>
      <c r="L21" s="31"/>
      <c r="M21" s="31"/>
      <c r="N21" s="32" t="e">
        <f t="shared" si="2"/>
        <v>#REF!</v>
      </c>
    </row>
    <row r="22" spans="2:17" hidden="1">
      <c r="B22" s="25" t="s">
        <v>24</v>
      </c>
      <c r="C22" s="31" t="e">
        <f>$F$3*(1-#REF!)*$C$2/12*12/2</f>
        <v>#REF!</v>
      </c>
      <c r="D22" s="30" t="e">
        <f>C22/$F$3</f>
        <v>#REF!</v>
      </c>
      <c r="E22" s="30"/>
      <c r="F22" s="29" t="e">
        <f>D22*2</f>
        <v>#REF!</v>
      </c>
      <c r="G22" s="25" t="e">
        <f>$F$3*#REF!</f>
        <v>#REF!</v>
      </c>
      <c r="J22" s="31" t="e">
        <f>G22/$F$3</f>
        <v>#REF!</v>
      </c>
      <c r="K22" s="31" t="e">
        <f t="shared" si="0"/>
        <v>#REF!</v>
      </c>
      <c r="L22" s="31"/>
      <c r="M22" s="31"/>
      <c r="N22" s="32" t="e">
        <f t="shared" si="2"/>
        <v>#REF!</v>
      </c>
    </row>
    <row r="23" spans="2:17">
      <c r="C23" s="31"/>
    </row>
    <row r="24" spans="2:17">
      <c r="B24" s="34" t="s">
        <v>21</v>
      </c>
      <c r="C24" s="35">
        <v>1</v>
      </c>
      <c r="G24" s="34" t="s">
        <v>39</v>
      </c>
      <c r="H24" s="35">
        <v>3</v>
      </c>
      <c r="I24" s="35"/>
      <c r="N24" s="35" t="s">
        <v>22</v>
      </c>
      <c r="O24" s="34">
        <v>6</v>
      </c>
      <c r="P24" s="34"/>
      <c r="Q24" s="34"/>
    </row>
    <row r="25" spans="2:17" ht="17.25">
      <c r="B25" s="11" t="s">
        <v>0</v>
      </c>
      <c r="C25" s="3" t="s">
        <v>1</v>
      </c>
      <c r="D25" s="11" t="s">
        <v>3</v>
      </c>
      <c r="E25" s="3" t="s">
        <v>2</v>
      </c>
      <c r="F25" s="34"/>
      <c r="G25" s="11" t="s">
        <v>51</v>
      </c>
      <c r="H25" s="3" t="s">
        <v>1</v>
      </c>
      <c r="I25" s="3" t="s">
        <v>49</v>
      </c>
      <c r="J25" s="11" t="s">
        <v>3</v>
      </c>
      <c r="K25" s="3" t="s">
        <v>2</v>
      </c>
      <c r="L25" s="3"/>
      <c r="M25" s="3"/>
      <c r="N25" s="11" t="s">
        <v>0</v>
      </c>
      <c r="O25" s="3" t="s">
        <v>1</v>
      </c>
      <c r="P25" s="11" t="s">
        <v>3</v>
      </c>
      <c r="Q25" s="3" t="s">
        <v>2</v>
      </c>
    </row>
    <row r="26" spans="2:17">
      <c r="B26" s="35">
        <v>-100</v>
      </c>
      <c r="C26" s="34"/>
      <c r="D26" s="34"/>
      <c r="E26" s="34">
        <f>F3</f>
        <v>100</v>
      </c>
      <c r="F26" s="34"/>
      <c r="G26" s="35">
        <v>-100</v>
      </c>
      <c r="H26" s="34"/>
      <c r="I26" s="34"/>
      <c r="J26" s="34"/>
      <c r="K26" s="34">
        <f>F8</f>
        <v>98.5</v>
      </c>
      <c r="L26" s="34"/>
      <c r="M26" s="34"/>
      <c r="N26" s="35">
        <v>-100</v>
      </c>
      <c r="O26" s="34"/>
      <c r="P26" s="34"/>
      <c r="Q26" s="34">
        <f>F8</f>
        <v>98.5</v>
      </c>
    </row>
    <row r="27" spans="2:17">
      <c r="B27" s="36">
        <f>SUM(C27:D27)</f>
        <v>101.37291666666667</v>
      </c>
      <c r="C27" s="34">
        <f>F8/C24</f>
        <v>98.5</v>
      </c>
      <c r="D27" s="34">
        <f>C27*C2/12</f>
        <v>2.8729166666666663</v>
      </c>
      <c r="E27" s="45">
        <f>E26-C27</f>
        <v>1.5</v>
      </c>
      <c r="F27" s="34"/>
      <c r="G27" s="36">
        <f>SUM(H27:I27)</f>
        <v>34.844374999999999</v>
      </c>
      <c r="H27" s="56">
        <f>$F$8/$H$24</f>
        <v>32.833333333333336</v>
      </c>
      <c r="I27" s="56">
        <f>J27*$C$4</f>
        <v>2.0110416666666664</v>
      </c>
      <c r="J27" s="56">
        <f>F8*$C$2/12</f>
        <v>2.8729166666666663</v>
      </c>
      <c r="K27" s="56">
        <f>K26-H27</f>
        <v>65.666666666666657</v>
      </c>
      <c r="L27" s="34"/>
      <c r="M27" s="34"/>
      <c r="N27" s="43">
        <f>SUM(O27:P27)</f>
        <v>19.289583333333333</v>
      </c>
      <c r="O27" s="44">
        <f t="shared" ref="O27:O32" si="3">$F$8/$O$24</f>
        <v>16.416666666666668</v>
      </c>
      <c r="P27" s="44">
        <f>F8*$C$2/12</f>
        <v>2.8729166666666663</v>
      </c>
      <c r="Q27" s="44">
        <f t="shared" ref="Q27:Q32" si="4">Q26-O27</f>
        <v>82.083333333333329</v>
      </c>
    </row>
    <row r="28" spans="2:17">
      <c r="B28" s="37">
        <f>IRR(B26:B27)</f>
        <v>1.372916666666657E-2</v>
      </c>
      <c r="C28" s="38">
        <f>B28*12</f>
        <v>0.16474999999999884</v>
      </c>
      <c r="D28" s="34"/>
      <c r="E28" s="34"/>
      <c r="F28" s="34"/>
      <c r="G28" s="36">
        <f t="shared" ref="G28:G29" si="5">SUM(H28:I28)</f>
        <v>34.174027777777781</v>
      </c>
      <c r="H28" s="56">
        <f>$F$8/$H$24</f>
        <v>32.833333333333336</v>
      </c>
      <c r="I28" s="56">
        <f t="shared" ref="I28:I29" si="6">J28*$C$4</f>
        <v>1.340694444444444</v>
      </c>
      <c r="J28" s="56">
        <f>K27*$C$2/12</f>
        <v>1.9152777777777772</v>
      </c>
      <c r="K28" s="56">
        <f>K27-H28</f>
        <v>32.833333333333321</v>
      </c>
      <c r="L28" s="34"/>
      <c r="M28" s="34"/>
      <c r="N28" s="43">
        <f t="shared" ref="N28:N32" si="7">SUM(O28:P28)</f>
        <v>18.810763888888889</v>
      </c>
      <c r="O28" s="44">
        <f t="shared" si="3"/>
        <v>16.416666666666668</v>
      </c>
      <c r="P28" s="44">
        <f>Q27*$C$2/12</f>
        <v>2.3940972222222219</v>
      </c>
      <c r="Q28" s="44">
        <f t="shared" si="4"/>
        <v>65.666666666666657</v>
      </c>
    </row>
    <row r="29" spans="2:17">
      <c r="B29" s="39" t="s">
        <v>15</v>
      </c>
      <c r="C29" s="39" t="s">
        <v>5</v>
      </c>
      <c r="D29" s="34"/>
      <c r="E29" s="34"/>
      <c r="F29" s="34"/>
      <c r="G29" s="36">
        <f t="shared" si="5"/>
        <v>33.503680555555555</v>
      </c>
      <c r="H29" s="56">
        <f>$F$8/$H$24</f>
        <v>32.833333333333336</v>
      </c>
      <c r="I29" s="56">
        <f t="shared" si="6"/>
        <v>0.67034722222222187</v>
      </c>
      <c r="J29" s="56">
        <f>K28*$C$2/12</f>
        <v>0.95763888888888848</v>
      </c>
      <c r="K29" s="56">
        <f>K28-H29</f>
        <v>0</v>
      </c>
      <c r="L29" s="45"/>
      <c r="M29" s="34"/>
      <c r="N29" s="43">
        <f t="shared" si="7"/>
        <v>18.331944444444446</v>
      </c>
      <c r="O29" s="44">
        <f t="shared" si="3"/>
        <v>16.416666666666668</v>
      </c>
      <c r="P29" s="44">
        <f>Q28*$C$2/12</f>
        <v>1.9152777777777772</v>
      </c>
      <c r="Q29" s="44">
        <f t="shared" si="4"/>
        <v>49.249999999999986</v>
      </c>
    </row>
    <row r="30" spans="2:17">
      <c r="B30" s="34"/>
      <c r="C30" s="35"/>
      <c r="D30" s="34"/>
      <c r="E30" s="34"/>
      <c r="F30" s="34"/>
      <c r="G30" s="58">
        <f>IRR(G26:G29)</f>
        <v>1.2641691013126399E-2</v>
      </c>
      <c r="H30" s="59">
        <f>G30*12</f>
        <v>0.15170029215751679</v>
      </c>
      <c r="I30" s="38"/>
      <c r="J30" s="34"/>
      <c r="K30" s="34"/>
      <c r="L30" s="34"/>
      <c r="M30" s="34"/>
      <c r="N30" s="43">
        <f t="shared" si="7"/>
        <v>17.853125000000002</v>
      </c>
      <c r="O30" s="44">
        <f t="shared" si="3"/>
        <v>16.416666666666668</v>
      </c>
      <c r="P30" s="44">
        <f>Q29*$C$2/12</f>
        <v>1.4364583333333327</v>
      </c>
      <c r="Q30" s="44">
        <f t="shared" si="4"/>
        <v>32.833333333333314</v>
      </c>
    </row>
    <row r="31" spans="2:17">
      <c r="B31" s="34"/>
      <c r="C31" s="35"/>
      <c r="D31" s="34"/>
      <c r="E31" s="34"/>
      <c r="F31" s="34"/>
      <c r="G31" s="39" t="s">
        <v>15</v>
      </c>
      <c r="H31" s="39" t="s">
        <v>5</v>
      </c>
      <c r="I31" s="39"/>
      <c r="J31" s="34"/>
      <c r="K31" s="34"/>
      <c r="L31" s="34"/>
      <c r="M31" s="34"/>
      <c r="N31" s="43">
        <f t="shared" si="7"/>
        <v>17.374305555555555</v>
      </c>
      <c r="O31" s="44">
        <f t="shared" si="3"/>
        <v>16.416666666666668</v>
      </c>
      <c r="P31" s="44">
        <f>Q30*$C$2/12</f>
        <v>0.95763888888888837</v>
      </c>
      <c r="Q31" s="44">
        <f t="shared" si="4"/>
        <v>16.416666666666647</v>
      </c>
    </row>
    <row r="32" spans="2:17">
      <c r="B32" s="34"/>
      <c r="C32" s="35"/>
      <c r="D32" s="34"/>
      <c r="E32" s="34"/>
      <c r="F32" s="34"/>
      <c r="G32" s="39"/>
      <c r="H32" s="39"/>
      <c r="I32" s="39"/>
      <c r="J32" s="34"/>
      <c r="K32" s="34"/>
      <c r="L32" s="34"/>
      <c r="M32" s="34"/>
      <c r="N32" s="43">
        <f t="shared" si="7"/>
        <v>16.895486111111111</v>
      </c>
      <c r="O32" s="44">
        <f t="shared" si="3"/>
        <v>16.416666666666668</v>
      </c>
      <c r="P32" s="44">
        <f>Q31*$C$2/12</f>
        <v>0.4788194444444438</v>
      </c>
      <c r="Q32" s="44">
        <f t="shared" si="4"/>
        <v>0</v>
      </c>
    </row>
    <row r="33" spans="2:17">
      <c r="B33" s="34"/>
      <c r="C33" s="35"/>
      <c r="D33" s="34"/>
      <c r="E33" s="34"/>
      <c r="F33" s="34"/>
      <c r="G33" s="39"/>
      <c r="H33" s="39"/>
      <c r="I33" s="39"/>
      <c r="J33" s="34"/>
      <c r="K33" s="34"/>
      <c r="L33" s="34"/>
      <c r="M33" s="34"/>
      <c r="N33" s="37">
        <f>IRR(N26:N32)</f>
        <v>2.4528253057779725E-2</v>
      </c>
      <c r="O33" s="40">
        <f>N33*12</f>
        <v>0.2943390366933567</v>
      </c>
      <c r="P33" s="34"/>
      <c r="Q33" s="34"/>
    </row>
    <row r="34" spans="2:17">
      <c r="B34" s="34"/>
      <c r="C34" s="35"/>
      <c r="D34" s="34"/>
      <c r="E34" s="34"/>
      <c r="F34" s="34"/>
      <c r="G34" s="39"/>
      <c r="H34" s="39"/>
      <c r="I34" s="39"/>
      <c r="J34" s="34"/>
      <c r="K34" s="34"/>
      <c r="L34" s="34"/>
      <c r="M34" s="34"/>
      <c r="N34" s="39" t="s">
        <v>15</v>
      </c>
      <c r="O34" s="41" t="s">
        <v>5</v>
      </c>
      <c r="P34" s="34"/>
      <c r="Q34" s="34"/>
    </row>
    <row r="35" spans="2:17">
      <c r="B35" s="34"/>
      <c r="C35" s="35"/>
      <c r="D35" s="34"/>
      <c r="E35" s="34"/>
      <c r="F35" s="34"/>
      <c r="G35" s="39"/>
      <c r="H35" s="39"/>
      <c r="I35" s="39"/>
      <c r="J35" s="34"/>
      <c r="K35" s="34"/>
      <c r="L35" s="34"/>
      <c r="M35" s="34"/>
      <c r="N35" s="39"/>
      <c r="O35" s="41"/>
      <c r="P35" s="34"/>
      <c r="Q35" s="34"/>
    </row>
    <row r="36" spans="2:17">
      <c r="B36" s="34"/>
      <c r="C36" s="35"/>
      <c r="D36" s="34"/>
      <c r="E36" s="34"/>
      <c r="F36" s="34"/>
      <c r="G36" s="39"/>
      <c r="H36" s="39"/>
      <c r="I36" s="39"/>
      <c r="J36" s="34"/>
      <c r="K36" s="34"/>
      <c r="L36" s="34"/>
      <c r="M36" s="34"/>
      <c r="N36" s="34"/>
      <c r="O36" s="34"/>
      <c r="P36" s="34"/>
      <c r="Q36" s="34"/>
    </row>
    <row r="37" spans="2:17">
      <c r="B37" s="35" t="s">
        <v>41</v>
      </c>
      <c r="C37" s="34">
        <v>8</v>
      </c>
      <c r="D37" s="34"/>
      <c r="E37" s="34"/>
      <c r="F37" s="34"/>
      <c r="G37" s="35" t="s">
        <v>23</v>
      </c>
      <c r="H37" s="34">
        <v>9</v>
      </c>
      <c r="I37" s="34"/>
      <c r="J37" s="34"/>
      <c r="K37" s="34"/>
      <c r="L37" s="34"/>
      <c r="M37" s="34"/>
      <c r="N37" s="35" t="s">
        <v>24</v>
      </c>
      <c r="O37" s="34">
        <v>12</v>
      </c>
      <c r="P37" s="34"/>
      <c r="Q37" s="34"/>
    </row>
    <row r="38" spans="2:17" ht="17.25">
      <c r="B38" s="11" t="s">
        <v>0</v>
      </c>
      <c r="C38" s="3" t="s">
        <v>1</v>
      </c>
      <c r="D38" s="11" t="s">
        <v>3</v>
      </c>
      <c r="E38" s="3" t="s">
        <v>2</v>
      </c>
      <c r="F38" s="34"/>
      <c r="G38" s="11" t="s">
        <v>0</v>
      </c>
      <c r="H38" s="3" t="s">
        <v>1</v>
      </c>
      <c r="I38" s="3"/>
      <c r="J38" s="11" t="s">
        <v>3</v>
      </c>
      <c r="K38" s="3" t="s">
        <v>2</v>
      </c>
      <c r="L38" s="3"/>
      <c r="M38" s="3"/>
      <c r="N38" s="11" t="s">
        <v>0</v>
      </c>
      <c r="O38" s="3" t="s">
        <v>1</v>
      </c>
      <c r="P38" s="11" t="s">
        <v>3</v>
      </c>
      <c r="Q38" s="3" t="s">
        <v>2</v>
      </c>
    </row>
    <row r="39" spans="2:17">
      <c r="B39" s="35">
        <v>-100</v>
      </c>
      <c r="C39" s="34"/>
      <c r="D39" s="34"/>
      <c r="E39" s="34">
        <f>F8</f>
        <v>98.5</v>
      </c>
      <c r="F39" s="34"/>
      <c r="G39" s="35">
        <v>-100</v>
      </c>
      <c r="H39" s="34"/>
      <c r="I39" s="34"/>
      <c r="J39" s="34"/>
      <c r="K39" s="34">
        <f>F8</f>
        <v>98.5</v>
      </c>
      <c r="L39" s="34"/>
      <c r="M39" s="34"/>
      <c r="N39" s="35">
        <v>-100</v>
      </c>
      <c r="O39" s="34"/>
      <c r="P39" s="34"/>
      <c r="Q39" s="34">
        <f>F8</f>
        <v>98.5</v>
      </c>
    </row>
    <row r="40" spans="2:17">
      <c r="B40" s="43">
        <f t="shared" ref="B40:B47" si="8">SUM(C40:D40)</f>
        <v>15.185416666666667</v>
      </c>
      <c r="C40" s="44">
        <f t="shared" ref="C40:C47" si="9">$F$8/$C$37</f>
        <v>12.3125</v>
      </c>
      <c r="D40" s="44">
        <f t="shared" ref="D40:D47" si="10">E39*$C$2/12</f>
        <v>2.8729166666666663</v>
      </c>
      <c r="E40" s="44">
        <f t="shared" ref="E40:E47" si="11">E39-C40</f>
        <v>86.1875</v>
      </c>
      <c r="F40" s="34"/>
      <c r="G40" s="43">
        <f>SUM(H40:J40)</f>
        <v>13.817361111111111</v>
      </c>
      <c r="H40" s="44">
        <f t="shared" ref="H40:H48" si="12">$F$8/$H$37</f>
        <v>10.944444444444445</v>
      </c>
      <c r="I40" s="44"/>
      <c r="J40" s="44">
        <f t="shared" ref="J40:J48" si="13">K39*$C$2/12</f>
        <v>2.8729166666666663</v>
      </c>
      <c r="K40" s="44">
        <f>K39-H40</f>
        <v>87.555555555555557</v>
      </c>
      <c r="L40" s="44"/>
      <c r="M40" s="44"/>
      <c r="N40" s="43">
        <f>SUM(O40:P40)</f>
        <v>11.081250000000001</v>
      </c>
      <c r="O40" s="44">
        <f t="shared" ref="O40:O51" si="14">$F$8/$O$37</f>
        <v>8.2083333333333339</v>
      </c>
      <c r="P40" s="44">
        <f t="shared" ref="P40:P51" si="15">Q39*$C$2/12</f>
        <v>2.8729166666666663</v>
      </c>
      <c r="Q40" s="44">
        <f>Q39-O40</f>
        <v>90.291666666666671</v>
      </c>
    </row>
    <row r="41" spans="2:17">
      <c r="B41" s="43">
        <f t="shared" si="8"/>
        <v>14.826302083333333</v>
      </c>
      <c r="C41" s="44">
        <f t="shared" si="9"/>
        <v>12.3125</v>
      </c>
      <c r="D41" s="44">
        <f t="shared" si="10"/>
        <v>2.5138020833333332</v>
      </c>
      <c r="E41" s="44">
        <f t="shared" si="11"/>
        <v>73.875</v>
      </c>
      <c r="F41" s="34"/>
      <c r="G41" s="43">
        <f t="shared" ref="G41:G48" si="16">SUM(H41:J41)</f>
        <v>13.498148148148148</v>
      </c>
      <c r="H41" s="44">
        <f t="shared" si="12"/>
        <v>10.944444444444445</v>
      </c>
      <c r="I41" s="44"/>
      <c r="J41" s="44">
        <f t="shared" si="13"/>
        <v>2.5537037037037034</v>
      </c>
      <c r="K41" s="44">
        <f t="shared" ref="K41:K47" si="17">K40-H41</f>
        <v>76.611111111111114</v>
      </c>
      <c r="L41" s="44"/>
      <c r="M41" s="44"/>
      <c r="N41" s="43">
        <f t="shared" ref="N41:N51" si="18">SUM(O41:P41)</f>
        <v>10.841840277777779</v>
      </c>
      <c r="O41" s="44">
        <f t="shared" si="14"/>
        <v>8.2083333333333339</v>
      </c>
      <c r="P41" s="44">
        <f t="shared" si="15"/>
        <v>2.6335069444444446</v>
      </c>
      <c r="Q41" s="44">
        <f t="shared" ref="Q41:Q51" si="19">Q40-O41</f>
        <v>82.083333333333343</v>
      </c>
    </row>
    <row r="42" spans="2:17">
      <c r="B42" s="43">
        <f t="shared" si="8"/>
        <v>14.4671875</v>
      </c>
      <c r="C42" s="44">
        <f t="shared" si="9"/>
        <v>12.3125</v>
      </c>
      <c r="D42" s="44">
        <f t="shared" si="10"/>
        <v>2.1546875000000001</v>
      </c>
      <c r="E42" s="44">
        <f t="shared" si="11"/>
        <v>61.5625</v>
      </c>
      <c r="F42" s="34"/>
      <c r="G42" s="43">
        <f t="shared" si="16"/>
        <v>13.178935185185185</v>
      </c>
      <c r="H42" s="44">
        <f t="shared" si="12"/>
        <v>10.944444444444445</v>
      </c>
      <c r="I42" s="44"/>
      <c r="J42" s="44">
        <f t="shared" si="13"/>
        <v>2.2344907407407408</v>
      </c>
      <c r="K42" s="44">
        <f t="shared" si="17"/>
        <v>65.666666666666671</v>
      </c>
      <c r="L42" s="44"/>
      <c r="M42" s="44"/>
      <c r="N42" s="43">
        <f t="shared" si="18"/>
        <v>10.602430555555557</v>
      </c>
      <c r="O42" s="44">
        <f t="shared" si="14"/>
        <v>8.2083333333333339</v>
      </c>
      <c r="P42" s="44">
        <f t="shared" si="15"/>
        <v>2.3940972222222223</v>
      </c>
      <c r="Q42" s="44">
        <f t="shared" si="19"/>
        <v>73.875000000000014</v>
      </c>
    </row>
    <row r="43" spans="2:17">
      <c r="B43" s="43">
        <f t="shared" si="8"/>
        <v>14.108072916666666</v>
      </c>
      <c r="C43" s="44">
        <f t="shared" si="9"/>
        <v>12.3125</v>
      </c>
      <c r="D43" s="44">
        <f t="shared" si="10"/>
        <v>1.7955729166666667</v>
      </c>
      <c r="E43" s="44">
        <f t="shared" si="11"/>
        <v>49.25</v>
      </c>
      <c r="F43" s="34"/>
      <c r="G43" s="43">
        <f t="shared" si="16"/>
        <v>12.859722222222222</v>
      </c>
      <c r="H43" s="44">
        <f t="shared" si="12"/>
        <v>10.944444444444445</v>
      </c>
      <c r="I43" s="44"/>
      <c r="J43" s="44">
        <f t="shared" si="13"/>
        <v>1.9152777777777779</v>
      </c>
      <c r="K43" s="44">
        <f t="shared" si="17"/>
        <v>54.722222222222229</v>
      </c>
      <c r="L43" s="44"/>
      <c r="M43" s="44"/>
      <c r="N43" s="43">
        <f t="shared" si="18"/>
        <v>10.363020833333334</v>
      </c>
      <c r="O43" s="44">
        <f t="shared" si="14"/>
        <v>8.2083333333333339</v>
      </c>
      <c r="P43" s="44">
        <f t="shared" si="15"/>
        <v>2.1546875000000001</v>
      </c>
      <c r="Q43" s="44">
        <f t="shared" si="19"/>
        <v>65.666666666666686</v>
      </c>
    </row>
    <row r="44" spans="2:17">
      <c r="B44" s="43">
        <f t="shared" si="8"/>
        <v>13.748958333333333</v>
      </c>
      <c r="C44" s="44">
        <f t="shared" si="9"/>
        <v>12.3125</v>
      </c>
      <c r="D44" s="44">
        <f t="shared" si="10"/>
        <v>1.4364583333333332</v>
      </c>
      <c r="E44" s="44">
        <f t="shared" si="11"/>
        <v>36.9375</v>
      </c>
      <c r="F44" s="34"/>
      <c r="G44" s="43">
        <f t="shared" si="16"/>
        <v>12.54050925925926</v>
      </c>
      <c r="H44" s="44">
        <f t="shared" si="12"/>
        <v>10.944444444444445</v>
      </c>
      <c r="I44" s="44"/>
      <c r="J44" s="44">
        <f t="shared" si="13"/>
        <v>1.5960648148148149</v>
      </c>
      <c r="K44" s="44">
        <f t="shared" si="17"/>
        <v>43.777777777777786</v>
      </c>
      <c r="L44" s="44"/>
      <c r="M44" s="44"/>
      <c r="N44" s="43">
        <f t="shared" si="18"/>
        <v>10.123611111111112</v>
      </c>
      <c r="O44" s="44">
        <f t="shared" si="14"/>
        <v>8.2083333333333339</v>
      </c>
      <c r="P44" s="44">
        <f t="shared" si="15"/>
        <v>1.9152777777777781</v>
      </c>
      <c r="Q44" s="44">
        <f t="shared" si="19"/>
        <v>57.45833333333335</v>
      </c>
    </row>
    <row r="45" spans="2:17">
      <c r="B45" s="43">
        <f t="shared" si="8"/>
        <v>13.389843750000001</v>
      </c>
      <c r="C45" s="44">
        <f t="shared" si="9"/>
        <v>12.3125</v>
      </c>
      <c r="D45" s="44">
        <f t="shared" si="10"/>
        <v>1.07734375</v>
      </c>
      <c r="E45" s="44">
        <f t="shared" si="11"/>
        <v>24.625</v>
      </c>
      <c r="F45" s="34"/>
      <c r="G45" s="43">
        <f t="shared" si="16"/>
        <v>12.221296296296297</v>
      </c>
      <c r="H45" s="44">
        <f t="shared" si="12"/>
        <v>10.944444444444445</v>
      </c>
      <c r="I45" s="44"/>
      <c r="J45" s="44">
        <f t="shared" si="13"/>
        <v>1.2768518518518521</v>
      </c>
      <c r="K45" s="44">
        <f t="shared" si="17"/>
        <v>32.833333333333343</v>
      </c>
      <c r="L45" s="44"/>
      <c r="M45" s="44"/>
      <c r="N45" s="43">
        <f t="shared" si="18"/>
        <v>9.88420138888889</v>
      </c>
      <c r="O45" s="44">
        <f t="shared" si="14"/>
        <v>8.2083333333333339</v>
      </c>
      <c r="P45" s="44">
        <f t="shared" si="15"/>
        <v>1.6758680555555561</v>
      </c>
      <c r="Q45" s="44">
        <f t="shared" si="19"/>
        <v>49.250000000000014</v>
      </c>
    </row>
    <row r="46" spans="2:17">
      <c r="B46" s="43">
        <f t="shared" si="8"/>
        <v>13.030729166666667</v>
      </c>
      <c r="C46" s="44">
        <f t="shared" si="9"/>
        <v>12.3125</v>
      </c>
      <c r="D46" s="44">
        <f t="shared" si="10"/>
        <v>0.71822916666666659</v>
      </c>
      <c r="E46" s="44">
        <f t="shared" si="11"/>
        <v>12.3125</v>
      </c>
      <c r="F46" s="34"/>
      <c r="G46" s="43">
        <f t="shared" si="16"/>
        <v>11.902083333333334</v>
      </c>
      <c r="H46" s="44">
        <f t="shared" si="12"/>
        <v>10.944444444444445</v>
      </c>
      <c r="I46" s="44"/>
      <c r="J46" s="44">
        <f t="shared" si="13"/>
        <v>0.95763888888888904</v>
      </c>
      <c r="K46" s="44">
        <f>K45-H46</f>
        <v>21.8888888888889</v>
      </c>
      <c r="L46" s="44"/>
      <c r="M46" s="44"/>
      <c r="N46" s="43">
        <f t="shared" si="18"/>
        <v>9.6447916666666682</v>
      </c>
      <c r="O46" s="44">
        <f t="shared" si="14"/>
        <v>8.2083333333333339</v>
      </c>
      <c r="P46" s="44">
        <f t="shared" si="15"/>
        <v>1.4364583333333336</v>
      </c>
      <c r="Q46" s="44">
        <f>Q45-O46</f>
        <v>41.041666666666679</v>
      </c>
    </row>
    <row r="47" spans="2:17">
      <c r="B47" s="43">
        <f t="shared" si="8"/>
        <v>12.671614583333334</v>
      </c>
      <c r="C47" s="44">
        <f t="shared" si="9"/>
        <v>12.3125</v>
      </c>
      <c r="D47" s="44">
        <f t="shared" si="10"/>
        <v>0.35911458333333329</v>
      </c>
      <c r="E47" s="44">
        <f t="shared" si="11"/>
        <v>0</v>
      </c>
      <c r="F47" s="34"/>
      <c r="G47" s="43">
        <f t="shared" si="16"/>
        <v>11.582870370370371</v>
      </c>
      <c r="H47" s="44">
        <f t="shared" si="12"/>
        <v>10.944444444444445</v>
      </c>
      <c r="I47" s="44"/>
      <c r="J47" s="44">
        <f t="shared" si="13"/>
        <v>0.63842592592592617</v>
      </c>
      <c r="K47" s="44">
        <f t="shared" si="17"/>
        <v>10.944444444444455</v>
      </c>
      <c r="L47" s="44"/>
      <c r="M47" s="44"/>
      <c r="N47" s="43">
        <f t="shared" si="18"/>
        <v>9.4053819444444446</v>
      </c>
      <c r="O47" s="44">
        <f t="shared" si="14"/>
        <v>8.2083333333333339</v>
      </c>
      <c r="P47" s="44">
        <f t="shared" si="15"/>
        <v>1.1970486111111114</v>
      </c>
      <c r="Q47" s="44">
        <f t="shared" si="19"/>
        <v>32.833333333333343</v>
      </c>
    </row>
    <row r="48" spans="2:17">
      <c r="B48" s="38">
        <f>IRR(B39:B47)</f>
        <v>2.5490866075855934E-2</v>
      </c>
      <c r="C48" s="40">
        <f>B48*12</f>
        <v>0.3058903929102712</v>
      </c>
      <c r="D48" s="44"/>
      <c r="E48" s="44"/>
      <c r="F48" s="34"/>
      <c r="G48" s="43">
        <f t="shared" si="16"/>
        <v>11.263657407407408</v>
      </c>
      <c r="H48" s="44">
        <f t="shared" si="12"/>
        <v>10.944444444444445</v>
      </c>
      <c r="I48" s="44"/>
      <c r="J48" s="44">
        <f t="shared" si="13"/>
        <v>0.31921296296296325</v>
      </c>
      <c r="K48" s="45">
        <f>K47-H48</f>
        <v>0</v>
      </c>
      <c r="L48" s="45"/>
      <c r="M48" s="44"/>
      <c r="N48" s="43">
        <f t="shared" si="18"/>
        <v>9.1659722222222229</v>
      </c>
      <c r="O48" s="44">
        <f t="shared" si="14"/>
        <v>8.2083333333333339</v>
      </c>
      <c r="P48" s="44">
        <f t="shared" si="15"/>
        <v>0.95763888888888904</v>
      </c>
      <c r="Q48" s="44">
        <f t="shared" si="19"/>
        <v>24.625000000000007</v>
      </c>
    </row>
    <row r="49" spans="2:17">
      <c r="B49" s="39" t="s">
        <v>15</v>
      </c>
      <c r="C49" s="41" t="s">
        <v>5</v>
      </c>
      <c r="D49" s="34"/>
      <c r="E49" s="34"/>
      <c r="F49" s="34"/>
      <c r="G49" s="38">
        <f>IRR(G39:G48)</f>
        <v>2.5827727372765841E-2</v>
      </c>
      <c r="H49" s="40">
        <f>G49*12</f>
        <v>0.30993272847319009</v>
      </c>
      <c r="I49" s="40"/>
      <c r="J49" s="44"/>
      <c r="K49" s="44"/>
      <c r="L49" s="44"/>
      <c r="M49" s="44"/>
      <c r="N49" s="43">
        <f t="shared" si="18"/>
        <v>8.9265625000000011</v>
      </c>
      <c r="O49" s="44">
        <f t="shared" si="14"/>
        <v>8.2083333333333339</v>
      </c>
      <c r="P49" s="44">
        <f t="shared" si="15"/>
        <v>0.71822916666666681</v>
      </c>
      <c r="Q49" s="44">
        <f t="shared" si="19"/>
        <v>16.416666666666671</v>
      </c>
    </row>
    <row r="50" spans="2:17">
      <c r="F50" s="34"/>
      <c r="G50" s="39" t="s">
        <v>15</v>
      </c>
      <c r="H50" s="41" t="s">
        <v>5</v>
      </c>
      <c r="I50" s="41"/>
      <c r="J50" s="34"/>
      <c r="K50" s="34"/>
      <c r="L50" s="34"/>
      <c r="M50" s="34"/>
      <c r="N50" s="43">
        <f t="shared" si="18"/>
        <v>8.6871527777777793</v>
      </c>
      <c r="O50" s="44">
        <f t="shared" si="14"/>
        <v>8.2083333333333339</v>
      </c>
      <c r="P50" s="44">
        <f t="shared" si="15"/>
        <v>0.47881944444444452</v>
      </c>
      <c r="Q50" s="44">
        <f t="shared" si="19"/>
        <v>8.2083333333333375</v>
      </c>
    </row>
    <row r="51" spans="2:17">
      <c r="N51" s="43">
        <f t="shared" si="18"/>
        <v>8.4477430555555557</v>
      </c>
      <c r="O51" s="44">
        <f t="shared" si="14"/>
        <v>8.2083333333333339</v>
      </c>
      <c r="P51" s="44">
        <f t="shared" si="15"/>
        <v>0.23940972222222234</v>
      </c>
      <c r="Q51" s="44">
        <f t="shared" si="19"/>
        <v>0</v>
      </c>
    </row>
    <row r="52" spans="2:17">
      <c r="E52" s="25">
        <v>14.6</v>
      </c>
      <c r="F52" s="25">
        <f>40/3</f>
        <v>13.333333333333334</v>
      </c>
      <c r="H52" s="46"/>
      <c r="I52" s="46"/>
      <c r="N52" s="38">
        <f>IRR(N39:N51)</f>
        <v>2.6527001359068159E-2</v>
      </c>
      <c r="O52" s="42">
        <f>N52*12</f>
        <v>0.3183240163088179</v>
      </c>
      <c r="Q52" s="44"/>
    </row>
    <row r="53" spans="2:17">
      <c r="N53" s="39" t="s">
        <v>15</v>
      </c>
      <c r="O53" s="41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3188-85AC-4E58-9E19-E83FA751BE2A}">
  <dimension ref="B1:I25"/>
  <sheetViews>
    <sheetView showGridLines="0" tabSelected="1" workbookViewId="0">
      <selection activeCell="L18" sqref="L18"/>
    </sheetView>
  </sheetViews>
  <sheetFormatPr defaultRowHeight="16.5"/>
  <cols>
    <col min="1" max="1" width="9" style="25"/>
    <col min="2" max="2" width="13.25" style="25" bestFit="1" customWidth="1"/>
    <col min="3" max="3" width="9.625" style="25" bestFit="1" customWidth="1"/>
    <col min="4" max="4" width="9.625" style="25" customWidth="1"/>
    <col min="5" max="5" width="11.375" style="25" bestFit="1" customWidth="1"/>
    <col min="6" max="6" width="13.25" style="25" bestFit="1" customWidth="1"/>
    <col min="7" max="7" width="11.375" style="25" bestFit="1" customWidth="1"/>
    <col min="8" max="8" width="9.625" style="25" bestFit="1" customWidth="1"/>
    <col min="9" max="9" width="14.5" style="25" bestFit="1" customWidth="1"/>
    <col min="10" max="16384" width="9" style="25"/>
  </cols>
  <sheetData>
    <row r="1" spans="2:9">
      <c r="B1" s="25" t="s">
        <v>32</v>
      </c>
      <c r="C1" s="27" t="s">
        <v>13</v>
      </c>
      <c r="D1" s="27"/>
      <c r="F1" s="25" t="s">
        <v>25</v>
      </c>
      <c r="G1" s="27">
        <v>100</v>
      </c>
    </row>
    <row r="2" spans="2:9">
      <c r="B2" s="25" t="s">
        <v>42</v>
      </c>
      <c r="C2" s="31">
        <v>0.35</v>
      </c>
      <c r="D2" s="31"/>
      <c r="F2" s="25" t="s">
        <v>33</v>
      </c>
      <c r="G2" s="27">
        <v>1</v>
      </c>
    </row>
    <row r="3" spans="2:9">
      <c r="B3" s="25" t="s">
        <v>44</v>
      </c>
      <c r="C3" s="31">
        <v>1.4999999999999999E-2</v>
      </c>
      <c r="D3" s="31"/>
      <c r="F3" s="25" t="s">
        <v>26</v>
      </c>
      <c r="G3" s="27">
        <f>G2*G1</f>
        <v>100</v>
      </c>
    </row>
    <row r="4" spans="2:9">
      <c r="B4" s="25" t="s">
        <v>50</v>
      </c>
      <c r="C4" s="57">
        <v>0.7</v>
      </c>
      <c r="D4" s="57"/>
      <c r="F4" s="25" t="s">
        <v>47</v>
      </c>
      <c r="G4" s="25">
        <f>G3*C3</f>
        <v>1.5</v>
      </c>
    </row>
    <row r="8" spans="2:9">
      <c r="B8" s="60" t="s">
        <v>13</v>
      </c>
      <c r="C8" s="34" t="s">
        <v>39</v>
      </c>
      <c r="D8" s="34"/>
      <c r="E8" s="34"/>
      <c r="F8" s="35">
        <v>3</v>
      </c>
      <c r="G8" s="35"/>
    </row>
    <row r="9" spans="2:9" ht="17.25">
      <c r="B9" s="60"/>
      <c r="C9" s="11" t="s">
        <v>0</v>
      </c>
      <c r="D9" s="11"/>
      <c r="E9" s="11" t="s">
        <v>51</v>
      </c>
      <c r="F9" s="3" t="s">
        <v>1</v>
      </c>
      <c r="G9" s="3" t="s">
        <v>49</v>
      </c>
      <c r="H9" s="11" t="s">
        <v>3</v>
      </c>
      <c r="I9" s="3" t="s">
        <v>2</v>
      </c>
    </row>
    <row r="10" spans="2:9">
      <c r="B10" s="60"/>
      <c r="C10" s="35">
        <v>-100</v>
      </c>
      <c r="D10" s="35"/>
      <c r="E10" s="35">
        <f>C10</f>
        <v>-100</v>
      </c>
      <c r="F10" s="34"/>
      <c r="G10" s="34"/>
      <c r="H10" s="34"/>
      <c r="I10" s="34">
        <f>G3-G4</f>
        <v>98.5</v>
      </c>
    </row>
    <row r="11" spans="2:9">
      <c r="B11" s="60"/>
      <c r="C11" s="36">
        <f>PMT(C2/12,3,-I10)</f>
        <v>34.766962953958185</v>
      </c>
      <c r="D11" s="36"/>
      <c r="E11" s="36">
        <f>F11+G11</f>
        <v>33.905087953958187</v>
      </c>
      <c r="F11" s="45">
        <f>C11-H11</f>
        <v>31.89404628729152</v>
      </c>
      <c r="G11" s="56">
        <f>H11*$C$4</f>
        <v>2.0110416666666664</v>
      </c>
      <c r="H11" s="56">
        <f>I10*$C$2/12</f>
        <v>2.8729166666666663</v>
      </c>
      <c r="I11" s="34">
        <f>I10-F11</f>
        <v>66.605953712708484</v>
      </c>
    </row>
    <row r="12" spans="2:9">
      <c r="B12" s="60"/>
      <c r="C12" s="36">
        <f>C11</f>
        <v>34.766962953958185</v>
      </c>
      <c r="D12" s="36"/>
      <c r="E12" s="36">
        <f t="shared" ref="E12:E13" si="0">F12+G12</f>
        <v>34.184160858971985</v>
      </c>
      <c r="F12" s="45">
        <f>C12-H12</f>
        <v>32.824289304004189</v>
      </c>
      <c r="G12" s="56">
        <f t="shared" ref="G12:G13" si="1">H12*$C$4</f>
        <v>1.359871554967798</v>
      </c>
      <c r="H12" s="56">
        <f t="shared" ref="H12:H13" si="2">I11*$C$2/12</f>
        <v>1.9426736499539974</v>
      </c>
      <c r="I12" s="34">
        <f>I11-F12</f>
        <v>33.781664408704295</v>
      </c>
    </row>
    <row r="13" spans="2:9">
      <c r="B13" s="60"/>
      <c r="C13" s="36">
        <f>C12</f>
        <v>34.766962953958185</v>
      </c>
      <c r="D13" s="36"/>
      <c r="E13" s="36">
        <f t="shared" si="0"/>
        <v>34.47137339038202</v>
      </c>
      <c r="F13" s="45">
        <f>C13-H13</f>
        <v>33.781664408704309</v>
      </c>
      <c r="G13" s="56">
        <f t="shared" si="1"/>
        <v>0.68970898167771255</v>
      </c>
      <c r="H13" s="56">
        <f t="shared" si="2"/>
        <v>0.98529854525387517</v>
      </c>
      <c r="I13" s="54">
        <f>I12-F13</f>
        <v>0</v>
      </c>
    </row>
    <row r="14" spans="2:9">
      <c r="B14" s="60"/>
      <c r="C14" s="58">
        <f>IRR(C10:C13)</f>
        <v>2.1354057068107224E-2</v>
      </c>
      <c r="D14" s="58">
        <f>C14*12</f>
        <v>0.25624868481728669</v>
      </c>
      <c r="E14" s="58">
        <f>IRR(E10:E13)</f>
        <v>1.2713802561782339E-2</v>
      </c>
      <c r="F14" s="59">
        <f>E14*12</f>
        <v>0.15256563074138807</v>
      </c>
      <c r="G14" s="38"/>
      <c r="H14" s="34"/>
      <c r="I14" s="34"/>
    </row>
    <row r="15" spans="2:9">
      <c r="B15" s="60"/>
      <c r="C15" s="39" t="s">
        <v>15</v>
      </c>
      <c r="D15" s="39"/>
      <c r="E15" s="39" t="s">
        <v>15</v>
      </c>
      <c r="F15" s="39" t="s">
        <v>5</v>
      </c>
      <c r="G15" s="39"/>
      <c r="H15" s="34"/>
      <c r="I15" s="34"/>
    </row>
    <row r="16" spans="2:9">
      <c r="B16" s="34"/>
    </row>
    <row r="17" spans="2:2">
      <c r="B17" s="34"/>
    </row>
    <row r="18" spans="2:2">
      <c r="B18" s="60" t="s">
        <v>10</v>
      </c>
    </row>
    <row r="19" spans="2:2">
      <c r="B19" s="60"/>
    </row>
    <row r="20" spans="2:2">
      <c r="B20" s="60"/>
    </row>
    <row r="21" spans="2:2">
      <c r="B21" s="60"/>
    </row>
    <row r="22" spans="2:2">
      <c r="B22" s="60"/>
    </row>
    <row r="23" spans="2:2">
      <c r="B23" s="60"/>
    </row>
    <row r="24" spans="2:2">
      <c r="B24" s="60"/>
    </row>
    <row r="25" spans="2:2">
      <c r="B25" s="60"/>
    </row>
  </sheetData>
  <mergeCells count="2">
    <mergeCell ref="B8:B15"/>
    <mergeCell ref="B18:B25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showGridLines="0" workbookViewId="0">
      <selection activeCell="K3" sqref="K3"/>
    </sheetView>
  </sheetViews>
  <sheetFormatPr defaultColWidth="9" defaultRowHeight="16.5"/>
  <cols>
    <col min="1" max="1" width="9" style="4" customWidth="1"/>
    <col min="2" max="2" width="13.125" style="8" bestFit="1" customWidth="1"/>
    <col min="3" max="4" width="11.125" style="8" bestFit="1" customWidth="1"/>
    <col min="5" max="5" width="10.625" style="8" bestFit="1" customWidth="1"/>
    <col min="6" max="6" width="13.125" style="7" bestFit="1" customWidth="1"/>
    <col min="7" max="7" width="9.125" style="8" bestFit="1" customWidth="1"/>
    <col min="8" max="8" width="4" style="8" customWidth="1"/>
    <col min="9" max="9" width="10.25" style="8" customWidth="1"/>
    <col min="10" max="10" width="13.125" style="8" bestFit="1" customWidth="1"/>
    <col min="11" max="12" width="11.125" style="8" bestFit="1" customWidth="1"/>
    <col min="13" max="13" width="10.625" style="8" bestFit="1" customWidth="1"/>
    <col min="14" max="14" width="13.125" style="8" bestFit="1" customWidth="1"/>
    <col min="15" max="15" width="9.125" style="8" bestFit="1" customWidth="1"/>
    <col min="16" max="16384" width="9" style="8"/>
  </cols>
  <sheetData>
    <row r="1" spans="1:15" s="1" customFormat="1">
      <c r="A1" s="9" t="s">
        <v>19</v>
      </c>
      <c r="B1" s="9">
        <v>6.0000000000000001E-3</v>
      </c>
      <c r="C1" s="9"/>
      <c r="D1" s="9"/>
      <c r="E1" s="23"/>
      <c r="F1" s="17"/>
      <c r="I1" s="9" t="s">
        <v>7</v>
      </c>
    </row>
    <row r="2" spans="1:15" s="1" customFormat="1">
      <c r="A2" s="2" t="s">
        <v>6</v>
      </c>
      <c r="B2" s="3" t="s">
        <v>0</v>
      </c>
      <c r="C2" s="3" t="s">
        <v>3</v>
      </c>
      <c r="D2" s="3" t="s">
        <v>1</v>
      </c>
      <c r="E2" s="3" t="s">
        <v>2</v>
      </c>
      <c r="F2" s="17" t="s">
        <v>4</v>
      </c>
      <c r="G2" s="1" t="s">
        <v>5</v>
      </c>
      <c r="I2" s="2" t="s">
        <v>6</v>
      </c>
      <c r="J2" s="3" t="s">
        <v>0</v>
      </c>
      <c r="K2" s="3" t="s">
        <v>3</v>
      </c>
      <c r="L2" s="3" t="s">
        <v>1</v>
      </c>
      <c r="M2" s="3" t="s">
        <v>9</v>
      </c>
      <c r="N2" s="1" t="s">
        <v>4</v>
      </c>
      <c r="O2" s="1" t="s">
        <v>5</v>
      </c>
    </row>
    <row r="3" spans="1:15">
      <c r="A3" s="4">
        <v>0</v>
      </c>
      <c r="B3" s="5">
        <v>-1200</v>
      </c>
      <c r="C3" s="5"/>
      <c r="D3" s="5"/>
      <c r="E3" s="5">
        <v>1200</v>
      </c>
      <c r="G3" s="7">
        <f>F3*12</f>
        <v>0</v>
      </c>
      <c r="I3" s="4">
        <v>0</v>
      </c>
      <c r="J3" s="5">
        <v>-12000</v>
      </c>
      <c r="K3" s="5"/>
      <c r="L3" s="5"/>
      <c r="M3" s="5">
        <v>12000</v>
      </c>
      <c r="N3" s="6">
        <v>9.0803187654180384E-3</v>
      </c>
      <c r="O3" s="7">
        <f>N3*12</f>
        <v>0.10896382518501646</v>
      </c>
    </row>
    <row r="4" spans="1:15">
      <c r="A4" s="4">
        <v>1</v>
      </c>
      <c r="B4" s="5">
        <v>124.3</v>
      </c>
      <c r="C4" s="5">
        <f>E3*2.38%</f>
        <v>28.56</v>
      </c>
      <c r="D4" s="5">
        <f>B4-C4</f>
        <v>95.74</v>
      </c>
      <c r="E4" s="5">
        <f>E3-D4</f>
        <v>1104.26</v>
      </c>
      <c r="F4" s="7">
        <f>C4/E3</f>
        <v>2.3799999999999998E-2</v>
      </c>
      <c r="I4" s="4">
        <v>1</v>
      </c>
      <c r="J4" s="5">
        <v>1060</v>
      </c>
      <c r="K4" s="5">
        <f>M3*N$3</f>
        <v>108.96382518501646</v>
      </c>
      <c r="L4" s="5">
        <f>J4-K4</f>
        <v>951.0361748149835</v>
      </c>
      <c r="M4" s="5">
        <f>M3-L4</f>
        <v>11048.963825185016</v>
      </c>
    </row>
    <row r="5" spans="1:15">
      <c r="A5" s="4">
        <v>2</v>
      </c>
      <c r="B5" s="5">
        <v>124.3</v>
      </c>
      <c r="C5" s="5">
        <v>27.82</v>
      </c>
      <c r="D5" s="5">
        <f t="shared" ref="D5:D15" si="0">B5-C5</f>
        <v>96.47999999999999</v>
      </c>
      <c r="E5" s="5">
        <f t="shared" ref="E5:E15" si="1">E4-D5</f>
        <v>1007.78</v>
      </c>
      <c r="F5" s="7">
        <f t="shared" ref="F5:F14" si="2">C5/E4</f>
        <v>2.519334214768261E-2</v>
      </c>
      <c r="I5" s="4">
        <v>2</v>
      </c>
      <c r="J5" s="5">
        <v>1060</v>
      </c>
      <c r="K5" s="5">
        <f t="shared" ref="K5:K15" si="3">M4*N$3</f>
        <v>100.32811356025256</v>
      </c>
      <c r="L5" s="5">
        <f t="shared" ref="L5:L15" si="4">J5-K5</f>
        <v>959.67188643974748</v>
      </c>
      <c r="M5" s="5">
        <f t="shared" ref="M5:M15" si="5">M4-L5</f>
        <v>10089.291938745268</v>
      </c>
    </row>
    <row r="6" spans="1:15">
      <c r="A6" s="4">
        <v>3</v>
      </c>
      <c r="B6" s="5">
        <v>124.3</v>
      </c>
      <c r="C6" s="5">
        <v>27.05</v>
      </c>
      <c r="D6" s="5">
        <f t="shared" si="0"/>
        <v>97.25</v>
      </c>
      <c r="E6" s="5">
        <f t="shared" si="1"/>
        <v>910.53</v>
      </c>
      <c r="F6" s="7">
        <f t="shared" si="2"/>
        <v>2.684117565341642E-2</v>
      </c>
      <c r="I6" s="4">
        <v>3</v>
      </c>
      <c r="J6" s="5">
        <v>1060</v>
      </c>
      <c r="K6" s="5">
        <f t="shared" si="3"/>
        <v>91.613986921169598</v>
      </c>
      <c r="L6" s="5">
        <f t="shared" si="4"/>
        <v>968.38601307883039</v>
      </c>
      <c r="M6" s="5">
        <f t="shared" si="5"/>
        <v>9120.9059256664368</v>
      </c>
    </row>
    <row r="7" spans="1:15">
      <c r="A7" s="4">
        <v>4</v>
      </c>
      <c r="B7" s="5">
        <v>124.3</v>
      </c>
      <c r="C7" s="5">
        <v>26.28</v>
      </c>
      <c r="D7" s="5">
        <f t="shared" si="0"/>
        <v>98.02</v>
      </c>
      <c r="E7" s="5">
        <f t="shared" si="1"/>
        <v>812.51</v>
      </c>
      <c r="F7" s="7">
        <f t="shared" si="2"/>
        <v>2.8862310961747555E-2</v>
      </c>
      <c r="I7" s="4">
        <v>4</v>
      </c>
      <c r="J7" s="5">
        <v>1060</v>
      </c>
      <c r="K7" s="5">
        <f t="shared" si="3"/>
        <v>82.820733234441533</v>
      </c>
      <c r="L7" s="5">
        <f t="shared" si="4"/>
        <v>977.17926676555851</v>
      </c>
      <c r="M7" s="5">
        <f t="shared" si="5"/>
        <v>8143.7266589008786</v>
      </c>
    </row>
    <row r="8" spans="1:15">
      <c r="A8" s="4">
        <v>5</v>
      </c>
      <c r="B8" s="5">
        <v>124.3</v>
      </c>
      <c r="C8" s="5">
        <v>25.51</v>
      </c>
      <c r="D8" s="5">
        <f t="shared" si="0"/>
        <v>98.789999999999992</v>
      </c>
      <c r="E8" s="5">
        <f t="shared" si="1"/>
        <v>713.72</v>
      </c>
      <c r="F8" s="7">
        <f t="shared" si="2"/>
        <v>3.1396536658010364E-2</v>
      </c>
      <c r="I8" s="4">
        <v>5</v>
      </c>
      <c r="J8" s="5">
        <v>1060</v>
      </c>
      <c r="K8" s="5">
        <f t="shared" si="3"/>
        <v>73.947634001252794</v>
      </c>
      <c r="L8" s="5">
        <f t="shared" si="4"/>
        <v>986.05236599874718</v>
      </c>
      <c r="M8" s="5">
        <f t="shared" si="5"/>
        <v>7157.6742929021311</v>
      </c>
    </row>
    <row r="9" spans="1:15">
      <c r="A9" s="4">
        <v>6</v>
      </c>
      <c r="B9" s="5">
        <v>124.3</v>
      </c>
      <c r="C9" s="5">
        <v>24.73</v>
      </c>
      <c r="D9" s="5">
        <f t="shared" si="0"/>
        <v>99.57</v>
      </c>
      <c r="E9" s="5">
        <f t="shared" si="1"/>
        <v>614.15000000000009</v>
      </c>
      <c r="F9" s="7">
        <f t="shared" si="2"/>
        <v>3.4649442358347812E-2</v>
      </c>
      <c r="I9" s="4">
        <v>6</v>
      </c>
      <c r="J9" s="5">
        <v>1060</v>
      </c>
      <c r="K9" s="5">
        <f t="shared" si="3"/>
        <v>64.993964198589509</v>
      </c>
      <c r="L9" s="5">
        <f t="shared" si="4"/>
        <v>995.00603580141046</v>
      </c>
      <c r="M9" s="5">
        <f t="shared" si="5"/>
        <v>6162.6682571007204</v>
      </c>
    </row>
    <row r="10" spans="1:15">
      <c r="A10" s="4">
        <v>7</v>
      </c>
      <c r="B10" s="5">
        <v>124.3</v>
      </c>
      <c r="C10" s="5">
        <v>23.94</v>
      </c>
      <c r="D10" s="5">
        <f t="shared" si="0"/>
        <v>100.36</v>
      </c>
      <c r="E10" s="5">
        <f t="shared" si="1"/>
        <v>513.79000000000008</v>
      </c>
      <c r="F10" s="7">
        <f t="shared" si="2"/>
        <v>3.8980705039485461E-2</v>
      </c>
      <c r="I10" s="4">
        <v>7</v>
      </c>
      <c r="J10" s="5">
        <v>1060</v>
      </c>
      <c r="K10" s="5">
        <f t="shared" si="3"/>
        <v>55.958992219997747</v>
      </c>
      <c r="L10" s="5">
        <f t="shared" si="4"/>
        <v>1004.0410077800022</v>
      </c>
      <c r="M10" s="5">
        <f t="shared" si="5"/>
        <v>5158.627249320718</v>
      </c>
    </row>
    <row r="11" spans="1:15">
      <c r="A11" s="4">
        <v>8</v>
      </c>
      <c r="B11" s="5">
        <v>124.3</v>
      </c>
      <c r="C11" s="5">
        <v>23.14</v>
      </c>
      <c r="D11" s="5">
        <f t="shared" si="0"/>
        <v>101.16</v>
      </c>
      <c r="E11" s="5">
        <f t="shared" si="1"/>
        <v>412.63000000000011</v>
      </c>
      <c r="F11" s="7">
        <f t="shared" si="2"/>
        <v>4.5037855933357983E-2</v>
      </c>
      <c r="I11" s="4">
        <v>8</v>
      </c>
      <c r="J11" s="5">
        <v>1060</v>
      </c>
      <c r="K11" s="5">
        <f t="shared" si="3"/>
        <v>46.841979815803754</v>
      </c>
      <c r="L11" s="5">
        <f t="shared" si="4"/>
        <v>1013.1580201841963</v>
      </c>
      <c r="M11" s="5">
        <f t="shared" si="5"/>
        <v>4145.4692291365218</v>
      </c>
    </row>
    <row r="12" spans="1:15">
      <c r="A12" s="4">
        <v>9</v>
      </c>
      <c r="B12" s="5">
        <v>124.3</v>
      </c>
      <c r="C12" s="5">
        <v>22.34</v>
      </c>
      <c r="D12" s="5">
        <f t="shared" si="0"/>
        <v>101.96</v>
      </c>
      <c r="E12" s="5">
        <f t="shared" si="1"/>
        <v>310.67000000000013</v>
      </c>
      <c r="F12" s="7">
        <f t="shared" si="2"/>
        <v>5.414051329278044E-2</v>
      </c>
      <c r="I12" s="4">
        <v>9</v>
      </c>
      <c r="J12" s="5">
        <v>1060</v>
      </c>
      <c r="K12" s="5">
        <f t="shared" si="3"/>
        <v>37.642182032791411</v>
      </c>
      <c r="L12" s="5">
        <f t="shared" si="4"/>
        <v>1022.3578179672086</v>
      </c>
      <c r="M12" s="5">
        <f t="shared" si="5"/>
        <v>3123.1114111693132</v>
      </c>
    </row>
    <row r="13" spans="1:15">
      <c r="A13" s="4">
        <v>10</v>
      </c>
      <c r="B13" s="5">
        <v>124.3</v>
      </c>
      <c r="C13" s="5">
        <v>21.53</v>
      </c>
      <c r="D13" s="5">
        <f t="shared" si="0"/>
        <v>102.77</v>
      </c>
      <c r="E13" s="5">
        <f t="shared" si="1"/>
        <v>207.90000000000015</v>
      </c>
      <c r="F13" s="7">
        <f t="shared" si="2"/>
        <v>6.9301831525412791E-2</v>
      </c>
      <c r="I13" s="4">
        <v>10</v>
      </c>
      <c r="J13" s="5">
        <v>1060</v>
      </c>
      <c r="K13" s="5">
        <f t="shared" si="3"/>
        <v>28.358847153331926</v>
      </c>
      <c r="L13" s="5">
        <f t="shared" si="4"/>
        <v>1031.6411528466681</v>
      </c>
      <c r="M13" s="5">
        <f t="shared" si="5"/>
        <v>2091.4702583226453</v>
      </c>
    </row>
    <row r="14" spans="1:15">
      <c r="A14" s="4">
        <v>11</v>
      </c>
      <c r="B14" s="5">
        <v>124.3</v>
      </c>
      <c r="C14" s="5">
        <v>20.72</v>
      </c>
      <c r="D14" s="5">
        <f t="shared" si="0"/>
        <v>103.58</v>
      </c>
      <c r="E14" s="5">
        <f t="shared" si="1"/>
        <v>104.32000000000015</v>
      </c>
      <c r="F14" s="7">
        <f t="shared" si="2"/>
        <v>9.9663299663299593E-2</v>
      </c>
      <c r="I14" s="4">
        <v>11</v>
      </c>
      <c r="J14" s="5">
        <v>1060</v>
      </c>
      <c r="K14" s="5">
        <f t="shared" si="3"/>
        <v>18.991216633960828</v>
      </c>
      <c r="L14" s="5">
        <f t="shared" si="4"/>
        <v>1041.0087833660391</v>
      </c>
      <c r="M14" s="5">
        <f t="shared" si="5"/>
        <v>1050.4614749566063</v>
      </c>
    </row>
    <row r="15" spans="1:15">
      <c r="A15" s="4">
        <v>12</v>
      </c>
      <c r="B15" s="5">
        <v>124.3</v>
      </c>
      <c r="C15" s="5">
        <v>19.899999999999999</v>
      </c>
      <c r="D15" s="5">
        <f t="shared" si="0"/>
        <v>104.4</v>
      </c>
      <c r="E15" s="5">
        <f t="shared" si="1"/>
        <v>-7.9999999999856186E-2</v>
      </c>
      <c r="I15" s="4">
        <v>12</v>
      </c>
      <c r="J15" s="5">
        <v>1060</v>
      </c>
      <c r="K15" s="5">
        <f t="shared" si="3"/>
        <v>9.5385250433971827</v>
      </c>
      <c r="L15" s="5">
        <f t="shared" si="4"/>
        <v>1050.4614749566028</v>
      </c>
      <c r="M15" s="5">
        <f t="shared" si="5"/>
        <v>3.4106051316484809E-12</v>
      </c>
    </row>
    <row r="16" spans="1:15">
      <c r="B16" s="22">
        <f>IRR(B3:B15)</f>
        <v>3.5163144406392233E-2</v>
      </c>
      <c r="I16" s="4"/>
      <c r="J16" s="6">
        <f>IRR(J3:J15)</f>
        <v>9.0803187654180384E-3</v>
      </c>
      <c r="L16" s="5">
        <f>SUM(L4:L15)</f>
        <v>11999.999999999996</v>
      </c>
    </row>
    <row r="17" spans="1:14">
      <c r="B17" s="7">
        <f>B16*12</f>
        <v>0.42195773287670679</v>
      </c>
    </row>
    <row r="19" spans="1:14">
      <c r="C19" s="5">
        <f>SUM(C4:C15)</f>
        <v>291.52</v>
      </c>
      <c r="D19" s="7">
        <f>C19/E3</f>
        <v>0.24293333333333331</v>
      </c>
      <c r="J19" s="8">
        <v>5000</v>
      </c>
      <c r="K19" s="10">
        <v>0.1</v>
      </c>
      <c r="L19" s="8">
        <v>500</v>
      </c>
      <c r="M19" s="8">
        <v>5500</v>
      </c>
      <c r="N19" s="8">
        <v>550</v>
      </c>
    </row>
    <row r="21" spans="1:14">
      <c r="B21" s="8">
        <v>-263.55</v>
      </c>
      <c r="J21" s="8">
        <v>12000</v>
      </c>
      <c r="K21" s="8">
        <f>J21*0.5%*12</f>
        <v>720</v>
      </c>
      <c r="L21" s="8">
        <f>J21+K21</f>
        <v>12720</v>
      </c>
      <c r="M21" s="8">
        <f>L21/12</f>
        <v>1060</v>
      </c>
    </row>
    <row r="22" spans="1:14">
      <c r="A22" s="4">
        <v>1</v>
      </c>
      <c r="B22" s="8">
        <v>24.57</v>
      </c>
    </row>
    <row r="23" spans="1:14">
      <c r="A23" s="4">
        <v>2</v>
      </c>
      <c r="B23" s="8">
        <v>24.57</v>
      </c>
    </row>
    <row r="24" spans="1:14">
      <c r="A24" s="4">
        <v>3</v>
      </c>
      <c r="B24" s="8">
        <v>24.57</v>
      </c>
    </row>
    <row r="25" spans="1:14">
      <c r="A25" s="4">
        <v>4</v>
      </c>
      <c r="B25" s="8">
        <v>24.57</v>
      </c>
    </row>
    <row r="26" spans="1:14">
      <c r="A26" s="4">
        <v>5</v>
      </c>
      <c r="B26" s="8">
        <v>24.57</v>
      </c>
    </row>
    <row r="27" spans="1:14">
      <c r="A27" s="4">
        <v>6</v>
      </c>
      <c r="B27" s="8">
        <v>24.57</v>
      </c>
    </row>
    <row r="28" spans="1:14">
      <c r="A28" s="4">
        <v>7</v>
      </c>
      <c r="B28" s="8">
        <v>24.57</v>
      </c>
    </row>
    <row r="29" spans="1:14">
      <c r="A29" s="4">
        <v>8</v>
      </c>
      <c r="B29" s="8">
        <v>24.57</v>
      </c>
    </row>
    <row r="30" spans="1:14">
      <c r="A30" s="4">
        <v>9</v>
      </c>
      <c r="B30" s="8">
        <v>24.57</v>
      </c>
    </row>
    <row r="31" spans="1:14">
      <c r="A31" s="4">
        <v>10</v>
      </c>
      <c r="B31" s="8">
        <v>24.57</v>
      </c>
    </row>
    <row r="32" spans="1:14">
      <c r="A32" s="4">
        <v>11</v>
      </c>
      <c r="B32" s="8">
        <v>24.57</v>
      </c>
    </row>
    <row r="33" spans="1:3">
      <c r="A33" s="4">
        <v>12</v>
      </c>
      <c r="B33" s="8">
        <v>24.57</v>
      </c>
    </row>
    <row r="34" spans="1:3">
      <c r="B34" s="22">
        <f>IRR(B21:B33)</f>
        <v>1.7696693436458855E-2</v>
      </c>
      <c r="C34" s="7">
        <f>B34*12</f>
        <v>0.21236032123750626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12期</vt:lpstr>
      <vt:lpstr>6期</vt:lpstr>
      <vt:lpstr>收入测算等额本金</vt:lpstr>
      <vt:lpstr>收入测算等额本息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2019-10-31T09:44:42Z</dcterms:modified>
</cp:coreProperties>
</file>