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LANGKAH 1" sheetId="2" r:id="rId5"/>
    <sheet state="visible" name="LANGKAH 2" sheetId="3" r:id="rId6"/>
    <sheet state="visible" name="LANGKAH 3" sheetId="4" r:id="rId7"/>
    <sheet state="visible" name="LANGKAH 4" sheetId="5" r:id="rId8"/>
  </sheets>
  <definedNames>
    <definedName hidden="1" localSheetId="0" name="_xlnm._FilterDatabase">DATASET!$A$1:$G$1339</definedName>
    <definedName hidden="1" localSheetId="3" name="Z_4CAFF1BB_9BF7_4C12_A6E8_1A9D37B0A9C7_.wvu.FilterData">'LANGKAH 3'!$L$3:$O$1343</definedName>
  </definedNames>
  <calcPr/>
  <customWorkbookViews>
    <customWorkbookView activeSheetId="0" maximized="1" windowHeight="0" windowWidth="0" guid="{4CAFF1BB-9BF7-4C12-A6E8-1A9D37B0A9C7}" name="Filter 1"/>
  </customWorkbookViews>
</workbook>
</file>

<file path=xl/sharedStrings.xml><?xml version="1.0" encoding="utf-8"?>
<sst xmlns="http://schemas.openxmlformats.org/spreadsheetml/2006/main" count="4261" uniqueCount="212">
  <si>
    <t>age</t>
  </si>
  <si>
    <t>sex</t>
  </si>
  <si>
    <t>bmi</t>
  </si>
  <si>
    <t>children</t>
  </si>
  <si>
    <t>smoker</t>
  </si>
  <si>
    <t>region</t>
  </si>
  <si>
    <t>charges</t>
  </si>
  <si>
    <t>male</t>
  </si>
  <si>
    <t>no</t>
  </si>
  <si>
    <t>southeast</t>
  </si>
  <si>
    <t>female</t>
  </si>
  <si>
    <t>northeast</t>
  </si>
  <si>
    <t>yes</t>
  </si>
  <si>
    <t>southwest</t>
  </si>
  <si>
    <t>northwest</t>
  </si>
  <si>
    <t>Analisa Variabel Kategorik (PMF)</t>
  </si>
  <si>
    <t>NO.</t>
  </si>
  <si>
    <t>PERTANYAAN</t>
  </si>
  <si>
    <t>JAWABAN</t>
  </si>
  <si>
    <t>ANALISIS &amp; KESIMPULAN</t>
  </si>
  <si>
    <t>1.</t>
  </si>
  <si>
    <t>Rata-rata umur pengguna</t>
  </si>
  <si>
    <t>Rata-rata umur pengguna asuransi ini adalah 39,21 tahun (jika digenapkan mejadi 39 tahun)</t>
  </si>
  <si>
    <t xml:space="preserve">2. </t>
  </si>
  <si>
    <t>Rata-rata nilai BMI dari pengguna</t>
  </si>
  <si>
    <t>BMI ideal berada diantara nilai 18.5 to 24.9 kg/m^2. rata-rata pengguna memiliki  BMI tidak ideal (di atas normal/overweight).</t>
  </si>
  <si>
    <t xml:space="preserve">3. </t>
  </si>
  <si>
    <t>Berapa rata rata umur pengguna yang merokok pada data tersebut?</t>
  </si>
  <si>
    <t>Rata-rata pengguna yang merokok adalah 38.51 tahun</t>
  </si>
  <si>
    <t xml:space="preserve">4. </t>
  </si>
  <si>
    <t>Berapa rata rata nilai BMI dari yang merokok?</t>
  </si>
  <si>
    <t>Pengguna yang merokok juga memiliki rata-rata BMI diatas normal (overweight)</t>
  </si>
  <si>
    <t xml:space="preserve">5. </t>
  </si>
  <si>
    <t>Apakah variansi dari data charges perokok dan non perokok sama?</t>
  </si>
  <si>
    <t>variansi data perokok jauh lebih besar daripada varian non-perokok</t>
  </si>
  <si>
    <t xml:space="preserve">  </t>
  </si>
  <si>
    <t>variansi charge perokok</t>
  </si>
  <si>
    <t>variansi charge non-perokok</t>
  </si>
  <si>
    <t xml:space="preserve">6. </t>
  </si>
  <si>
    <t>Apakah rata rata umur perempuan dan laki-laki yang merokok sama?</t>
  </si>
  <si>
    <t>tidak sama persis. rata-rata umur kedua kelompok tersebut memiliki selisih sekitar 0.19 tahun</t>
  </si>
  <si>
    <t>rata-rata umur perempuan yang merokok</t>
  </si>
  <si>
    <t>rata-rata umur laki-laki yang merokok</t>
  </si>
  <si>
    <t xml:space="preserve">7. </t>
  </si>
  <si>
    <t>Mana yang lebih tinggi, rata rata tagihan kesehatan perokok atau non merokok?</t>
  </si>
  <si>
    <t>Rata-rata tagihan kesehatan perokok jauh lebih besar daripada yang tidak merokok</t>
  </si>
  <si>
    <t>rata-rata tagihan perokok</t>
  </si>
  <si>
    <t>rata-rata tagihan non-perokok</t>
  </si>
  <si>
    <t xml:space="preserve">8. </t>
  </si>
  <si>
    <t>Mana yang lebih tinggi, rata rata tagihan kesehatan perokok yang BMI nya diatas 25 atau non perokok yang BMI nya diatas 25?</t>
  </si>
  <si>
    <t>Rata-rata tagihan kesehatan perokok dengan BMI &gt; 25 lebih tinggi daripada rata-rata tagihan non-perokok dengan BMI &gt; 25.</t>
  </si>
  <si>
    <t>rata-rata tagihan perokok, BMI &gt;25</t>
  </si>
  <si>
    <t>rata-rata tagihan non-perokok, BMI &gt;25</t>
  </si>
  <si>
    <t>9.</t>
  </si>
  <si>
    <t>BMI mana yang lebih tinggi, seseorang laki-laki atau perempuan?</t>
  </si>
  <si>
    <t>Laki-laki</t>
  </si>
  <si>
    <t>Jika dihitung dari rata-ratanya, BMI laki-laki lebih tinggi daripada BMI perempuan. keduanya memiliki selisih sekitar 0.56 (nilai BMIya tidak terlalu jauh berbeda). Baik perempuan maupun laki-laki memiliki rata-rata BMI diatas normal (overweight)</t>
  </si>
  <si>
    <t>BMI laki-laki</t>
  </si>
  <si>
    <t>BMI perempuan</t>
  </si>
  <si>
    <t>10.</t>
  </si>
  <si>
    <t>BMI mana yang lebih tinggi, seseorang perokok atau non perokok?</t>
  </si>
  <si>
    <t>Berdasarkan perhitungan di nomer 2 dan 4, jika dilihat dari rata-ratanya, perokok memiliki BMI sedikit lebih tinggi daripada non-perokok. selisih rata-rata BMI kedua kelompok ini tidak terlalu besar, yaitu sekitar 0.06</t>
  </si>
  <si>
    <t>rata-rata BMI perokok</t>
  </si>
  <si>
    <t>rata-rata BMI non-perokok</t>
  </si>
  <si>
    <t>1. Gender mana yang memiliki tagihan paling tinggi?</t>
  </si>
  <si>
    <t>CHARGE BY REGION</t>
  </si>
  <si>
    <t>MIN</t>
  </si>
  <si>
    <t>LOWER QUARTILE</t>
  </si>
  <si>
    <t>MEDIAN</t>
  </si>
  <si>
    <t>UPPER QUARTILE</t>
  </si>
  <si>
    <t>MAX</t>
  </si>
  <si>
    <t>FEMALE</t>
  </si>
  <si>
    <t>MALE</t>
  </si>
  <si>
    <t>KESIMPULAN:</t>
  </si>
  <si>
    <t>Jika dilihat dari boxplot tersebut, dapat diketahui bahwa bahwa distribusi data cenderung menjulur ke arah kanan (positive skewness). Karena itu, nilai yang dibandingkan adalah nilai mediannya. Dari mediannya dapat disimpulkan bahwa Female memiliki tagihan paling tinggi.</t>
  </si>
  <si>
    <t>2. Distribusi peluang tagihan di tiap-tiap region</t>
  </si>
  <si>
    <t>7. Bagaimana bentuk distribusi tagihan dari tiap-tiap region?</t>
  </si>
  <si>
    <t>bin size:</t>
  </si>
  <si>
    <t>(karena ingin membuat histogram dengan 20 batang, maka bin size yang digunakan adalah 2450)</t>
  </si>
  <si>
    <t>RANGE</t>
  </si>
  <si>
    <t>Dari ke-4 histogram diatas dapat disimpulkan bahwa tagihan terbanyak terdapat pada rentang 18450 - 20900, ada di wilayah southeast sebanyak 16 data.</t>
  </si>
  <si>
    <t>Tagihan max tertinggi (rentang 62550-65000) berada pada wilayah southeast</t>
  </si>
  <si>
    <t>sedangkan tagihan max terendah berada pada wilayah southwest, yaitu pada rentang 50300-52750</t>
  </si>
  <si>
    <t>3. Apakah setiap region memiliki proporsi data banyak orang yang sama?</t>
  </si>
  <si>
    <t>wilayah</t>
  </si>
  <si>
    <t>jumlah data</t>
  </si>
  <si>
    <t>proporsi</t>
  </si>
  <si>
    <t>Ke-4 wilayah tidak memiliki proporsi yang sama</t>
  </si>
  <si>
    <t>wilayah southwest dan northwest memiliki proporsi yang sama</t>
  </si>
  <si>
    <t>wilayah northeast memiliki proporsi terkecil, tapi tetapi hanya beda 1 data dengan southwest dan northwest</t>
  </si>
  <si>
    <t>wilayah southeast memiliki proporsi terbesar</t>
  </si>
  <si>
    <t>total</t>
  </si>
  <si>
    <t>4. Mana yang lebih tinggi proporsi perokok atau non perokok?</t>
  </si>
  <si>
    <t>perokok</t>
  </si>
  <si>
    <t>Proporsi non-perokok lebih tinggi daripada proporsi perokok</t>
  </si>
  <si>
    <t>non-perokok</t>
  </si>
  <si>
    <t>toal</t>
  </si>
  <si>
    <t>5. Berapa peluang seseorang tersebut adalah perempuan diketahui dia adalah perokok?</t>
  </si>
  <si>
    <t>P(X = perempuan &amp; X = perokok)</t>
  </si>
  <si>
    <t>P(X = perokok)</t>
  </si>
  <si>
    <t>P(X=perempuan | X=perokok) = P(X = perempuan &amp; X = perokok) / P(X = perokok)</t>
  </si>
  <si>
    <t>=</t>
  </si>
  <si>
    <t>0.086 / 0.205</t>
  </si>
  <si>
    <t>Jadi, peluang seseorang tersebut perempuan jika diketahui dia perokok adalah 0.42</t>
  </si>
  <si>
    <t>6. Berapa peluang seseorang tersebut adalah laki-laki diketahui dia adalah perokok?</t>
  </si>
  <si>
    <t>P(X = laki-laki &amp; X = perokok)</t>
  </si>
  <si>
    <t>P(X=laki-laki | X=perokok) = P(X = laki-laki &amp; X = perokok) / P(X = perokok)</t>
  </si>
  <si>
    <t>0.119 / 0.205</t>
  </si>
  <si>
    <t>Jadi, peluang seseorang tersebut perempuan jika diketahui dia perokok adalah 0.58</t>
  </si>
  <si>
    <t>Analisa Variabel Kontinu (CDF)</t>
  </si>
  <si>
    <t>1. Mencari peluang besar tagihan berdasarkan BMI</t>
  </si>
  <si>
    <t>Misalkan, kita akan mencari peluang seorang laki-laki mendapatkan tagihan &gt; 10000 jika diketahui BMI &gt; 24</t>
  </si>
  <si>
    <t>Peluang besar tagihan berdasarkan BMI dapat dicari dengan mencari proporsinya (seperti pada variabel diskrit) karena jumlah sampel yang cukup besar</t>
  </si>
  <si>
    <t>Langkah:</t>
  </si>
  <si>
    <t>1. Filter data dengan BMI &gt; 24</t>
  </si>
  <si>
    <t>2. Hitung jumlah data dengan BMI &gt; 24</t>
  </si>
  <si>
    <t xml:space="preserve">Jumlah data dengan BMI&gt;24 = </t>
  </si>
  <si>
    <t>3. Filter data ke-1 untuk sex=men dan charge&gt;10000</t>
  </si>
  <si>
    <t>4. Hitung jumlah data hasil filter di langkah 3</t>
  </si>
  <si>
    <t>4. Hitung jumlah data hasil filter dari langkah ke-3</t>
  </si>
  <si>
    <t xml:space="preserve">Jumlah data laki-laki dengan tagihan &gt;10000 dan BMI&gt;24 = </t>
  </si>
  <si>
    <t>5. P(L &amp; T &gt; 10000 | BMI &gt; 24) = Jumlah data laki-laki dengan tagihan &gt;10000 dan BMI&gt;24 / jumlah data dengan BMI&gt;24</t>
  </si>
  <si>
    <t xml:space="preserve"> 319 / 1150</t>
  </si>
  <si>
    <t>2. Mencari kemungkin terjadi, seorang perokok dengan BMI diatas 25 akan mendapatkan tagihan kesehatan di atas 16.700</t>
  </si>
  <si>
    <t>P(T&gt;16.700| P &amp; BMI &gt;25)</t>
  </si>
  <si>
    <t>Peluang tersebut dapat dihitung dengan menggunakan langkah-langkahpada nomor 1</t>
  </si>
  <si>
    <t xml:space="preserve">Jumlah data perokok dengan BMI&gt;25 = </t>
  </si>
  <si>
    <t xml:space="preserve">Jumlah data tagihan &gt;16700 dengan BMI &gt; 25 dan merokok= </t>
  </si>
  <si>
    <t xml:space="preserve">P(T&gt;16.700| P &amp; BMI &gt;25) = (Jumlah data tagihan &gt;16700 dengan BMI &gt; 25 dan merokok) / (Jumlah data perokok dengan BMI&gt;25)             </t>
  </si>
  <si>
    <t>215/219</t>
  </si>
  <si>
    <t>Peluang seorang perokok dengan BMI diatas 25 akan mendapatkan tagihan kesehatan di atas 16.700 adalah 0.982</t>
  </si>
  <si>
    <t>3. Berapa peluang seseorang acak tagihan kesehatannya diatas 16.7k diketahui dia adalah perokok</t>
  </si>
  <si>
    <t>P(T&gt;16.700 | P)</t>
  </si>
  <si>
    <t>Jumlah data perokok =</t>
  </si>
  <si>
    <t>Jumlah data tagihan &gt; 16700 dari data perokok =</t>
  </si>
  <si>
    <t xml:space="preserve">P(T&gt;16.700 | P) = Jumlah data tagihan &gt; 16700 dari data perokok/ jumlah data perokok       </t>
  </si>
  <si>
    <t>254 / 274</t>
  </si>
  <si>
    <t>Peluang seseorang acak tagihan kesehatannya diatas 16.7k diketahui dia adalah perokok adalah 0.927</t>
  </si>
  <si>
    <t>4. Mana yang lebih mungkin terjadi</t>
  </si>
  <si>
    <t>a. Seseorang dengan BMI diatas 25 mendapatkan tagihan kesehatan diatas 16.7k, atau</t>
  </si>
  <si>
    <t>b. Seseorang dengan BMI dibawah 25 mendapatkan tagihan kesehatan diatas 16.7k</t>
  </si>
  <si>
    <t>Jumlah data BMI &gt; 25</t>
  </si>
  <si>
    <t>Jumlah data BMI &lt; 25</t>
  </si>
  <si>
    <t>Jumlah data T&gt;16.7k dengan BMI &gt; 25</t>
  </si>
  <si>
    <t>Jumlah data T&gt;16.7k dengan BMI &lt; 25</t>
  </si>
  <si>
    <t>a. P(T&gt;16.7k | BMI &gt;25)    = 283/1091 =</t>
  </si>
  <si>
    <t>b. P(T&gt;16.7k | BMI &lt; 25)   = 51/245     =</t>
  </si>
  <si>
    <t xml:space="preserve">KESIMPULAN: </t>
  </si>
  <si>
    <t>Peluang a &gt; peluang b, dengan perbedaan peluang keduanya sekitar 0.05</t>
  </si>
  <si>
    <t>Jadi seseorang dengan BMI &gt; 25 akan lebih mungkin mendapat tagihan &gt; 16.7k dibandingkan dengan yang memiliki BMI &lt; 25</t>
  </si>
  <si>
    <t>5. Mana yang lebih mungkin terjadi</t>
  </si>
  <si>
    <t>a. Seseorang perokok dengan BMI diatas 25 mendapatkan tagihan kesehatan diatas 16.7k, atau</t>
  </si>
  <si>
    <t>b. Seseorang non perokok dengan BMI diatas 25 mendapatkan tagihan kesehatan diatas 16.7k</t>
  </si>
  <si>
    <t>Jumlah perokok dengan BMI &gt; 25</t>
  </si>
  <si>
    <t>Jumlah non-perokok dengan BMI &gt; 25</t>
  </si>
  <si>
    <t>Jumlah data T&gt;16.7k dengan BMI &gt; 25 dan merupakan perokok</t>
  </si>
  <si>
    <t>Jumlah data T&gt;16.7k dengan BMI &gt; 25 dan bukan merupakan perokok</t>
  </si>
  <si>
    <t xml:space="preserve">a. P(T&gt;16.7k | P &amp; BMI &gt; 25) = 215/219 = </t>
  </si>
  <si>
    <t xml:space="preserve">b. P(T&gt;16.7k | NP &amp; BMI &gt; 25) = 68/872 = </t>
  </si>
  <si>
    <t>Peluang a &gt; peluang b dengan selisih sekitar 0.91</t>
  </si>
  <si>
    <t>Jadi seorang perokok dengan BMI diatas 25 akan lebih mungkin mendapatkan tagihan kesehatan diatas 16.7k daripada non-perokok yang memiliki BMI diatas 25</t>
  </si>
  <si>
    <t>Analisa Korelasi Variabel</t>
  </si>
  <si>
    <t>Rumus untuk menghitung Covariance dan Correlation untuk variabel kuantitatif (diskrit dan kontinu)</t>
  </si>
  <si>
    <t>covariance</t>
  </si>
  <si>
    <t>correlation</t>
  </si>
  <si>
    <t>JUMLAH DATA</t>
  </si>
  <si>
    <t>KORELASI ANTARA AGE DAN BMI</t>
  </si>
  <si>
    <t>mean age</t>
  </si>
  <si>
    <t>mean BMI</t>
  </si>
  <si>
    <t>std age</t>
  </si>
  <si>
    <t>std BMI</t>
  </si>
  <si>
    <t>cov(age,BMI)</t>
  </si>
  <si>
    <t>corr(age,BMI)</t>
  </si>
  <si>
    <t>KESIMPULAN</t>
  </si>
  <si>
    <t xml:space="preserve">Variabel Age dan BMI berkorelasi secara positif, dengan nilai covariance 11,16. </t>
  </si>
  <si>
    <t>Nilai koefisien korelasinya adalah 0,13 yang artinya kekuatan korelasinya sangat rendah.</t>
  </si>
  <si>
    <t>2.</t>
  </si>
  <si>
    <t>KORELASI ANTARA AGE DAN CHILDREN</t>
  </si>
  <si>
    <t>mean children</t>
  </si>
  <si>
    <t>std children</t>
  </si>
  <si>
    <t>cov(age,children)</t>
  </si>
  <si>
    <t>corr(age,children)</t>
  </si>
  <si>
    <t>Variabel Age dan children memiliki nilai covariance mendekati 0, yaitu 0,784.Hal ini berarti nyaris tidak ada hubungan antara variabel age dan children.</t>
  </si>
  <si>
    <t>Nilai koefisien korelasinya adalah 0,05 yang artinya nilai kekuatan korelasinya sangat rendah.</t>
  </si>
  <si>
    <t>3.</t>
  </si>
  <si>
    <t>KORELASI ANTARA BMI DAN CHILDREN</t>
  </si>
  <si>
    <t>cov(BMI, children)</t>
  </si>
  <si>
    <t>corr(BMI, children)</t>
  </si>
  <si>
    <t>Variabel BMI dan children memiliki nilai covariance mendekati 0, yaitu 0,144.Hal ini berarti nyaris tidak ada korelasi antara variabel BMI dan children.</t>
  </si>
  <si>
    <t>Dari hasil perhitungan korelasinya dapat disimpulkan bahwa kekuatan korelasi kedua variabel ini pun sangat rendah</t>
  </si>
  <si>
    <t>4.</t>
  </si>
  <si>
    <t>KORELASI ANTARA CHILDREN DAN CHARGE</t>
  </si>
  <si>
    <t>mean charge</t>
  </si>
  <si>
    <t>std charge</t>
  </si>
  <si>
    <t>cov(children, charge)</t>
  </si>
  <si>
    <t>corr(children, charge)</t>
  </si>
  <si>
    <t>Variabel children dan charge berkorelasi secara positif, dengan nilai covariance 1014,409.</t>
  </si>
  <si>
    <t>Nilai koefisien korelasinya adalah 0,07 yang artinya walaupun saling berkorelasi, nilai kekuatan korelasinya sangat rendah.</t>
  </si>
  <si>
    <t>5.</t>
  </si>
  <si>
    <t>KORELASI ANTARA BMI DAN CHARGE</t>
  </si>
  <si>
    <t>cov(BMI, charge)</t>
  </si>
  <si>
    <t>corr(BMI, charge)</t>
  </si>
  <si>
    <t>Variabel BMI dan charge berkorelasi secara positif, dengan nilai covariance 15.256,005</t>
  </si>
  <si>
    <t>BMI dan charge berkolerasi rendah dengan koefisien korelasi sebesar 0.21.</t>
  </si>
  <si>
    <t>6.</t>
  </si>
  <si>
    <t>KORELASI ANTARA AGE DAN CHARGE</t>
  </si>
  <si>
    <t>cov(age, charge)</t>
  </si>
  <si>
    <t>corr(age, charge)</t>
  </si>
  <si>
    <t>Variabel age dan charge berkorelasi secara positif, dengan nilai covariance 51653,103</t>
  </si>
  <si>
    <t>age dan charge berkolerasi rendah dengan nilai koefisien korelasi sebesar 0.3.</t>
  </si>
  <si>
    <t>Dari keenam perhitungan diatas diketahui bahwa tidak ada variabel kuantitatif (diskrit maupun kontinu) yang berkorelasi tinggi.</t>
  </si>
  <si>
    <t>korelasi terbesar adalah antara variabel age dan charge, dengan nilai korelasi yang masih termasuk dalam kategori rendah (0.3)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</si>
</sst>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
  </numFmts>
  <fonts count="11">
    <font>
      <sz val="10.0"/>
      <color rgb="FF000000"/>
      <name val="Arial"/>
      <scheme val="minor"/>
    </font>
    <font>
      <color theme="1"/>
      <name val="Arial"/>
      <scheme val="minor"/>
    </font>
    <font>
      <b/>
      <sz val="14.0"/>
      <color theme="1"/>
      <name val="Arial"/>
      <scheme val="minor"/>
    </font>
    <font>
      <b/>
      <color theme="1"/>
      <name val="Arial"/>
      <scheme val="minor"/>
    </font>
    <font>
      <sz val="11.0"/>
      <color rgb="FF000000"/>
      <name val="Inconsolata"/>
    </font>
    <font/>
    <font>
      <b/>
      <color theme="1"/>
      <name val="Arial"/>
    </font>
    <font>
      <color theme="1"/>
      <name val="Arial"/>
    </font>
    <font>
      <color rgb="FF828487"/>
      <name val="-apple-system"/>
    </font>
    <font>
      <color rgb="FF828487"/>
      <name val="Arial"/>
    </font>
    <font>
      <color rgb="FF000000"/>
      <name val="Roboto"/>
    </font>
  </fonts>
  <fills count="9">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FFE599"/>
        <bgColor rgb="FFFFE599"/>
      </patternFill>
    </fill>
    <fill>
      <patternFill patternType="solid">
        <fgColor rgb="FFF3F3F3"/>
        <bgColor rgb="FFF3F3F3"/>
      </patternFill>
    </fill>
    <fill>
      <patternFill patternType="solid">
        <fgColor rgb="FFFBFBFC"/>
        <bgColor rgb="FFFBFBFC"/>
      </patternFill>
    </fill>
    <fill>
      <patternFill patternType="solid">
        <fgColor rgb="FFD5A6BD"/>
        <bgColor rgb="FFD5A6B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FCE5CD"/>
      </left>
      <right style="thin">
        <color rgb="FFFCE5CD"/>
      </right>
      <top style="thin">
        <color rgb="FFFCE5CD"/>
      </top>
      <bottom style="thin">
        <color rgb="FFFCE5CD"/>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1" xfId="0" applyAlignment="1" applyFont="1" applyNumberFormat="1">
      <alignment horizontal="center" readingOrder="0"/>
    </xf>
    <xf borderId="0" fillId="0" fontId="1" numFmtId="49" xfId="0" applyAlignment="1" applyFont="1" applyNumberFormat="1">
      <alignment readingOrder="0"/>
    </xf>
    <xf borderId="0" fillId="0" fontId="1" numFmtId="4" xfId="0" applyAlignment="1" applyFont="1" applyNumberFormat="1">
      <alignment horizontal="center" readingOrder="0"/>
    </xf>
    <xf borderId="0" fillId="0" fontId="1" numFmtId="1" xfId="0" applyAlignment="1" applyFont="1" applyNumberFormat="1">
      <alignment readingOrder="0"/>
    </xf>
    <xf borderId="0" fillId="0" fontId="1" numFmtId="164" xfId="0" applyAlignment="1" applyFont="1" applyNumberFormat="1">
      <alignment horizontal="right" readingOrder="0"/>
    </xf>
    <xf borderId="0" fillId="0" fontId="1" numFmtId="0" xfId="0" applyAlignment="1" applyFont="1">
      <alignment horizontal="center"/>
    </xf>
    <xf borderId="0" fillId="0" fontId="1" numFmtId="1" xfId="0" applyAlignment="1" applyFont="1" applyNumberFormat="1">
      <alignment horizontal="center"/>
    </xf>
    <xf borderId="0" fillId="0" fontId="1" numFmtId="49" xfId="0" applyAlignment="1" applyFont="1" applyNumberFormat="1">
      <alignment horizontal="center"/>
    </xf>
    <xf borderId="0" fillId="0" fontId="2" numFmtId="0" xfId="0" applyAlignment="1" applyFont="1">
      <alignment horizontal="center" readingOrder="0" vertical="center"/>
    </xf>
    <xf borderId="0" fillId="0" fontId="1" numFmtId="0" xfId="0" applyAlignment="1" applyFont="1">
      <alignment horizontal="center" vertical="top"/>
    </xf>
    <xf borderId="0" fillId="0" fontId="1" numFmtId="4" xfId="0" applyAlignment="1" applyFont="1" applyNumberFormat="1">
      <alignment shrinkToFit="0" vertical="top" wrapText="1"/>
    </xf>
    <xf borderId="0" fillId="0" fontId="1" numFmtId="0" xfId="0" applyAlignment="1" applyFont="1">
      <alignment vertical="top"/>
    </xf>
    <xf borderId="0" fillId="0" fontId="1" numFmtId="4" xfId="0" applyFont="1" applyNumberFormat="1"/>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4" xfId="0" applyAlignment="1" applyBorder="1" applyFont="1" applyNumberFormat="1">
      <alignment horizontal="center" readingOrder="0" vertical="center"/>
    </xf>
    <xf borderId="0" fillId="0" fontId="1" numFmtId="0" xfId="0" applyAlignment="1" applyFont="1">
      <alignment horizontal="center" vertical="center"/>
    </xf>
    <xf borderId="1" fillId="0" fontId="1" numFmtId="0" xfId="0" applyAlignment="1" applyBorder="1" applyFont="1">
      <alignment horizontal="center" readingOrder="0" vertical="top"/>
    </xf>
    <xf borderId="1" fillId="2" fontId="4" numFmtId="0" xfId="0" applyAlignment="1" applyBorder="1" applyFill="1" applyFont="1">
      <alignment readingOrder="0" shrinkToFit="0" vertical="top" wrapText="1"/>
    </xf>
    <xf borderId="1" fillId="0" fontId="1" numFmtId="4" xfId="0" applyAlignment="1" applyBorder="1" applyFont="1" applyNumberFormat="1">
      <alignment horizontal="center" vertical="top"/>
    </xf>
    <xf borderId="1" fillId="0" fontId="1" numFmtId="0" xfId="0" applyAlignment="1" applyBorder="1" applyFont="1">
      <alignment readingOrder="0" shrinkToFit="0" vertical="top" wrapText="1"/>
    </xf>
    <xf borderId="1" fillId="0" fontId="1" numFmtId="0" xfId="0" applyAlignment="1" applyBorder="1" applyFont="1">
      <alignment readingOrder="0" vertical="top"/>
    </xf>
    <xf borderId="1" fillId="2" fontId="4" numFmtId="4" xfId="0" applyAlignment="1" applyBorder="1" applyFont="1" applyNumberFormat="1">
      <alignment horizontal="center" vertical="top"/>
    </xf>
    <xf borderId="1" fillId="0" fontId="1" numFmtId="4" xfId="0" applyAlignment="1" applyBorder="1" applyFont="1" applyNumberFormat="1">
      <alignment readingOrder="0" shrinkToFit="0" vertical="top" wrapText="1"/>
    </xf>
    <xf borderId="1" fillId="0" fontId="1" numFmtId="0" xfId="0" applyAlignment="1" applyBorder="1" applyFont="1">
      <alignment vertical="top"/>
    </xf>
    <xf borderId="2" fillId="0" fontId="1" numFmtId="0" xfId="0" applyAlignment="1" applyBorder="1" applyFont="1">
      <alignment readingOrder="0" shrinkToFit="0" vertical="top" wrapText="1"/>
    </xf>
    <xf borderId="3" fillId="0" fontId="5" numFmtId="0" xfId="0" applyBorder="1" applyFont="1"/>
    <xf borderId="4" fillId="0" fontId="5" numFmtId="0" xfId="0" applyBorder="1" applyFont="1"/>
    <xf borderId="1" fillId="0" fontId="1" numFmtId="4" xfId="0" applyAlignment="1" applyBorder="1" applyFont="1" applyNumberFormat="1">
      <alignment horizontal="center" readingOrder="0" vertical="center"/>
    </xf>
    <xf borderId="1" fillId="0" fontId="1" numFmtId="4" xfId="0" applyAlignment="1" applyBorder="1" applyFont="1" applyNumberFormat="1">
      <alignment horizontal="center" readingOrder="0" vertical="top"/>
    </xf>
    <xf borderId="1" fillId="0" fontId="1" numFmtId="0" xfId="0" applyAlignment="1" applyBorder="1" applyFont="1">
      <alignment horizontal="center" vertical="top"/>
    </xf>
    <xf borderId="0" fillId="0" fontId="1" numFmtId="4" xfId="0" applyAlignment="1" applyFont="1" applyNumberFormat="1">
      <alignment horizontal="center" vertical="top"/>
    </xf>
    <xf borderId="0" fillId="0" fontId="3" numFmtId="0" xfId="0" applyAlignment="1" applyFont="1">
      <alignment readingOrder="0" vertical="top"/>
    </xf>
    <xf borderId="0" fillId="3" fontId="3" numFmtId="0" xfId="0" applyAlignment="1" applyFill="1" applyFont="1">
      <alignment readingOrder="0" vertical="top"/>
    </xf>
    <xf borderId="0" fillId="3" fontId="1" numFmtId="0" xfId="0" applyFont="1"/>
    <xf borderId="0" fillId="0" fontId="1" numFmtId="4" xfId="0" applyAlignment="1" applyFont="1" applyNumberFormat="1">
      <alignment horizontal="center" readingOrder="0" vertical="center"/>
    </xf>
    <xf borderId="0" fillId="2" fontId="1" numFmtId="0" xfId="0" applyAlignment="1" applyFont="1">
      <alignment readingOrder="0"/>
    </xf>
    <xf borderId="0" fillId="2" fontId="1" numFmtId="0" xfId="0" applyFont="1"/>
    <xf borderId="0" fillId="2" fontId="1" numFmtId="0" xfId="0" applyAlignment="1" applyFont="1">
      <alignment horizontal="center" readingOrder="0" vertical="center"/>
    </xf>
    <xf borderId="0" fillId="2" fontId="1" numFmtId="0" xfId="0" applyAlignment="1" applyFont="1">
      <alignment horizontal="center" readingOrder="0" shrinkToFit="0" vertical="center" wrapText="1"/>
    </xf>
    <xf borderId="0" fillId="0" fontId="1" numFmtId="4" xfId="0" applyAlignment="1" applyFont="1" applyNumberFormat="1">
      <alignment readingOrder="0"/>
    </xf>
    <xf borderId="0" fillId="0" fontId="1" numFmtId="0" xfId="0" applyAlignment="1" applyFont="1">
      <alignment readingOrder="0"/>
    </xf>
    <xf borderId="5" fillId="4" fontId="1" numFmtId="0" xfId="0" applyAlignment="1" applyBorder="1" applyFill="1" applyFont="1">
      <alignment horizontal="center" readingOrder="0" vertical="center"/>
    </xf>
    <xf borderId="5" fillId="4" fontId="1" numFmtId="0" xfId="0" applyAlignment="1" applyBorder="1" applyFont="1">
      <alignment horizontal="center" readingOrder="0" shrinkToFit="0" vertical="center" wrapText="1"/>
    </xf>
    <xf borderId="0" fillId="2" fontId="4" numFmtId="4" xfId="0" applyFont="1" applyNumberFormat="1"/>
    <xf borderId="5" fillId="4" fontId="1" numFmtId="0" xfId="0" applyAlignment="1" applyBorder="1" applyFont="1">
      <alignment readingOrder="0"/>
    </xf>
    <xf borderId="5" fillId="0" fontId="1" numFmtId="0" xfId="0" applyBorder="1" applyFont="1"/>
    <xf borderId="5" fillId="0" fontId="1" numFmtId="0" xfId="0" applyAlignment="1" applyBorder="1" applyFont="1">
      <alignment horizontal="right"/>
    </xf>
    <xf borderId="5" fillId="5" fontId="1" numFmtId="0" xfId="0" applyAlignment="1" applyBorder="1" applyFill="1" applyFont="1">
      <alignment horizontal="right"/>
    </xf>
    <xf borderId="0" fillId="0" fontId="3" numFmtId="0" xfId="0" applyAlignment="1" applyFont="1">
      <alignment readingOrder="0"/>
    </xf>
    <xf borderId="0" fillId="0" fontId="1" numFmtId="0" xfId="0" applyAlignment="1" applyFont="1">
      <alignment readingOrder="0" shrinkToFit="0" vertical="top" wrapText="1"/>
    </xf>
    <xf borderId="0" fillId="3" fontId="3" numFmtId="0" xfId="0" applyAlignment="1" applyFont="1">
      <alignment readingOrder="0"/>
    </xf>
    <xf borderId="0" fillId="0" fontId="1" numFmtId="0" xfId="0" applyAlignment="1" applyFont="1">
      <alignment horizontal="right" readingOrder="0"/>
    </xf>
    <xf borderId="0" fillId="0" fontId="1" numFmtId="0" xfId="0" applyFont="1"/>
    <xf borderId="0" fillId="4" fontId="1" numFmtId="4" xfId="0" applyFont="1" applyNumberFormat="1"/>
    <xf borderId="0" fillId="0" fontId="1" numFmtId="165" xfId="0" applyAlignment="1" applyFont="1" applyNumberFormat="1">
      <alignment horizontal="center"/>
    </xf>
    <xf borderId="0" fillId="2" fontId="4" numFmtId="0" xfId="0" applyFont="1"/>
    <xf borderId="0" fillId="4" fontId="3" numFmtId="0" xfId="0" applyAlignment="1" applyFont="1">
      <alignment readingOrder="0"/>
    </xf>
    <xf borderId="0" fillId="0" fontId="1" numFmtId="2" xfId="0" applyAlignment="1" applyFont="1" applyNumberFormat="1">
      <alignment horizontal="center"/>
    </xf>
    <xf borderId="0" fillId="0" fontId="1" numFmtId="165" xfId="0" applyFont="1" applyNumberFormat="1"/>
    <xf quotePrefix="1" borderId="0" fillId="0" fontId="1" numFmtId="0" xfId="0" applyAlignment="1" applyFont="1">
      <alignment horizontal="right" readingOrder="0"/>
    </xf>
    <xf borderId="0" fillId="0" fontId="1" numFmtId="2" xfId="0" applyAlignment="1" applyFont="1" applyNumberFormat="1">
      <alignment horizontal="left"/>
    </xf>
    <xf borderId="0" fillId="0" fontId="3" numFmtId="0" xfId="0" applyFont="1"/>
    <xf borderId="0" fillId="3" fontId="3" numFmtId="0" xfId="0" applyFont="1"/>
    <xf borderId="0" fillId="2" fontId="4" numFmtId="0" xfId="0" applyAlignment="1" applyFont="1">
      <alignment readingOrder="0"/>
    </xf>
    <xf borderId="0" fillId="0" fontId="6" numFmtId="49" xfId="0" applyAlignment="1" applyFont="1" applyNumberFormat="1">
      <alignment vertical="bottom"/>
    </xf>
    <xf borderId="0" fillId="0" fontId="6" numFmtId="4" xfId="0" applyAlignment="1" applyFont="1" applyNumberFormat="1">
      <alignment horizontal="center" vertical="bottom"/>
    </xf>
    <xf borderId="0" fillId="0" fontId="6" numFmtId="164" xfId="0" applyAlignment="1" applyFont="1" applyNumberFormat="1">
      <alignment horizontal="right" vertical="bottom"/>
    </xf>
    <xf borderId="0" fillId="0" fontId="7" numFmtId="49" xfId="0" applyAlignment="1" applyFont="1" applyNumberFormat="1">
      <alignment vertical="bottom"/>
    </xf>
    <xf borderId="0" fillId="0" fontId="7" numFmtId="4" xfId="0" applyAlignment="1" applyFont="1" applyNumberFormat="1">
      <alignment horizontal="center" vertical="bottom"/>
    </xf>
    <xf borderId="0" fillId="0" fontId="7" numFmtId="164" xfId="0" applyAlignment="1" applyFont="1" applyNumberFormat="1">
      <alignment horizontal="right" vertical="bottom"/>
    </xf>
    <xf borderId="0" fillId="6" fontId="1" numFmtId="0" xfId="0" applyFill="1" applyFont="1"/>
    <xf borderId="0" fillId="0" fontId="1" numFmtId="0" xfId="0" applyAlignment="1" applyFont="1">
      <alignment horizontal="right" readingOrder="0" shrinkToFit="0" vertical="center" wrapText="1"/>
    </xf>
    <xf borderId="0" fillId="6" fontId="4" numFmtId="0" xfId="0" applyAlignment="1" applyFont="1">
      <alignment readingOrder="0" shrinkToFit="0" vertical="center" wrapText="1"/>
    </xf>
    <xf borderId="0" fillId="0" fontId="1" numFmtId="165" xfId="0" applyAlignment="1" applyFont="1" applyNumberFormat="1">
      <alignment horizontal="left"/>
    </xf>
    <xf borderId="0" fillId="0" fontId="1" numFmtId="0" xfId="0" applyAlignment="1" applyFont="1">
      <alignment horizontal="right" readingOrder="0" shrinkToFit="0" wrapText="1"/>
    </xf>
    <xf borderId="0" fillId="2" fontId="4" numFmtId="0" xfId="0" applyFont="1"/>
    <xf borderId="0" fillId="2" fontId="3" numFmtId="0" xfId="0" applyAlignment="1" applyFont="1">
      <alignment readingOrder="0"/>
    </xf>
    <xf borderId="0" fillId="0" fontId="1" numFmtId="0" xfId="0" applyAlignment="1" applyFont="1">
      <alignment horizontal="left"/>
    </xf>
    <xf borderId="0" fillId="0" fontId="1" numFmtId="0" xfId="0" applyAlignment="1" applyFont="1">
      <alignment readingOrder="0" shrinkToFit="0" wrapText="1"/>
    </xf>
    <xf borderId="0" fillId="0" fontId="3" numFmtId="165" xfId="0" applyAlignment="1" applyFont="1" applyNumberFormat="1">
      <alignment horizontal="left"/>
    </xf>
    <xf borderId="0" fillId="0" fontId="3" numFmtId="165" xfId="0" applyFont="1" applyNumberFormat="1"/>
    <xf borderId="0" fillId="0" fontId="7" numFmtId="4" xfId="0" applyAlignment="1" applyFont="1" applyNumberFormat="1">
      <alignment vertical="bottom"/>
    </xf>
    <xf borderId="0" fillId="0" fontId="7" numFmtId="164" xfId="0" applyAlignment="1" applyFont="1" applyNumberFormat="1">
      <alignment vertical="bottom"/>
    </xf>
    <xf borderId="0" fillId="0" fontId="7" numFmtId="0" xfId="0" applyAlignment="1" applyFont="1">
      <alignment vertical="bottom"/>
    </xf>
    <xf borderId="0" fillId="7" fontId="8" numFmtId="0" xfId="0" applyAlignment="1" applyFill="1" applyFont="1">
      <alignment readingOrder="0"/>
    </xf>
    <xf borderId="0" fillId="0" fontId="1" numFmtId="0" xfId="0" applyAlignment="1" applyFont="1">
      <alignment horizontal="center" readingOrder="0"/>
    </xf>
    <xf borderId="0" fillId="7" fontId="9" numFmtId="0" xfId="0" applyAlignment="1" applyFont="1">
      <alignment horizontal="center" readingOrder="0"/>
    </xf>
    <xf borderId="0" fillId="8" fontId="3" numFmtId="0" xfId="0" applyAlignment="1" applyFill="1" applyFont="1">
      <alignment readingOrder="0"/>
    </xf>
    <xf borderId="0" fillId="8" fontId="1" numFmtId="0" xfId="0" applyFont="1"/>
    <xf borderId="0" fillId="0" fontId="1" numFmtId="2" xfId="0" applyFont="1" applyNumberFormat="1"/>
    <xf borderId="0" fillId="0" fontId="3" numFmtId="2" xfId="0" applyFont="1" applyNumberFormat="1"/>
    <xf borderId="0" fillId="0" fontId="7" numFmtId="49" xfId="0" applyAlignment="1" applyFont="1" applyNumberFormat="1">
      <alignment readingOrder="0" vertical="bottom"/>
    </xf>
    <xf borderId="0" fillId="2" fontId="10" numFmtId="0" xfId="0" applyAlignment="1" applyFont="1">
      <alignment readingOrder="0"/>
    </xf>
    <xf borderId="0" fillId="0" fontId="1" numFmtId="1"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southwest</a:t>
            </a:r>
          </a:p>
        </c:rich>
      </c:tx>
      <c:overlay val="0"/>
    </c:title>
    <c:plotArea>
      <c:layout/>
      <c:barChart>
        <c:barDir val="col"/>
        <c:grouping val="stacked"/>
        <c:ser>
          <c:idx val="0"/>
          <c:order val="0"/>
          <c:tx>
            <c:strRef>
              <c:f>'LANGKAH 2'!$F$17</c:f>
            </c:strRef>
          </c:tx>
          <c:spPr>
            <a:solidFill>
              <a:schemeClr val="accent1"/>
            </a:solidFill>
            <a:ln cmpd="sng">
              <a:solidFill>
                <a:srgbClr val="000000"/>
              </a:solidFill>
            </a:ln>
          </c:spPr>
          <c:cat>
            <c:strRef>
              <c:f>'LANGKAH 2'!$B$18:$B$37</c:f>
            </c:strRef>
          </c:cat>
          <c:val>
            <c:numRef>
              <c:f>'LANGKAH 2'!$F$18:$F$37</c:f>
              <c:numCache/>
            </c:numRef>
          </c:val>
        </c:ser>
        <c:overlap val="100"/>
        <c:axId val="541378001"/>
        <c:axId val="2097072004"/>
      </c:barChart>
      <c:catAx>
        <c:axId val="5413780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2097072004"/>
      </c:catAx>
      <c:valAx>
        <c:axId val="20970720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137800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southeast</a:t>
            </a:r>
          </a:p>
        </c:rich>
      </c:tx>
      <c:overlay val="0"/>
    </c:title>
    <c:plotArea>
      <c:layout/>
      <c:barChart>
        <c:barDir val="col"/>
        <c:grouping val="stacked"/>
        <c:ser>
          <c:idx val="0"/>
          <c:order val="0"/>
          <c:tx>
            <c:strRef>
              <c:f>'LANGKAH 2'!$D$17</c:f>
            </c:strRef>
          </c:tx>
          <c:spPr>
            <a:solidFill>
              <a:schemeClr val="accent1"/>
            </a:solidFill>
            <a:ln cmpd="sng">
              <a:solidFill>
                <a:srgbClr val="000000"/>
              </a:solidFill>
            </a:ln>
          </c:spPr>
          <c:cat>
            <c:strRef>
              <c:f>'LANGKAH 2'!$B$18:$B$37</c:f>
            </c:strRef>
          </c:cat>
          <c:val>
            <c:numRef>
              <c:f>'LANGKAH 2'!$D$18:$D$37</c:f>
              <c:numCache/>
            </c:numRef>
          </c:val>
        </c:ser>
        <c:overlap val="100"/>
        <c:axId val="1373993572"/>
        <c:axId val="1105599672"/>
      </c:barChart>
      <c:catAx>
        <c:axId val="13739935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1105599672"/>
      </c:catAx>
      <c:valAx>
        <c:axId val="11055996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399357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northeast</a:t>
            </a:r>
          </a:p>
        </c:rich>
      </c:tx>
      <c:overlay val="0"/>
    </c:title>
    <c:plotArea>
      <c:layout/>
      <c:barChart>
        <c:barDir val="col"/>
        <c:grouping val="stacked"/>
        <c:ser>
          <c:idx val="0"/>
          <c:order val="0"/>
          <c:tx>
            <c:strRef>
              <c:f>'LANGKAH 2'!$E$17</c:f>
            </c:strRef>
          </c:tx>
          <c:spPr>
            <a:solidFill>
              <a:schemeClr val="accent1"/>
            </a:solidFill>
            <a:ln cmpd="sng">
              <a:solidFill>
                <a:srgbClr val="000000"/>
              </a:solidFill>
            </a:ln>
          </c:spPr>
          <c:cat>
            <c:strRef>
              <c:f>'LANGKAH 2'!$B$18:$B$37</c:f>
            </c:strRef>
          </c:cat>
          <c:val>
            <c:numRef>
              <c:f>'LANGKAH 2'!$E$18:$E$37</c:f>
              <c:numCache/>
            </c:numRef>
          </c:val>
        </c:ser>
        <c:overlap val="100"/>
        <c:axId val="1260285237"/>
        <c:axId val="412582952"/>
      </c:barChart>
      <c:catAx>
        <c:axId val="126028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412582952"/>
      </c:catAx>
      <c:valAx>
        <c:axId val="4125829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028523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northwest</a:t>
            </a:r>
          </a:p>
        </c:rich>
      </c:tx>
      <c:overlay val="0"/>
    </c:title>
    <c:plotArea>
      <c:layout/>
      <c:barChart>
        <c:barDir val="col"/>
        <c:grouping val="stacked"/>
        <c:ser>
          <c:idx val="0"/>
          <c:order val="0"/>
          <c:tx>
            <c:strRef>
              <c:f>'LANGKAH 2'!$G$17</c:f>
            </c:strRef>
          </c:tx>
          <c:spPr>
            <a:solidFill>
              <a:schemeClr val="accent1"/>
            </a:solidFill>
            <a:ln cmpd="sng">
              <a:solidFill>
                <a:srgbClr val="000000"/>
              </a:solidFill>
            </a:ln>
          </c:spPr>
          <c:cat>
            <c:strRef>
              <c:f>'LANGKAH 2'!$B$18:$B$37</c:f>
            </c:strRef>
          </c:cat>
          <c:val>
            <c:numRef>
              <c:f>'LANGKAH 2'!$G$18:$G$37</c:f>
              <c:numCache/>
            </c:numRef>
          </c:val>
        </c:ser>
        <c:overlap val="100"/>
        <c:axId val="1198736720"/>
        <c:axId val="930148002"/>
      </c:barChart>
      <c:catAx>
        <c:axId val="11987367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930148002"/>
      </c:catAx>
      <c:valAx>
        <c:axId val="9301480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873672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50</xdr:row>
      <xdr:rowOff>0</xdr:rowOff>
    </xdr:from>
    <xdr:ext cx="3695700" cy="227647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37</xdr:row>
      <xdr:rowOff>114300</xdr:rowOff>
    </xdr:from>
    <xdr:ext cx="3695700" cy="227647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200025</xdr:colOff>
      <xdr:row>37</xdr:row>
      <xdr:rowOff>114300</xdr:rowOff>
    </xdr:from>
    <xdr:ext cx="3695700" cy="227647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200025</xdr:colOff>
      <xdr:row>50</xdr:row>
      <xdr:rowOff>0</xdr:rowOff>
    </xdr:from>
    <xdr:ext cx="3695700" cy="2276475"/>
    <xdr:graphicFrame>
      <xdr:nvGraphicFramePr>
        <xdr:cNvPr id="4" name="Chart 4" title="Diagram"/>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419100</xdr:colOff>
      <xdr:row>5</xdr:row>
      <xdr:rowOff>190500</xdr:rowOff>
    </xdr:from>
    <xdr:ext cx="3419475" cy="809625"/>
    <xdr:pic>
      <xdr:nvPicPr>
        <xdr:cNvPr id="0" name="image2.png" title="Gambar"/>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47625</xdr:colOff>
      <xdr:row>5</xdr:row>
      <xdr:rowOff>171450</xdr:rowOff>
    </xdr:from>
    <xdr:ext cx="1828800" cy="838200"/>
    <xdr:pic>
      <xdr:nvPicPr>
        <xdr:cNvPr id="0" name="image1.png" title="Gambar"/>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628650</xdr:colOff>
      <xdr:row>5</xdr:row>
      <xdr:rowOff>171450</xdr:rowOff>
    </xdr:from>
    <xdr:ext cx="4333875" cy="2924175"/>
    <xdr:pic>
      <xdr:nvPicPr>
        <xdr:cNvPr id="0" name="image3.png" title="Gambar"/>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4" t="s">
        <v>3</v>
      </c>
      <c r="E1" s="2" t="s">
        <v>4</v>
      </c>
      <c r="F1" s="2" t="s">
        <v>5</v>
      </c>
      <c r="G1" s="5" t="s">
        <v>6</v>
      </c>
    </row>
    <row r="2">
      <c r="A2" s="1">
        <v>18.0</v>
      </c>
      <c r="B2" s="2" t="s">
        <v>7</v>
      </c>
      <c r="C2" s="3">
        <v>33.77</v>
      </c>
      <c r="D2" s="4">
        <v>1.0</v>
      </c>
      <c r="E2" s="2" t="s">
        <v>8</v>
      </c>
      <c r="F2" s="2" t="s">
        <v>9</v>
      </c>
      <c r="G2" s="5">
        <v>1725.5523</v>
      </c>
    </row>
    <row r="3">
      <c r="A3" s="1">
        <v>18.0</v>
      </c>
      <c r="B3" s="2" t="s">
        <v>7</v>
      </c>
      <c r="C3" s="3">
        <v>34.1</v>
      </c>
      <c r="D3" s="4">
        <v>0.0</v>
      </c>
      <c r="E3" s="2" t="s">
        <v>8</v>
      </c>
      <c r="F3" s="2" t="s">
        <v>9</v>
      </c>
      <c r="G3" s="5">
        <v>1137.011</v>
      </c>
    </row>
    <row r="4">
      <c r="A4" s="1">
        <v>18.0</v>
      </c>
      <c r="B4" s="2" t="s">
        <v>10</v>
      </c>
      <c r="C4" s="3">
        <v>26.315</v>
      </c>
      <c r="D4" s="4">
        <v>0.0</v>
      </c>
      <c r="E4" s="2" t="s">
        <v>8</v>
      </c>
      <c r="F4" s="2" t="s">
        <v>11</v>
      </c>
      <c r="G4" s="5">
        <v>2198.18985</v>
      </c>
    </row>
    <row r="5">
      <c r="A5" s="1">
        <v>18.0</v>
      </c>
      <c r="B5" s="2" t="s">
        <v>10</v>
      </c>
      <c r="C5" s="3">
        <v>38.665</v>
      </c>
      <c r="D5" s="4">
        <v>2.0</v>
      </c>
      <c r="E5" s="2" t="s">
        <v>8</v>
      </c>
      <c r="F5" s="2" t="s">
        <v>11</v>
      </c>
      <c r="G5" s="5">
        <v>3393.35635</v>
      </c>
    </row>
    <row r="6">
      <c r="A6" s="1">
        <v>18.0</v>
      </c>
      <c r="B6" s="2" t="s">
        <v>10</v>
      </c>
      <c r="C6" s="3">
        <v>35.625</v>
      </c>
      <c r="D6" s="4">
        <v>0.0</v>
      </c>
      <c r="E6" s="2" t="s">
        <v>8</v>
      </c>
      <c r="F6" s="2" t="s">
        <v>11</v>
      </c>
      <c r="G6" s="5">
        <v>2211.13075</v>
      </c>
    </row>
    <row r="7">
      <c r="A7" s="1">
        <v>18.0</v>
      </c>
      <c r="B7" s="2" t="s">
        <v>7</v>
      </c>
      <c r="C7" s="3">
        <v>31.68</v>
      </c>
      <c r="D7" s="4">
        <v>2.0</v>
      </c>
      <c r="E7" s="2" t="s">
        <v>12</v>
      </c>
      <c r="F7" s="2" t="s">
        <v>9</v>
      </c>
      <c r="G7" s="5">
        <v>34303.1672</v>
      </c>
    </row>
    <row r="8">
      <c r="A8" s="1">
        <v>18.0</v>
      </c>
      <c r="B8" s="2" t="s">
        <v>10</v>
      </c>
      <c r="C8" s="3">
        <v>30.115</v>
      </c>
      <c r="D8" s="4">
        <v>0.0</v>
      </c>
      <c r="E8" s="2" t="s">
        <v>8</v>
      </c>
      <c r="F8" s="2" t="s">
        <v>11</v>
      </c>
      <c r="G8" s="5">
        <v>21344.8467</v>
      </c>
    </row>
    <row r="9">
      <c r="A9" s="1">
        <v>18.0</v>
      </c>
      <c r="B9" s="2" t="s">
        <v>7</v>
      </c>
      <c r="C9" s="3">
        <v>23.75</v>
      </c>
      <c r="D9" s="4">
        <v>0.0</v>
      </c>
      <c r="E9" s="2" t="s">
        <v>8</v>
      </c>
      <c r="F9" s="2" t="s">
        <v>11</v>
      </c>
      <c r="G9" s="5">
        <v>1705.6245</v>
      </c>
    </row>
    <row r="10">
      <c r="A10" s="1">
        <v>18.0</v>
      </c>
      <c r="B10" s="2" t="s">
        <v>7</v>
      </c>
      <c r="C10" s="3">
        <v>25.175</v>
      </c>
      <c r="D10" s="4">
        <v>0.0</v>
      </c>
      <c r="E10" s="2" t="s">
        <v>12</v>
      </c>
      <c r="F10" s="2" t="s">
        <v>11</v>
      </c>
      <c r="G10" s="5">
        <v>15518.18025</v>
      </c>
    </row>
    <row r="11">
      <c r="A11" s="1">
        <v>18.0</v>
      </c>
      <c r="B11" s="2" t="s">
        <v>10</v>
      </c>
      <c r="C11" s="3">
        <v>36.85</v>
      </c>
      <c r="D11" s="4">
        <v>0.0</v>
      </c>
      <c r="E11" s="2" t="s">
        <v>12</v>
      </c>
      <c r="F11" s="2" t="s">
        <v>9</v>
      </c>
      <c r="G11" s="5">
        <v>36149.4835</v>
      </c>
    </row>
    <row r="12">
      <c r="A12" s="1">
        <v>18.0</v>
      </c>
      <c r="B12" s="2" t="s">
        <v>7</v>
      </c>
      <c r="C12" s="3">
        <v>15.96</v>
      </c>
      <c r="D12" s="4">
        <v>0.0</v>
      </c>
      <c r="E12" s="2" t="s">
        <v>8</v>
      </c>
      <c r="F12" s="2" t="s">
        <v>11</v>
      </c>
      <c r="G12" s="5">
        <v>1694.7964</v>
      </c>
    </row>
    <row r="13">
      <c r="A13" s="1">
        <v>18.0</v>
      </c>
      <c r="B13" s="2" t="s">
        <v>10</v>
      </c>
      <c r="C13" s="3">
        <v>38.28</v>
      </c>
      <c r="D13" s="4">
        <v>0.0</v>
      </c>
      <c r="E13" s="2" t="s">
        <v>8</v>
      </c>
      <c r="F13" s="2" t="s">
        <v>9</v>
      </c>
      <c r="G13" s="5">
        <v>1631.8212</v>
      </c>
    </row>
    <row r="14">
      <c r="A14" s="1">
        <v>18.0</v>
      </c>
      <c r="B14" s="2" t="s">
        <v>7</v>
      </c>
      <c r="C14" s="3">
        <v>34.43</v>
      </c>
      <c r="D14" s="4">
        <v>0.0</v>
      </c>
      <c r="E14" s="2" t="s">
        <v>8</v>
      </c>
      <c r="F14" s="2" t="s">
        <v>9</v>
      </c>
      <c r="G14" s="5">
        <v>1137.4697</v>
      </c>
    </row>
    <row r="15">
      <c r="A15" s="1">
        <v>18.0</v>
      </c>
      <c r="B15" s="2" t="s">
        <v>10</v>
      </c>
      <c r="C15" s="3">
        <v>26.73</v>
      </c>
      <c r="D15" s="4">
        <v>0.0</v>
      </c>
      <c r="E15" s="2" t="s">
        <v>8</v>
      </c>
      <c r="F15" s="2" t="s">
        <v>9</v>
      </c>
      <c r="G15" s="5">
        <v>1615.7667</v>
      </c>
    </row>
    <row r="16">
      <c r="A16" s="1">
        <v>18.0</v>
      </c>
      <c r="B16" s="2" t="s">
        <v>7</v>
      </c>
      <c r="C16" s="3">
        <v>17.29</v>
      </c>
      <c r="D16" s="4">
        <v>2.0</v>
      </c>
      <c r="E16" s="2" t="s">
        <v>12</v>
      </c>
      <c r="F16" s="2" t="s">
        <v>11</v>
      </c>
      <c r="G16" s="5">
        <v>12829.4551</v>
      </c>
    </row>
    <row r="17">
      <c r="A17" s="1">
        <v>18.0</v>
      </c>
      <c r="B17" s="2" t="s">
        <v>7</v>
      </c>
      <c r="C17" s="3">
        <v>29.37</v>
      </c>
      <c r="D17" s="4">
        <v>1.0</v>
      </c>
      <c r="E17" s="2" t="s">
        <v>8</v>
      </c>
      <c r="F17" s="2" t="s">
        <v>9</v>
      </c>
      <c r="G17" s="5">
        <v>1719.4363</v>
      </c>
    </row>
    <row r="18">
      <c r="A18" s="1">
        <v>18.0</v>
      </c>
      <c r="B18" s="2" t="s">
        <v>7</v>
      </c>
      <c r="C18" s="3">
        <v>22.99</v>
      </c>
      <c r="D18" s="4">
        <v>0.0</v>
      </c>
      <c r="E18" s="2" t="s">
        <v>8</v>
      </c>
      <c r="F18" s="2" t="s">
        <v>11</v>
      </c>
      <c r="G18" s="5">
        <v>1704.5681</v>
      </c>
    </row>
    <row r="19">
      <c r="A19" s="1">
        <v>18.0</v>
      </c>
      <c r="B19" s="2" t="s">
        <v>10</v>
      </c>
      <c r="C19" s="3">
        <v>38.28</v>
      </c>
      <c r="D19" s="4">
        <v>0.0</v>
      </c>
      <c r="E19" s="2" t="s">
        <v>8</v>
      </c>
      <c r="F19" s="2" t="s">
        <v>9</v>
      </c>
      <c r="G19" s="5">
        <v>14133.03775</v>
      </c>
    </row>
    <row r="20">
      <c r="A20" s="1">
        <v>18.0</v>
      </c>
      <c r="B20" s="2" t="s">
        <v>10</v>
      </c>
      <c r="C20" s="3">
        <v>20.79</v>
      </c>
      <c r="D20" s="4">
        <v>0.0</v>
      </c>
      <c r="E20" s="2" t="s">
        <v>8</v>
      </c>
      <c r="F20" s="2" t="s">
        <v>9</v>
      </c>
      <c r="G20" s="5">
        <v>1607.5101</v>
      </c>
    </row>
    <row r="21">
      <c r="A21" s="1">
        <v>18.0</v>
      </c>
      <c r="B21" s="2" t="s">
        <v>7</v>
      </c>
      <c r="C21" s="3">
        <v>30.4</v>
      </c>
      <c r="D21" s="4">
        <v>3.0</v>
      </c>
      <c r="E21" s="2" t="s">
        <v>8</v>
      </c>
      <c r="F21" s="2" t="s">
        <v>11</v>
      </c>
      <c r="G21" s="5">
        <v>3481.868</v>
      </c>
    </row>
    <row r="22">
      <c r="A22" s="1">
        <v>18.0</v>
      </c>
      <c r="B22" s="2" t="s">
        <v>10</v>
      </c>
      <c r="C22" s="3">
        <v>38.17</v>
      </c>
      <c r="D22" s="4">
        <v>0.0</v>
      </c>
      <c r="E22" s="2" t="s">
        <v>8</v>
      </c>
      <c r="F22" s="2" t="s">
        <v>9</v>
      </c>
      <c r="G22" s="5">
        <v>1631.6683</v>
      </c>
    </row>
    <row r="23">
      <c r="A23" s="1">
        <v>18.0</v>
      </c>
      <c r="B23" s="2" t="s">
        <v>10</v>
      </c>
      <c r="C23" s="3">
        <v>29.165</v>
      </c>
      <c r="D23" s="4">
        <v>0.0</v>
      </c>
      <c r="E23" s="2" t="s">
        <v>8</v>
      </c>
      <c r="F23" s="2" t="s">
        <v>11</v>
      </c>
      <c r="G23" s="5">
        <v>7323.734819</v>
      </c>
    </row>
    <row r="24">
      <c r="A24" s="1">
        <v>18.0</v>
      </c>
      <c r="B24" s="2" t="s">
        <v>7</v>
      </c>
      <c r="C24" s="3">
        <v>43.01</v>
      </c>
      <c r="D24" s="4">
        <v>0.0</v>
      </c>
      <c r="E24" s="2" t="s">
        <v>8</v>
      </c>
      <c r="F24" s="2" t="s">
        <v>9</v>
      </c>
      <c r="G24" s="5">
        <v>1149.3959</v>
      </c>
    </row>
    <row r="25">
      <c r="A25" s="1">
        <v>18.0</v>
      </c>
      <c r="B25" s="2" t="s">
        <v>10</v>
      </c>
      <c r="C25" s="3">
        <v>24.09</v>
      </c>
      <c r="D25" s="4">
        <v>1.0</v>
      </c>
      <c r="E25" s="2" t="s">
        <v>8</v>
      </c>
      <c r="F25" s="2" t="s">
        <v>9</v>
      </c>
      <c r="G25" s="5">
        <v>2201.0971</v>
      </c>
    </row>
    <row r="26">
      <c r="A26" s="1">
        <v>18.0</v>
      </c>
      <c r="B26" s="2" t="s">
        <v>10</v>
      </c>
      <c r="C26" s="3">
        <v>30.115</v>
      </c>
      <c r="D26" s="4">
        <v>0.0</v>
      </c>
      <c r="E26" s="2" t="s">
        <v>8</v>
      </c>
      <c r="F26" s="2" t="s">
        <v>11</v>
      </c>
      <c r="G26" s="5">
        <v>2203.47185</v>
      </c>
    </row>
    <row r="27">
      <c r="A27" s="1">
        <v>18.0</v>
      </c>
      <c r="B27" s="2" t="s">
        <v>10</v>
      </c>
      <c r="C27" s="3">
        <v>31.35</v>
      </c>
      <c r="D27" s="4">
        <v>0.0</v>
      </c>
      <c r="E27" s="2" t="s">
        <v>8</v>
      </c>
      <c r="F27" s="2" t="s">
        <v>9</v>
      </c>
      <c r="G27" s="5">
        <v>1622.1885</v>
      </c>
    </row>
    <row r="28">
      <c r="A28" s="1">
        <v>18.0</v>
      </c>
      <c r="B28" s="2" t="s">
        <v>10</v>
      </c>
      <c r="C28" s="3">
        <v>25.08</v>
      </c>
      <c r="D28" s="4">
        <v>0.0</v>
      </c>
      <c r="E28" s="2" t="s">
        <v>8</v>
      </c>
      <c r="F28" s="2" t="s">
        <v>11</v>
      </c>
      <c r="G28" s="5">
        <v>2196.4732</v>
      </c>
    </row>
    <row r="29">
      <c r="A29" s="1">
        <v>18.0</v>
      </c>
      <c r="B29" s="2" t="s">
        <v>10</v>
      </c>
      <c r="C29" s="3">
        <v>33.88</v>
      </c>
      <c r="D29" s="4">
        <v>0.0</v>
      </c>
      <c r="E29" s="2" t="s">
        <v>8</v>
      </c>
      <c r="F29" s="2" t="s">
        <v>9</v>
      </c>
      <c r="G29" s="5">
        <v>11482.63485</v>
      </c>
    </row>
    <row r="30">
      <c r="A30" s="1">
        <v>18.0</v>
      </c>
      <c r="B30" s="2" t="s">
        <v>7</v>
      </c>
      <c r="C30" s="3">
        <v>25.46</v>
      </c>
      <c r="D30" s="4">
        <v>0.0</v>
      </c>
      <c r="E30" s="2" t="s">
        <v>8</v>
      </c>
      <c r="F30" s="2" t="s">
        <v>11</v>
      </c>
      <c r="G30" s="5">
        <v>1708.0014</v>
      </c>
    </row>
    <row r="31">
      <c r="A31" s="1">
        <v>18.0</v>
      </c>
      <c r="B31" s="2" t="s">
        <v>10</v>
      </c>
      <c r="C31" s="3">
        <v>32.12</v>
      </c>
      <c r="D31" s="4">
        <v>2.0</v>
      </c>
      <c r="E31" s="2" t="s">
        <v>8</v>
      </c>
      <c r="F31" s="2" t="s">
        <v>9</v>
      </c>
      <c r="G31" s="5">
        <v>2801.2588</v>
      </c>
    </row>
    <row r="32">
      <c r="A32" s="1">
        <v>18.0</v>
      </c>
      <c r="B32" s="2" t="s">
        <v>10</v>
      </c>
      <c r="C32" s="3">
        <v>37.29</v>
      </c>
      <c r="D32" s="4">
        <v>1.0</v>
      </c>
      <c r="E32" s="2" t="s">
        <v>8</v>
      </c>
      <c r="F32" s="2" t="s">
        <v>9</v>
      </c>
      <c r="G32" s="5">
        <v>2219.4451</v>
      </c>
    </row>
    <row r="33">
      <c r="A33" s="1">
        <v>18.0</v>
      </c>
      <c r="B33" s="2" t="s">
        <v>10</v>
      </c>
      <c r="C33" s="3">
        <v>39.16</v>
      </c>
      <c r="D33" s="4">
        <v>0.0</v>
      </c>
      <c r="E33" s="2" t="s">
        <v>8</v>
      </c>
      <c r="F33" s="2" t="s">
        <v>9</v>
      </c>
      <c r="G33" s="5">
        <v>1633.0444</v>
      </c>
    </row>
    <row r="34">
      <c r="A34" s="1">
        <v>18.0</v>
      </c>
      <c r="B34" s="2" t="s">
        <v>10</v>
      </c>
      <c r="C34" s="3">
        <v>33.155</v>
      </c>
      <c r="D34" s="4">
        <v>0.0</v>
      </c>
      <c r="E34" s="2" t="s">
        <v>8</v>
      </c>
      <c r="F34" s="2" t="s">
        <v>11</v>
      </c>
      <c r="G34" s="5">
        <v>2207.69745</v>
      </c>
    </row>
    <row r="35">
      <c r="A35" s="1">
        <v>18.0</v>
      </c>
      <c r="B35" s="2" t="s">
        <v>7</v>
      </c>
      <c r="C35" s="3">
        <v>33.535</v>
      </c>
      <c r="D35" s="4">
        <v>0.0</v>
      </c>
      <c r="E35" s="2" t="s">
        <v>12</v>
      </c>
      <c r="F35" s="2" t="s">
        <v>11</v>
      </c>
      <c r="G35" s="5">
        <v>34617.84065</v>
      </c>
    </row>
    <row r="36">
      <c r="A36" s="1">
        <v>18.0</v>
      </c>
      <c r="B36" s="2" t="s">
        <v>7</v>
      </c>
      <c r="C36" s="3">
        <v>28.5</v>
      </c>
      <c r="D36" s="4">
        <v>0.0</v>
      </c>
      <c r="E36" s="2" t="s">
        <v>8</v>
      </c>
      <c r="F36" s="2" t="s">
        <v>11</v>
      </c>
      <c r="G36" s="5">
        <v>1712.227</v>
      </c>
    </row>
    <row r="37">
      <c r="A37" s="1">
        <v>18.0</v>
      </c>
      <c r="B37" s="2" t="s">
        <v>7</v>
      </c>
      <c r="C37" s="3">
        <v>33.66</v>
      </c>
      <c r="D37" s="4">
        <v>0.0</v>
      </c>
      <c r="E37" s="2" t="s">
        <v>8</v>
      </c>
      <c r="F37" s="2" t="s">
        <v>9</v>
      </c>
      <c r="G37" s="5">
        <v>1136.3994</v>
      </c>
    </row>
    <row r="38">
      <c r="A38" s="1">
        <v>18.0</v>
      </c>
      <c r="B38" s="2" t="s">
        <v>7</v>
      </c>
      <c r="C38" s="3">
        <v>35.2</v>
      </c>
      <c r="D38" s="4">
        <v>1.0</v>
      </c>
      <c r="E38" s="2" t="s">
        <v>8</v>
      </c>
      <c r="F38" s="2" t="s">
        <v>9</v>
      </c>
      <c r="G38" s="5">
        <v>1727.54</v>
      </c>
    </row>
    <row r="39">
      <c r="A39" s="1">
        <v>18.0</v>
      </c>
      <c r="B39" s="2" t="s">
        <v>10</v>
      </c>
      <c r="C39" s="3">
        <v>40.28</v>
      </c>
      <c r="D39" s="4">
        <v>0.0</v>
      </c>
      <c r="E39" s="2" t="s">
        <v>8</v>
      </c>
      <c r="F39" s="2" t="s">
        <v>11</v>
      </c>
      <c r="G39" s="5">
        <v>2217.6012</v>
      </c>
    </row>
    <row r="40">
      <c r="A40" s="1">
        <v>18.0</v>
      </c>
      <c r="B40" s="2" t="s">
        <v>7</v>
      </c>
      <c r="C40" s="3">
        <v>38.17</v>
      </c>
      <c r="D40" s="4">
        <v>0.0</v>
      </c>
      <c r="E40" s="2" t="s">
        <v>12</v>
      </c>
      <c r="F40" s="2" t="s">
        <v>9</v>
      </c>
      <c r="G40" s="5">
        <v>36307.7983</v>
      </c>
    </row>
    <row r="41">
      <c r="A41" s="1">
        <v>18.0</v>
      </c>
      <c r="B41" s="2" t="s">
        <v>7</v>
      </c>
      <c r="C41" s="3">
        <v>41.14</v>
      </c>
      <c r="D41" s="4">
        <v>0.0</v>
      </c>
      <c r="E41" s="2" t="s">
        <v>8</v>
      </c>
      <c r="F41" s="2" t="s">
        <v>9</v>
      </c>
      <c r="G41" s="5">
        <v>1146.7966</v>
      </c>
    </row>
    <row r="42">
      <c r="A42" s="1">
        <v>18.0</v>
      </c>
      <c r="B42" s="2" t="s">
        <v>10</v>
      </c>
      <c r="C42" s="3">
        <v>42.24</v>
      </c>
      <c r="D42" s="4">
        <v>0.0</v>
      </c>
      <c r="E42" s="2" t="s">
        <v>12</v>
      </c>
      <c r="F42" s="2" t="s">
        <v>9</v>
      </c>
      <c r="G42" s="5">
        <v>38792.6856</v>
      </c>
    </row>
    <row r="43">
      <c r="A43" s="1">
        <v>18.0</v>
      </c>
      <c r="B43" s="2" t="s">
        <v>7</v>
      </c>
      <c r="C43" s="3">
        <v>30.14</v>
      </c>
      <c r="D43" s="4">
        <v>0.0</v>
      </c>
      <c r="E43" s="2" t="s">
        <v>8</v>
      </c>
      <c r="F43" s="2" t="s">
        <v>9</v>
      </c>
      <c r="G43" s="5">
        <v>1131.5066</v>
      </c>
    </row>
    <row r="44">
      <c r="A44" s="1">
        <v>18.0</v>
      </c>
      <c r="B44" s="2" t="s">
        <v>10</v>
      </c>
      <c r="C44" s="3">
        <v>31.13</v>
      </c>
      <c r="D44" s="4">
        <v>0.0</v>
      </c>
      <c r="E44" s="2" t="s">
        <v>8</v>
      </c>
      <c r="F44" s="2" t="s">
        <v>9</v>
      </c>
      <c r="G44" s="5">
        <v>1621.8827</v>
      </c>
    </row>
    <row r="45">
      <c r="A45" s="1">
        <v>18.0</v>
      </c>
      <c r="B45" s="2" t="s">
        <v>7</v>
      </c>
      <c r="C45" s="3">
        <v>37.29</v>
      </c>
      <c r="D45" s="4">
        <v>0.0</v>
      </c>
      <c r="E45" s="2" t="s">
        <v>8</v>
      </c>
      <c r="F45" s="2" t="s">
        <v>9</v>
      </c>
      <c r="G45" s="5">
        <v>1141.4451</v>
      </c>
    </row>
    <row r="46">
      <c r="A46" s="1">
        <v>18.0</v>
      </c>
      <c r="B46" s="2" t="s">
        <v>10</v>
      </c>
      <c r="C46" s="3">
        <v>40.26</v>
      </c>
      <c r="D46" s="4">
        <v>0.0</v>
      </c>
      <c r="E46" s="2" t="s">
        <v>8</v>
      </c>
      <c r="F46" s="2" t="s">
        <v>9</v>
      </c>
      <c r="G46" s="5">
        <v>1634.5734</v>
      </c>
    </row>
    <row r="47">
      <c r="A47" s="1">
        <v>18.0</v>
      </c>
      <c r="B47" s="2" t="s">
        <v>7</v>
      </c>
      <c r="C47" s="3">
        <v>31.73</v>
      </c>
      <c r="D47" s="4">
        <v>0.0</v>
      </c>
      <c r="E47" s="2" t="s">
        <v>12</v>
      </c>
      <c r="F47" s="2" t="s">
        <v>11</v>
      </c>
      <c r="G47" s="5">
        <v>33732.6867</v>
      </c>
    </row>
    <row r="48">
      <c r="A48" s="1">
        <v>18.0</v>
      </c>
      <c r="B48" s="2" t="s">
        <v>7</v>
      </c>
      <c r="C48" s="3">
        <v>26.18</v>
      </c>
      <c r="D48" s="4">
        <v>2.0</v>
      </c>
      <c r="E48" s="2" t="s">
        <v>8</v>
      </c>
      <c r="F48" s="2" t="s">
        <v>9</v>
      </c>
      <c r="G48" s="5">
        <v>2304.0022</v>
      </c>
    </row>
    <row r="49">
      <c r="A49" s="1">
        <v>18.0</v>
      </c>
      <c r="B49" s="2" t="s">
        <v>7</v>
      </c>
      <c r="C49" s="3">
        <v>23.21</v>
      </c>
      <c r="D49" s="4">
        <v>0.0</v>
      </c>
      <c r="E49" s="2" t="s">
        <v>8</v>
      </c>
      <c r="F49" s="2" t="s">
        <v>9</v>
      </c>
      <c r="G49" s="5">
        <v>1121.8739</v>
      </c>
    </row>
    <row r="50">
      <c r="A50" s="1">
        <v>18.0</v>
      </c>
      <c r="B50" s="2" t="s">
        <v>10</v>
      </c>
      <c r="C50" s="3">
        <v>40.185</v>
      </c>
      <c r="D50" s="4">
        <v>0.0</v>
      </c>
      <c r="E50" s="2" t="s">
        <v>8</v>
      </c>
      <c r="F50" s="2" t="s">
        <v>11</v>
      </c>
      <c r="G50" s="5">
        <v>2217.46915</v>
      </c>
    </row>
    <row r="51">
      <c r="A51" s="1">
        <v>18.0</v>
      </c>
      <c r="B51" s="2" t="s">
        <v>7</v>
      </c>
      <c r="C51" s="3">
        <v>23.32</v>
      </c>
      <c r="D51" s="4">
        <v>1.0</v>
      </c>
      <c r="E51" s="2" t="s">
        <v>8</v>
      </c>
      <c r="F51" s="2" t="s">
        <v>9</v>
      </c>
      <c r="G51" s="5">
        <v>1711.0268</v>
      </c>
    </row>
    <row r="52">
      <c r="A52" s="1">
        <v>18.0</v>
      </c>
      <c r="B52" s="2" t="s">
        <v>7</v>
      </c>
      <c r="C52" s="3">
        <v>21.565</v>
      </c>
      <c r="D52" s="4">
        <v>0.0</v>
      </c>
      <c r="E52" s="2" t="s">
        <v>12</v>
      </c>
      <c r="F52" s="2" t="s">
        <v>11</v>
      </c>
      <c r="G52" s="5">
        <v>13747.87235</v>
      </c>
    </row>
    <row r="53">
      <c r="A53" s="1">
        <v>18.0</v>
      </c>
      <c r="B53" s="2" t="s">
        <v>7</v>
      </c>
      <c r="C53" s="3">
        <v>23.085</v>
      </c>
      <c r="D53" s="4">
        <v>0.0</v>
      </c>
      <c r="E53" s="2" t="s">
        <v>8</v>
      </c>
      <c r="F53" s="2" t="s">
        <v>11</v>
      </c>
      <c r="G53" s="5">
        <v>1704.70015</v>
      </c>
    </row>
    <row r="54">
      <c r="A54" s="1">
        <v>18.0</v>
      </c>
      <c r="B54" s="2" t="s">
        <v>7</v>
      </c>
      <c r="C54" s="3">
        <v>21.78</v>
      </c>
      <c r="D54" s="4">
        <v>2.0</v>
      </c>
      <c r="E54" s="2" t="s">
        <v>8</v>
      </c>
      <c r="F54" s="2" t="s">
        <v>9</v>
      </c>
      <c r="G54" s="5">
        <v>11884.04858</v>
      </c>
    </row>
    <row r="55">
      <c r="A55" s="1">
        <v>18.0</v>
      </c>
      <c r="B55" s="2" t="s">
        <v>10</v>
      </c>
      <c r="C55" s="3">
        <v>31.35</v>
      </c>
      <c r="D55" s="4">
        <v>4.0</v>
      </c>
      <c r="E55" s="2" t="s">
        <v>8</v>
      </c>
      <c r="F55" s="2" t="s">
        <v>11</v>
      </c>
      <c r="G55" s="5">
        <v>4561.1885</v>
      </c>
    </row>
    <row r="56">
      <c r="A56" s="1">
        <v>18.0</v>
      </c>
      <c r="B56" s="2" t="s">
        <v>10</v>
      </c>
      <c r="C56" s="3">
        <v>30.305</v>
      </c>
      <c r="D56" s="4">
        <v>0.0</v>
      </c>
      <c r="E56" s="2" t="s">
        <v>8</v>
      </c>
      <c r="F56" s="2" t="s">
        <v>11</v>
      </c>
      <c r="G56" s="5">
        <v>2203.73595</v>
      </c>
    </row>
    <row r="57">
      <c r="A57" s="1">
        <v>18.0</v>
      </c>
      <c r="B57" s="2" t="s">
        <v>10</v>
      </c>
      <c r="C57" s="3">
        <v>28.215</v>
      </c>
      <c r="D57" s="4">
        <v>0.0</v>
      </c>
      <c r="E57" s="2" t="s">
        <v>8</v>
      </c>
      <c r="F57" s="2" t="s">
        <v>11</v>
      </c>
      <c r="G57" s="5">
        <v>2200.83085</v>
      </c>
    </row>
    <row r="58">
      <c r="A58" s="1">
        <v>18.0</v>
      </c>
      <c r="B58" s="2" t="s">
        <v>7</v>
      </c>
      <c r="C58" s="3">
        <v>27.36</v>
      </c>
      <c r="D58" s="4">
        <v>1.0</v>
      </c>
      <c r="E58" s="2" t="s">
        <v>12</v>
      </c>
      <c r="F58" s="2" t="s">
        <v>11</v>
      </c>
      <c r="G58" s="5">
        <v>17178.6824</v>
      </c>
    </row>
    <row r="59">
      <c r="A59" s="1">
        <v>18.0</v>
      </c>
      <c r="B59" s="2" t="s">
        <v>10</v>
      </c>
      <c r="C59" s="3">
        <v>27.28</v>
      </c>
      <c r="D59" s="4">
        <v>3.0</v>
      </c>
      <c r="E59" s="2" t="s">
        <v>12</v>
      </c>
      <c r="F59" s="2" t="s">
        <v>9</v>
      </c>
      <c r="G59" s="5">
        <v>18223.4512</v>
      </c>
    </row>
    <row r="60">
      <c r="A60" s="1">
        <v>18.0</v>
      </c>
      <c r="B60" s="2" t="s">
        <v>7</v>
      </c>
      <c r="C60" s="3">
        <v>21.47</v>
      </c>
      <c r="D60" s="4">
        <v>0.0</v>
      </c>
      <c r="E60" s="2" t="s">
        <v>8</v>
      </c>
      <c r="F60" s="2" t="s">
        <v>11</v>
      </c>
      <c r="G60" s="5">
        <v>1702.4553</v>
      </c>
    </row>
    <row r="61">
      <c r="A61" s="1">
        <v>18.0</v>
      </c>
      <c r="B61" s="2" t="s">
        <v>7</v>
      </c>
      <c r="C61" s="3">
        <v>39.14</v>
      </c>
      <c r="D61" s="4">
        <v>0.0</v>
      </c>
      <c r="E61" s="2" t="s">
        <v>8</v>
      </c>
      <c r="F61" s="2" t="s">
        <v>11</v>
      </c>
      <c r="G61" s="5">
        <v>12890.05765</v>
      </c>
    </row>
    <row r="62">
      <c r="A62" s="1">
        <v>18.0</v>
      </c>
      <c r="B62" s="2" t="s">
        <v>7</v>
      </c>
      <c r="C62" s="3">
        <v>33.33</v>
      </c>
      <c r="D62" s="4">
        <v>0.0</v>
      </c>
      <c r="E62" s="2" t="s">
        <v>8</v>
      </c>
      <c r="F62" s="2" t="s">
        <v>9</v>
      </c>
      <c r="G62" s="5">
        <v>1135.9407</v>
      </c>
    </row>
    <row r="63">
      <c r="A63" s="1">
        <v>18.0</v>
      </c>
      <c r="B63" s="2" t="s">
        <v>10</v>
      </c>
      <c r="C63" s="3">
        <v>39.82</v>
      </c>
      <c r="D63" s="4">
        <v>0.0</v>
      </c>
      <c r="E63" s="2" t="s">
        <v>8</v>
      </c>
      <c r="F63" s="2" t="s">
        <v>9</v>
      </c>
      <c r="G63" s="5">
        <v>1633.9618</v>
      </c>
    </row>
    <row r="64">
      <c r="A64" s="1">
        <v>18.0</v>
      </c>
      <c r="B64" s="2" t="s">
        <v>10</v>
      </c>
      <c r="C64" s="3">
        <v>21.66</v>
      </c>
      <c r="D64" s="4">
        <v>0.0</v>
      </c>
      <c r="E64" s="2" t="s">
        <v>12</v>
      </c>
      <c r="F64" s="2" t="s">
        <v>11</v>
      </c>
      <c r="G64" s="5">
        <v>14283.4594</v>
      </c>
    </row>
    <row r="65">
      <c r="A65" s="1">
        <v>18.0</v>
      </c>
      <c r="B65" s="2" t="s">
        <v>7</v>
      </c>
      <c r="C65" s="3">
        <v>30.03</v>
      </c>
      <c r="D65" s="4">
        <v>1.0</v>
      </c>
      <c r="E65" s="2" t="s">
        <v>8</v>
      </c>
      <c r="F65" s="2" t="s">
        <v>9</v>
      </c>
      <c r="G65" s="5">
        <v>1720.3537</v>
      </c>
    </row>
    <row r="66">
      <c r="A66" s="1">
        <v>18.0</v>
      </c>
      <c r="B66" s="2" t="s">
        <v>7</v>
      </c>
      <c r="C66" s="3">
        <v>26.125</v>
      </c>
      <c r="D66" s="4">
        <v>0.0</v>
      </c>
      <c r="E66" s="2" t="s">
        <v>8</v>
      </c>
      <c r="F66" s="2" t="s">
        <v>11</v>
      </c>
      <c r="G66" s="5">
        <v>1708.92575</v>
      </c>
    </row>
    <row r="67">
      <c r="A67" s="1">
        <v>18.0</v>
      </c>
      <c r="B67" s="2" t="s">
        <v>7</v>
      </c>
      <c r="C67" s="3">
        <v>28.31</v>
      </c>
      <c r="D67" s="4">
        <v>1.0</v>
      </c>
      <c r="E67" s="2" t="s">
        <v>8</v>
      </c>
      <c r="F67" s="2" t="s">
        <v>11</v>
      </c>
      <c r="G67" s="5">
        <v>11272.33139</v>
      </c>
    </row>
    <row r="68">
      <c r="A68" s="1">
        <v>18.0</v>
      </c>
      <c r="B68" s="2" t="s">
        <v>7</v>
      </c>
      <c r="C68" s="3">
        <v>53.13</v>
      </c>
      <c r="D68" s="4">
        <v>0.0</v>
      </c>
      <c r="E68" s="2" t="s">
        <v>8</v>
      </c>
      <c r="F68" s="2" t="s">
        <v>9</v>
      </c>
      <c r="G68" s="5">
        <v>1163.4627</v>
      </c>
    </row>
    <row r="69">
      <c r="A69" s="1">
        <v>18.0</v>
      </c>
      <c r="B69" s="2" t="s">
        <v>10</v>
      </c>
      <c r="C69" s="3">
        <v>31.92</v>
      </c>
      <c r="D69" s="4">
        <v>0.0</v>
      </c>
      <c r="E69" s="2" t="s">
        <v>8</v>
      </c>
      <c r="F69" s="2" t="s">
        <v>11</v>
      </c>
      <c r="G69" s="5">
        <v>2205.9808</v>
      </c>
    </row>
    <row r="70">
      <c r="A70" s="1">
        <v>18.0</v>
      </c>
      <c r="B70" s="2" t="s">
        <v>10</v>
      </c>
      <c r="C70" s="3">
        <v>36.85</v>
      </c>
      <c r="D70" s="4">
        <v>0.0</v>
      </c>
      <c r="E70" s="2" t="s">
        <v>8</v>
      </c>
      <c r="F70" s="2" t="s">
        <v>9</v>
      </c>
      <c r="G70" s="5">
        <v>1629.8335</v>
      </c>
    </row>
    <row r="71">
      <c r="A71" s="1">
        <v>19.0</v>
      </c>
      <c r="B71" s="2" t="s">
        <v>10</v>
      </c>
      <c r="C71" s="3">
        <v>27.9</v>
      </c>
      <c r="D71" s="4">
        <v>0.0</v>
      </c>
      <c r="E71" s="2" t="s">
        <v>12</v>
      </c>
      <c r="F71" s="2" t="s">
        <v>13</v>
      </c>
      <c r="G71" s="5">
        <v>16884.924</v>
      </c>
    </row>
    <row r="72">
      <c r="A72" s="1">
        <v>19.0</v>
      </c>
      <c r="B72" s="2" t="s">
        <v>7</v>
      </c>
      <c r="C72" s="3">
        <v>24.6</v>
      </c>
      <c r="D72" s="4">
        <v>1.0</v>
      </c>
      <c r="E72" s="2" t="s">
        <v>8</v>
      </c>
      <c r="F72" s="2" t="s">
        <v>13</v>
      </c>
      <c r="G72" s="5">
        <v>1837.237</v>
      </c>
    </row>
    <row r="73">
      <c r="A73" s="1">
        <v>19.0</v>
      </c>
      <c r="B73" s="2" t="s">
        <v>10</v>
      </c>
      <c r="C73" s="3">
        <v>28.6</v>
      </c>
      <c r="D73" s="4">
        <v>5.0</v>
      </c>
      <c r="E73" s="2" t="s">
        <v>8</v>
      </c>
      <c r="F73" s="2" t="s">
        <v>13</v>
      </c>
      <c r="G73" s="5">
        <v>4687.797</v>
      </c>
    </row>
    <row r="74">
      <c r="A74" s="1">
        <v>19.0</v>
      </c>
      <c r="B74" s="2" t="s">
        <v>7</v>
      </c>
      <c r="C74" s="3">
        <v>20.425</v>
      </c>
      <c r="D74" s="4">
        <v>0.0</v>
      </c>
      <c r="E74" s="2" t="s">
        <v>8</v>
      </c>
      <c r="F74" s="2" t="s">
        <v>14</v>
      </c>
      <c r="G74" s="5">
        <v>1625.43375</v>
      </c>
    </row>
    <row r="75">
      <c r="A75" s="1">
        <v>19.0</v>
      </c>
      <c r="B75" s="2" t="s">
        <v>10</v>
      </c>
      <c r="C75" s="3">
        <v>28.9</v>
      </c>
      <c r="D75" s="4">
        <v>0.0</v>
      </c>
      <c r="E75" s="2" t="s">
        <v>8</v>
      </c>
      <c r="F75" s="2" t="s">
        <v>13</v>
      </c>
      <c r="G75" s="5">
        <v>1743.214</v>
      </c>
    </row>
    <row r="76">
      <c r="A76" s="1">
        <v>19.0</v>
      </c>
      <c r="B76" s="2" t="s">
        <v>10</v>
      </c>
      <c r="C76" s="3">
        <v>28.4</v>
      </c>
      <c r="D76" s="4">
        <v>1.0</v>
      </c>
      <c r="E76" s="2" t="s">
        <v>8</v>
      </c>
      <c r="F76" s="2" t="s">
        <v>13</v>
      </c>
      <c r="G76" s="5">
        <v>2331.519</v>
      </c>
    </row>
    <row r="77">
      <c r="A77" s="1">
        <v>19.0</v>
      </c>
      <c r="B77" s="2" t="s">
        <v>10</v>
      </c>
      <c r="C77" s="3">
        <v>28.3</v>
      </c>
      <c r="D77" s="4">
        <v>0.0</v>
      </c>
      <c r="E77" s="2" t="s">
        <v>12</v>
      </c>
      <c r="F77" s="2" t="s">
        <v>13</v>
      </c>
      <c r="G77" s="5">
        <v>17081.08</v>
      </c>
    </row>
    <row r="78">
      <c r="A78" s="1">
        <v>19.0</v>
      </c>
      <c r="B78" s="2" t="s">
        <v>7</v>
      </c>
      <c r="C78" s="3">
        <v>25.555</v>
      </c>
      <c r="D78" s="4">
        <v>0.0</v>
      </c>
      <c r="E78" s="2" t="s">
        <v>8</v>
      </c>
      <c r="F78" s="2" t="s">
        <v>14</v>
      </c>
      <c r="G78" s="5">
        <v>1632.56445</v>
      </c>
    </row>
    <row r="79">
      <c r="A79" s="1">
        <v>19.0</v>
      </c>
      <c r="B79" s="2" t="s">
        <v>7</v>
      </c>
      <c r="C79" s="3">
        <v>34.1</v>
      </c>
      <c r="D79" s="4">
        <v>0.0</v>
      </c>
      <c r="E79" s="2" t="s">
        <v>8</v>
      </c>
      <c r="F79" s="2" t="s">
        <v>13</v>
      </c>
      <c r="G79" s="5">
        <v>1261.442</v>
      </c>
    </row>
    <row r="80">
      <c r="A80" s="1">
        <v>19.0</v>
      </c>
      <c r="B80" s="2" t="s">
        <v>7</v>
      </c>
      <c r="C80" s="3">
        <v>28.4</v>
      </c>
      <c r="D80" s="4">
        <v>1.0</v>
      </c>
      <c r="E80" s="2" t="s">
        <v>8</v>
      </c>
      <c r="F80" s="2" t="s">
        <v>13</v>
      </c>
      <c r="G80" s="5">
        <v>1842.519</v>
      </c>
    </row>
    <row r="81">
      <c r="A81" s="1">
        <v>19.0</v>
      </c>
      <c r="B81" s="2" t="s">
        <v>10</v>
      </c>
      <c r="C81" s="3">
        <v>31.825</v>
      </c>
      <c r="D81" s="4">
        <v>1.0</v>
      </c>
      <c r="E81" s="2" t="s">
        <v>8</v>
      </c>
      <c r="F81" s="2" t="s">
        <v>14</v>
      </c>
      <c r="G81" s="5">
        <v>2719.27975</v>
      </c>
    </row>
    <row r="82">
      <c r="A82" s="1">
        <v>19.0</v>
      </c>
      <c r="B82" s="2" t="s">
        <v>7</v>
      </c>
      <c r="C82" s="3">
        <v>30.59</v>
      </c>
      <c r="D82" s="4">
        <v>0.0</v>
      </c>
      <c r="E82" s="2" t="s">
        <v>8</v>
      </c>
      <c r="F82" s="2" t="s">
        <v>14</v>
      </c>
      <c r="G82" s="5">
        <v>1639.5631</v>
      </c>
    </row>
    <row r="83">
      <c r="A83" s="1">
        <v>19.0</v>
      </c>
      <c r="B83" s="2" t="s">
        <v>10</v>
      </c>
      <c r="C83" s="3">
        <v>32.11</v>
      </c>
      <c r="D83" s="4">
        <v>0.0</v>
      </c>
      <c r="E83" s="2" t="s">
        <v>8</v>
      </c>
      <c r="F83" s="2" t="s">
        <v>14</v>
      </c>
      <c r="G83" s="5">
        <v>2130.6759</v>
      </c>
    </row>
    <row r="84">
      <c r="A84" s="1">
        <v>19.0</v>
      </c>
      <c r="B84" s="2" t="s">
        <v>7</v>
      </c>
      <c r="C84" s="3">
        <v>34.8</v>
      </c>
      <c r="D84" s="4">
        <v>0.0</v>
      </c>
      <c r="E84" s="2" t="s">
        <v>12</v>
      </c>
      <c r="F84" s="2" t="s">
        <v>13</v>
      </c>
      <c r="G84" s="5">
        <v>34779.615</v>
      </c>
    </row>
    <row r="85">
      <c r="A85" s="1">
        <v>19.0</v>
      </c>
      <c r="B85" s="2" t="s">
        <v>10</v>
      </c>
      <c r="C85" s="3">
        <v>17.8</v>
      </c>
      <c r="D85" s="4">
        <v>0.0</v>
      </c>
      <c r="E85" s="2" t="s">
        <v>8</v>
      </c>
      <c r="F85" s="2" t="s">
        <v>13</v>
      </c>
      <c r="G85" s="5">
        <v>1727.785</v>
      </c>
    </row>
    <row r="86">
      <c r="A86" s="1">
        <v>19.0</v>
      </c>
      <c r="B86" s="2" t="s">
        <v>7</v>
      </c>
      <c r="C86" s="3">
        <v>29.07</v>
      </c>
      <c r="D86" s="4">
        <v>0.0</v>
      </c>
      <c r="E86" s="2" t="s">
        <v>12</v>
      </c>
      <c r="F86" s="2" t="s">
        <v>14</v>
      </c>
      <c r="G86" s="5">
        <v>17352.6803</v>
      </c>
    </row>
    <row r="87">
      <c r="A87" s="1">
        <v>19.0</v>
      </c>
      <c r="B87" s="2" t="s">
        <v>7</v>
      </c>
      <c r="C87" s="3">
        <v>20.9</v>
      </c>
      <c r="D87" s="4">
        <v>1.0</v>
      </c>
      <c r="E87" s="2" t="s">
        <v>8</v>
      </c>
      <c r="F87" s="2" t="s">
        <v>13</v>
      </c>
      <c r="G87" s="5">
        <v>1832.094</v>
      </c>
    </row>
    <row r="88">
      <c r="A88" s="1">
        <v>19.0</v>
      </c>
      <c r="B88" s="2" t="s">
        <v>7</v>
      </c>
      <c r="C88" s="3">
        <v>31.92</v>
      </c>
      <c r="D88" s="4">
        <v>0.0</v>
      </c>
      <c r="E88" s="2" t="s">
        <v>12</v>
      </c>
      <c r="F88" s="2" t="s">
        <v>14</v>
      </c>
      <c r="G88" s="5">
        <v>33750.2918</v>
      </c>
    </row>
    <row r="89">
      <c r="A89" s="1">
        <v>19.0</v>
      </c>
      <c r="B89" s="2" t="s">
        <v>7</v>
      </c>
      <c r="C89" s="3">
        <v>36.955</v>
      </c>
      <c r="D89" s="4">
        <v>0.0</v>
      </c>
      <c r="E89" s="2" t="s">
        <v>12</v>
      </c>
      <c r="F89" s="2" t="s">
        <v>14</v>
      </c>
      <c r="G89" s="5">
        <v>36219.40545</v>
      </c>
    </row>
    <row r="90">
      <c r="A90" s="1">
        <v>19.0</v>
      </c>
      <c r="B90" s="2" t="s">
        <v>7</v>
      </c>
      <c r="C90" s="3">
        <v>20.615</v>
      </c>
      <c r="D90" s="4">
        <v>2.0</v>
      </c>
      <c r="E90" s="2" t="s">
        <v>8</v>
      </c>
      <c r="F90" s="2" t="s">
        <v>14</v>
      </c>
      <c r="G90" s="5">
        <v>2803.69785</v>
      </c>
    </row>
    <row r="91">
      <c r="A91" s="1">
        <v>19.0</v>
      </c>
      <c r="B91" s="2" t="s">
        <v>7</v>
      </c>
      <c r="C91" s="3">
        <v>27.7</v>
      </c>
      <c r="D91" s="4">
        <v>0.0</v>
      </c>
      <c r="E91" s="2" t="s">
        <v>12</v>
      </c>
      <c r="F91" s="2" t="s">
        <v>13</v>
      </c>
      <c r="G91" s="5">
        <v>16297.846</v>
      </c>
    </row>
    <row r="92">
      <c r="A92" s="1">
        <v>19.0</v>
      </c>
      <c r="B92" s="2" t="s">
        <v>10</v>
      </c>
      <c r="C92" s="3">
        <v>24.7</v>
      </c>
      <c r="D92" s="4">
        <v>0.0</v>
      </c>
      <c r="E92" s="2" t="s">
        <v>8</v>
      </c>
      <c r="F92" s="2" t="s">
        <v>13</v>
      </c>
      <c r="G92" s="5">
        <v>1737.376</v>
      </c>
    </row>
    <row r="93">
      <c r="A93" s="1">
        <v>19.0</v>
      </c>
      <c r="B93" s="2" t="s">
        <v>7</v>
      </c>
      <c r="C93" s="3">
        <v>27.835</v>
      </c>
      <c r="D93" s="4">
        <v>0.0</v>
      </c>
      <c r="E93" s="2" t="s">
        <v>8</v>
      </c>
      <c r="F93" s="2" t="s">
        <v>14</v>
      </c>
      <c r="G93" s="5">
        <v>1635.73365</v>
      </c>
    </row>
    <row r="94">
      <c r="A94" s="1">
        <v>19.0</v>
      </c>
      <c r="B94" s="2" t="s">
        <v>10</v>
      </c>
      <c r="C94" s="3">
        <v>21.7</v>
      </c>
      <c r="D94" s="4">
        <v>0.0</v>
      </c>
      <c r="E94" s="2" t="s">
        <v>12</v>
      </c>
      <c r="F94" s="2" t="s">
        <v>13</v>
      </c>
      <c r="G94" s="5">
        <v>13844.506</v>
      </c>
    </row>
    <row r="95">
      <c r="A95" s="1">
        <v>19.0</v>
      </c>
      <c r="B95" s="2" t="s">
        <v>7</v>
      </c>
      <c r="C95" s="3">
        <v>34.4</v>
      </c>
      <c r="D95" s="4">
        <v>0.0</v>
      </c>
      <c r="E95" s="2" t="s">
        <v>8</v>
      </c>
      <c r="F95" s="2" t="s">
        <v>13</v>
      </c>
      <c r="G95" s="5">
        <v>1261.859</v>
      </c>
    </row>
    <row r="96">
      <c r="A96" s="1">
        <v>19.0</v>
      </c>
      <c r="B96" s="2" t="s">
        <v>10</v>
      </c>
      <c r="C96" s="3">
        <v>37.43</v>
      </c>
      <c r="D96" s="4">
        <v>0.0</v>
      </c>
      <c r="E96" s="2" t="s">
        <v>8</v>
      </c>
      <c r="F96" s="2" t="s">
        <v>14</v>
      </c>
      <c r="G96" s="5">
        <v>2138.0707</v>
      </c>
    </row>
    <row r="97">
      <c r="A97" s="1">
        <v>19.0</v>
      </c>
      <c r="B97" s="2" t="s">
        <v>7</v>
      </c>
      <c r="C97" s="3">
        <v>17.48</v>
      </c>
      <c r="D97" s="4">
        <v>0.0</v>
      </c>
      <c r="E97" s="2" t="s">
        <v>8</v>
      </c>
      <c r="F97" s="2" t="s">
        <v>14</v>
      </c>
      <c r="G97" s="5">
        <v>1621.3402</v>
      </c>
    </row>
    <row r="98">
      <c r="A98" s="1">
        <v>19.0</v>
      </c>
      <c r="B98" s="2" t="s">
        <v>10</v>
      </c>
      <c r="C98" s="3">
        <v>35.15</v>
      </c>
      <c r="D98" s="4">
        <v>0.0</v>
      </c>
      <c r="E98" s="2" t="s">
        <v>8</v>
      </c>
      <c r="F98" s="2" t="s">
        <v>14</v>
      </c>
      <c r="G98" s="5">
        <v>2134.9015</v>
      </c>
    </row>
    <row r="99">
      <c r="A99" s="1">
        <v>19.0</v>
      </c>
      <c r="B99" s="2" t="s">
        <v>7</v>
      </c>
      <c r="C99" s="3">
        <v>33.1</v>
      </c>
      <c r="D99" s="4">
        <v>0.0</v>
      </c>
      <c r="E99" s="2" t="s">
        <v>8</v>
      </c>
      <c r="F99" s="2" t="s">
        <v>13</v>
      </c>
      <c r="G99" s="5">
        <v>23082.95533</v>
      </c>
    </row>
    <row r="100">
      <c r="A100" s="1">
        <v>19.0</v>
      </c>
      <c r="B100" s="2" t="s">
        <v>7</v>
      </c>
      <c r="C100" s="3">
        <v>25.175</v>
      </c>
      <c r="D100" s="4">
        <v>0.0</v>
      </c>
      <c r="E100" s="2" t="s">
        <v>8</v>
      </c>
      <c r="F100" s="2" t="s">
        <v>14</v>
      </c>
      <c r="G100" s="5">
        <v>1632.03625</v>
      </c>
    </row>
    <row r="101">
      <c r="A101" s="1">
        <v>19.0</v>
      </c>
      <c r="B101" s="2" t="s">
        <v>10</v>
      </c>
      <c r="C101" s="3">
        <v>29.8</v>
      </c>
      <c r="D101" s="4">
        <v>0.0</v>
      </c>
      <c r="E101" s="2" t="s">
        <v>8</v>
      </c>
      <c r="F101" s="2" t="s">
        <v>13</v>
      </c>
      <c r="G101" s="5">
        <v>1744.465</v>
      </c>
    </row>
    <row r="102">
      <c r="A102" s="1">
        <v>19.0</v>
      </c>
      <c r="B102" s="2" t="s">
        <v>7</v>
      </c>
      <c r="C102" s="3">
        <v>28.7</v>
      </c>
      <c r="D102" s="4">
        <v>0.0</v>
      </c>
      <c r="E102" s="2" t="s">
        <v>8</v>
      </c>
      <c r="F102" s="2" t="s">
        <v>13</v>
      </c>
      <c r="G102" s="5">
        <v>1253.936</v>
      </c>
    </row>
    <row r="103">
      <c r="A103" s="1">
        <v>19.0</v>
      </c>
      <c r="B103" s="2" t="s">
        <v>10</v>
      </c>
      <c r="C103" s="3">
        <v>32.9</v>
      </c>
      <c r="D103" s="4">
        <v>0.0</v>
      </c>
      <c r="E103" s="2" t="s">
        <v>8</v>
      </c>
      <c r="F103" s="2" t="s">
        <v>13</v>
      </c>
      <c r="G103" s="5">
        <v>1748.774</v>
      </c>
    </row>
    <row r="104">
      <c r="A104" s="1">
        <v>19.0</v>
      </c>
      <c r="B104" s="2" t="s">
        <v>7</v>
      </c>
      <c r="C104" s="3">
        <v>30.25</v>
      </c>
      <c r="D104" s="4">
        <v>0.0</v>
      </c>
      <c r="E104" s="2" t="s">
        <v>12</v>
      </c>
      <c r="F104" s="2" t="s">
        <v>9</v>
      </c>
      <c r="G104" s="5">
        <v>32548.3405</v>
      </c>
    </row>
    <row r="105">
      <c r="A105" s="1">
        <v>19.0</v>
      </c>
      <c r="B105" s="2" t="s">
        <v>7</v>
      </c>
      <c r="C105" s="3">
        <v>30.4</v>
      </c>
      <c r="D105" s="4">
        <v>0.0</v>
      </c>
      <c r="E105" s="2" t="s">
        <v>8</v>
      </c>
      <c r="F105" s="2" t="s">
        <v>13</v>
      </c>
      <c r="G105" s="5">
        <v>1256.299</v>
      </c>
    </row>
    <row r="106">
      <c r="A106" s="1">
        <v>19.0</v>
      </c>
      <c r="B106" s="2" t="s">
        <v>10</v>
      </c>
      <c r="C106" s="3">
        <v>30.59</v>
      </c>
      <c r="D106" s="4">
        <v>2.0</v>
      </c>
      <c r="E106" s="2" t="s">
        <v>8</v>
      </c>
      <c r="F106" s="2" t="s">
        <v>14</v>
      </c>
      <c r="G106" s="5">
        <v>24059.68019</v>
      </c>
    </row>
    <row r="107">
      <c r="A107" s="1">
        <v>19.0</v>
      </c>
      <c r="B107" s="2" t="s">
        <v>7</v>
      </c>
      <c r="C107" s="3">
        <v>35.53</v>
      </c>
      <c r="D107" s="4">
        <v>0.0</v>
      </c>
      <c r="E107" s="2" t="s">
        <v>8</v>
      </c>
      <c r="F107" s="2" t="s">
        <v>14</v>
      </c>
      <c r="G107" s="5">
        <v>1646.4297</v>
      </c>
    </row>
    <row r="108">
      <c r="A108" s="1">
        <v>19.0</v>
      </c>
      <c r="B108" s="2" t="s">
        <v>10</v>
      </c>
      <c r="C108" s="3">
        <v>30.495</v>
      </c>
      <c r="D108" s="4">
        <v>0.0</v>
      </c>
      <c r="E108" s="2" t="s">
        <v>8</v>
      </c>
      <c r="F108" s="2" t="s">
        <v>14</v>
      </c>
      <c r="G108" s="5">
        <v>2128.43105</v>
      </c>
    </row>
    <row r="109">
      <c r="A109" s="1">
        <v>19.0</v>
      </c>
      <c r="B109" s="2" t="s">
        <v>7</v>
      </c>
      <c r="C109" s="3">
        <v>30.59</v>
      </c>
      <c r="D109" s="4">
        <v>0.0</v>
      </c>
      <c r="E109" s="2" t="s">
        <v>8</v>
      </c>
      <c r="F109" s="2" t="s">
        <v>14</v>
      </c>
      <c r="G109" s="5">
        <v>1639.5631</v>
      </c>
    </row>
    <row r="110">
      <c r="A110" s="1">
        <v>19.0</v>
      </c>
      <c r="B110" s="2" t="s">
        <v>7</v>
      </c>
      <c r="C110" s="3">
        <v>20.7</v>
      </c>
      <c r="D110" s="4">
        <v>0.0</v>
      </c>
      <c r="E110" s="2" t="s">
        <v>8</v>
      </c>
      <c r="F110" s="2" t="s">
        <v>13</v>
      </c>
      <c r="G110" s="5">
        <v>1242.816</v>
      </c>
    </row>
    <row r="111">
      <c r="A111" s="1">
        <v>19.0</v>
      </c>
      <c r="B111" s="2" t="s">
        <v>10</v>
      </c>
      <c r="C111" s="3">
        <v>28.31</v>
      </c>
      <c r="D111" s="4">
        <v>0.0</v>
      </c>
      <c r="E111" s="2" t="s">
        <v>12</v>
      </c>
      <c r="F111" s="2" t="s">
        <v>14</v>
      </c>
      <c r="G111" s="5">
        <v>17468.9839</v>
      </c>
    </row>
    <row r="112">
      <c r="A112" s="1">
        <v>19.0</v>
      </c>
      <c r="B112" s="2" t="s">
        <v>10</v>
      </c>
      <c r="C112" s="3">
        <v>33.11</v>
      </c>
      <c r="D112" s="4">
        <v>0.0</v>
      </c>
      <c r="E112" s="2" t="s">
        <v>12</v>
      </c>
      <c r="F112" s="2" t="s">
        <v>9</v>
      </c>
      <c r="G112" s="5">
        <v>34439.8559</v>
      </c>
    </row>
    <row r="113">
      <c r="A113" s="1">
        <v>19.0</v>
      </c>
      <c r="B113" s="2" t="s">
        <v>10</v>
      </c>
      <c r="C113" s="3">
        <v>24.51</v>
      </c>
      <c r="D113" s="4">
        <v>1.0</v>
      </c>
      <c r="E113" s="2" t="s">
        <v>8</v>
      </c>
      <c r="F113" s="2" t="s">
        <v>14</v>
      </c>
      <c r="G113" s="5">
        <v>2709.1119</v>
      </c>
    </row>
    <row r="114">
      <c r="A114" s="1">
        <v>19.0</v>
      </c>
      <c r="B114" s="2" t="s">
        <v>7</v>
      </c>
      <c r="C114" s="3">
        <v>20.3</v>
      </c>
      <c r="D114" s="4">
        <v>0.0</v>
      </c>
      <c r="E114" s="2" t="s">
        <v>8</v>
      </c>
      <c r="F114" s="2" t="s">
        <v>13</v>
      </c>
      <c r="G114" s="5">
        <v>1242.26</v>
      </c>
    </row>
    <row r="115">
      <c r="A115" s="1">
        <v>19.0</v>
      </c>
      <c r="B115" s="2" t="s">
        <v>7</v>
      </c>
      <c r="C115" s="3">
        <v>35.4</v>
      </c>
      <c r="D115" s="4">
        <v>0.0</v>
      </c>
      <c r="E115" s="2" t="s">
        <v>8</v>
      </c>
      <c r="F115" s="2" t="s">
        <v>13</v>
      </c>
      <c r="G115" s="5">
        <v>1263.249</v>
      </c>
    </row>
    <row r="116">
      <c r="A116" s="1">
        <v>19.0</v>
      </c>
      <c r="B116" s="2" t="s">
        <v>7</v>
      </c>
      <c r="C116" s="3">
        <v>21.755</v>
      </c>
      <c r="D116" s="4">
        <v>0.0</v>
      </c>
      <c r="E116" s="2" t="s">
        <v>8</v>
      </c>
      <c r="F116" s="2" t="s">
        <v>14</v>
      </c>
      <c r="G116" s="5">
        <v>1627.28245</v>
      </c>
    </row>
    <row r="117">
      <c r="A117" s="1">
        <v>19.0</v>
      </c>
      <c r="B117" s="2" t="s">
        <v>10</v>
      </c>
      <c r="C117" s="3">
        <v>28.88</v>
      </c>
      <c r="D117" s="4">
        <v>0.0</v>
      </c>
      <c r="E117" s="2" t="s">
        <v>12</v>
      </c>
      <c r="F117" s="2" t="s">
        <v>14</v>
      </c>
      <c r="G117" s="5">
        <v>17748.5062</v>
      </c>
    </row>
    <row r="118">
      <c r="A118" s="1">
        <v>19.0</v>
      </c>
      <c r="B118" s="2" t="s">
        <v>7</v>
      </c>
      <c r="C118" s="3">
        <v>27.6</v>
      </c>
      <c r="D118" s="4">
        <v>0.0</v>
      </c>
      <c r="E118" s="2" t="s">
        <v>8</v>
      </c>
      <c r="F118" s="2" t="s">
        <v>13</v>
      </c>
      <c r="G118" s="5">
        <v>1252.407</v>
      </c>
    </row>
    <row r="119">
      <c r="A119" s="1">
        <v>19.0</v>
      </c>
      <c r="B119" s="2" t="s">
        <v>10</v>
      </c>
      <c r="C119" s="3">
        <v>36.575</v>
      </c>
      <c r="D119" s="4">
        <v>0.0</v>
      </c>
      <c r="E119" s="2" t="s">
        <v>8</v>
      </c>
      <c r="F119" s="2" t="s">
        <v>14</v>
      </c>
      <c r="G119" s="5">
        <v>2136.88225</v>
      </c>
    </row>
    <row r="120">
      <c r="A120" s="1">
        <v>19.0</v>
      </c>
      <c r="B120" s="2" t="s">
        <v>7</v>
      </c>
      <c r="C120" s="3">
        <v>25.555</v>
      </c>
      <c r="D120" s="4">
        <v>1.0</v>
      </c>
      <c r="E120" s="2" t="s">
        <v>8</v>
      </c>
      <c r="F120" s="2" t="s">
        <v>14</v>
      </c>
      <c r="G120" s="5">
        <v>2221.56445</v>
      </c>
    </row>
    <row r="121">
      <c r="A121" s="1">
        <v>19.0</v>
      </c>
      <c r="B121" s="2" t="s">
        <v>10</v>
      </c>
      <c r="C121" s="3">
        <v>22.515</v>
      </c>
      <c r="D121" s="4">
        <v>0.0</v>
      </c>
      <c r="E121" s="2" t="s">
        <v>8</v>
      </c>
      <c r="F121" s="2" t="s">
        <v>14</v>
      </c>
      <c r="G121" s="5">
        <v>2117.33885</v>
      </c>
    </row>
    <row r="122">
      <c r="A122" s="1">
        <v>19.0</v>
      </c>
      <c r="B122" s="2" t="s">
        <v>10</v>
      </c>
      <c r="C122" s="3">
        <v>23.4</v>
      </c>
      <c r="D122" s="4">
        <v>2.0</v>
      </c>
      <c r="E122" s="2" t="s">
        <v>8</v>
      </c>
      <c r="F122" s="2" t="s">
        <v>13</v>
      </c>
      <c r="G122" s="5">
        <v>2913.569</v>
      </c>
    </row>
    <row r="123">
      <c r="A123" s="1">
        <v>19.0</v>
      </c>
      <c r="B123" s="2" t="s">
        <v>7</v>
      </c>
      <c r="C123" s="3">
        <v>22.61</v>
      </c>
      <c r="D123" s="4">
        <v>0.0</v>
      </c>
      <c r="E123" s="2" t="s">
        <v>8</v>
      </c>
      <c r="F123" s="2" t="s">
        <v>14</v>
      </c>
      <c r="G123" s="5">
        <v>1628.4709</v>
      </c>
    </row>
    <row r="124">
      <c r="A124" s="1">
        <v>19.0</v>
      </c>
      <c r="B124" s="2" t="s">
        <v>10</v>
      </c>
      <c r="C124" s="3">
        <v>39.615</v>
      </c>
      <c r="D124" s="4">
        <v>1.0</v>
      </c>
      <c r="E124" s="2" t="s">
        <v>8</v>
      </c>
      <c r="F124" s="2" t="s">
        <v>14</v>
      </c>
      <c r="G124" s="5">
        <v>2730.10785</v>
      </c>
    </row>
    <row r="125">
      <c r="A125" s="1">
        <v>19.0</v>
      </c>
      <c r="B125" s="2" t="s">
        <v>10</v>
      </c>
      <c r="C125" s="3">
        <v>40.5</v>
      </c>
      <c r="D125" s="4">
        <v>0.0</v>
      </c>
      <c r="E125" s="2" t="s">
        <v>8</v>
      </c>
      <c r="F125" s="2" t="s">
        <v>13</v>
      </c>
      <c r="G125" s="5">
        <v>1759.338</v>
      </c>
    </row>
    <row r="126">
      <c r="A126" s="1">
        <v>19.0</v>
      </c>
      <c r="B126" s="2" t="s">
        <v>10</v>
      </c>
      <c r="C126" s="3">
        <v>24.605</v>
      </c>
      <c r="D126" s="4">
        <v>1.0</v>
      </c>
      <c r="E126" s="2" t="s">
        <v>8</v>
      </c>
      <c r="F126" s="2" t="s">
        <v>14</v>
      </c>
      <c r="G126" s="5">
        <v>2709.24395</v>
      </c>
    </row>
    <row r="127">
      <c r="A127" s="1">
        <v>19.0</v>
      </c>
      <c r="B127" s="2" t="s">
        <v>7</v>
      </c>
      <c r="C127" s="3">
        <v>26.03</v>
      </c>
      <c r="D127" s="4">
        <v>1.0</v>
      </c>
      <c r="E127" s="2" t="s">
        <v>12</v>
      </c>
      <c r="F127" s="2" t="s">
        <v>14</v>
      </c>
      <c r="G127" s="5">
        <v>16450.8947</v>
      </c>
    </row>
    <row r="128">
      <c r="A128" s="1">
        <v>19.0</v>
      </c>
      <c r="B128" s="2" t="s">
        <v>7</v>
      </c>
      <c r="C128" s="3">
        <v>27.265</v>
      </c>
      <c r="D128" s="4">
        <v>2.0</v>
      </c>
      <c r="E128" s="2" t="s">
        <v>8</v>
      </c>
      <c r="F128" s="2" t="s">
        <v>14</v>
      </c>
      <c r="G128" s="5">
        <v>22493.65964</v>
      </c>
    </row>
    <row r="129">
      <c r="A129" s="1">
        <v>19.0</v>
      </c>
      <c r="B129" s="2" t="s">
        <v>10</v>
      </c>
      <c r="C129" s="3">
        <v>18.6</v>
      </c>
      <c r="D129" s="4">
        <v>0.0</v>
      </c>
      <c r="E129" s="2" t="s">
        <v>8</v>
      </c>
      <c r="F129" s="2" t="s">
        <v>13</v>
      </c>
      <c r="G129" s="5">
        <v>1728.897</v>
      </c>
    </row>
    <row r="130">
      <c r="A130" s="1">
        <v>19.0</v>
      </c>
      <c r="B130" s="2" t="s">
        <v>10</v>
      </c>
      <c r="C130" s="3">
        <v>32.49</v>
      </c>
      <c r="D130" s="4">
        <v>0.0</v>
      </c>
      <c r="E130" s="2" t="s">
        <v>12</v>
      </c>
      <c r="F130" s="2" t="s">
        <v>14</v>
      </c>
      <c r="G130" s="5">
        <v>36898.73308</v>
      </c>
    </row>
    <row r="131">
      <c r="A131" s="1">
        <v>19.0</v>
      </c>
      <c r="B131" s="2" t="s">
        <v>7</v>
      </c>
      <c r="C131" s="3">
        <v>44.88</v>
      </c>
      <c r="D131" s="4">
        <v>0.0</v>
      </c>
      <c r="E131" s="2" t="s">
        <v>12</v>
      </c>
      <c r="F131" s="2" t="s">
        <v>9</v>
      </c>
      <c r="G131" s="5">
        <v>39722.7462</v>
      </c>
    </row>
    <row r="132">
      <c r="A132" s="1">
        <v>19.0</v>
      </c>
      <c r="B132" s="2" t="s">
        <v>10</v>
      </c>
      <c r="C132" s="3">
        <v>27.93</v>
      </c>
      <c r="D132" s="4">
        <v>3.0</v>
      </c>
      <c r="E132" s="2" t="s">
        <v>8</v>
      </c>
      <c r="F132" s="2" t="s">
        <v>14</v>
      </c>
      <c r="G132" s="5">
        <v>18838.70366</v>
      </c>
    </row>
    <row r="133">
      <c r="A133" s="1">
        <v>19.0</v>
      </c>
      <c r="B133" s="2" t="s">
        <v>10</v>
      </c>
      <c r="C133" s="3">
        <v>30.02</v>
      </c>
      <c r="D133" s="4">
        <v>0.0</v>
      </c>
      <c r="E133" s="2" t="s">
        <v>12</v>
      </c>
      <c r="F133" s="2" t="s">
        <v>14</v>
      </c>
      <c r="G133" s="5">
        <v>33307.5508</v>
      </c>
    </row>
    <row r="134">
      <c r="A134" s="1">
        <v>19.0</v>
      </c>
      <c r="B134" s="2" t="s">
        <v>7</v>
      </c>
      <c r="C134" s="3">
        <v>19.8</v>
      </c>
      <c r="D134" s="4">
        <v>0.0</v>
      </c>
      <c r="E134" s="2" t="s">
        <v>8</v>
      </c>
      <c r="F134" s="2" t="s">
        <v>13</v>
      </c>
      <c r="G134" s="5">
        <v>1241.565</v>
      </c>
    </row>
    <row r="135">
      <c r="A135" s="1">
        <v>19.0</v>
      </c>
      <c r="B135" s="2" t="s">
        <v>7</v>
      </c>
      <c r="C135" s="3">
        <v>34.9</v>
      </c>
      <c r="D135" s="4">
        <v>0.0</v>
      </c>
      <c r="E135" s="2" t="s">
        <v>12</v>
      </c>
      <c r="F135" s="2" t="s">
        <v>13</v>
      </c>
      <c r="G135" s="5">
        <v>34828.654</v>
      </c>
    </row>
    <row r="136">
      <c r="A136" s="1">
        <v>19.0</v>
      </c>
      <c r="B136" s="2" t="s">
        <v>10</v>
      </c>
      <c r="C136" s="3">
        <v>25.745</v>
      </c>
      <c r="D136" s="4">
        <v>1.0</v>
      </c>
      <c r="E136" s="2" t="s">
        <v>8</v>
      </c>
      <c r="F136" s="2" t="s">
        <v>14</v>
      </c>
      <c r="G136" s="5">
        <v>2710.82855</v>
      </c>
    </row>
    <row r="137">
      <c r="A137" s="1">
        <v>19.0</v>
      </c>
      <c r="B137" s="2" t="s">
        <v>10</v>
      </c>
      <c r="C137" s="3">
        <v>34.7</v>
      </c>
      <c r="D137" s="4">
        <v>2.0</v>
      </c>
      <c r="E137" s="2" t="s">
        <v>12</v>
      </c>
      <c r="F137" s="2" t="s">
        <v>13</v>
      </c>
      <c r="G137" s="5">
        <v>36397.576</v>
      </c>
    </row>
    <row r="138">
      <c r="A138" s="1">
        <v>19.0</v>
      </c>
      <c r="B138" s="2" t="s">
        <v>10</v>
      </c>
      <c r="C138" s="3">
        <v>20.6</v>
      </c>
      <c r="D138" s="4">
        <v>0.0</v>
      </c>
      <c r="E138" s="2" t="s">
        <v>8</v>
      </c>
      <c r="F138" s="2" t="s">
        <v>13</v>
      </c>
      <c r="G138" s="5">
        <v>1731.677</v>
      </c>
    </row>
    <row r="139">
      <c r="A139" s="1">
        <v>20.0</v>
      </c>
      <c r="B139" s="2" t="s">
        <v>10</v>
      </c>
      <c r="C139" s="3">
        <v>22.42</v>
      </c>
      <c r="D139" s="4">
        <v>0.0</v>
      </c>
      <c r="E139" s="2" t="s">
        <v>12</v>
      </c>
      <c r="F139" s="2" t="s">
        <v>14</v>
      </c>
      <c r="G139" s="5">
        <v>14711.7438</v>
      </c>
    </row>
    <row r="140">
      <c r="A140" s="1">
        <v>20.0</v>
      </c>
      <c r="B140" s="2" t="s">
        <v>7</v>
      </c>
      <c r="C140" s="3">
        <v>28.025</v>
      </c>
      <c r="D140" s="4">
        <v>1.0</v>
      </c>
      <c r="E140" s="2" t="s">
        <v>12</v>
      </c>
      <c r="F140" s="2" t="s">
        <v>14</v>
      </c>
      <c r="G140" s="5">
        <v>17560.37975</v>
      </c>
    </row>
    <row r="141">
      <c r="A141" s="1">
        <v>20.0</v>
      </c>
      <c r="B141" s="2" t="s">
        <v>10</v>
      </c>
      <c r="C141" s="3">
        <v>28.975</v>
      </c>
      <c r="D141" s="4">
        <v>0.0</v>
      </c>
      <c r="E141" s="2" t="s">
        <v>8</v>
      </c>
      <c r="F141" s="2" t="s">
        <v>14</v>
      </c>
      <c r="G141" s="5">
        <v>2257.47525</v>
      </c>
    </row>
    <row r="142">
      <c r="A142" s="1">
        <v>20.0</v>
      </c>
      <c r="B142" s="2" t="s">
        <v>10</v>
      </c>
      <c r="C142" s="3">
        <v>28.785</v>
      </c>
      <c r="D142" s="4">
        <v>0.0</v>
      </c>
      <c r="E142" s="2" t="s">
        <v>8</v>
      </c>
      <c r="F142" s="2" t="s">
        <v>11</v>
      </c>
      <c r="G142" s="5">
        <v>2457.21115</v>
      </c>
    </row>
    <row r="143">
      <c r="A143" s="1">
        <v>20.0</v>
      </c>
      <c r="B143" s="2" t="s">
        <v>10</v>
      </c>
      <c r="C143" s="3">
        <v>37.0</v>
      </c>
      <c r="D143" s="4">
        <v>5.0</v>
      </c>
      <c r="E143" s="2" t="s">
        <v>8</v>
      </c>
      <c r="F143" s="2" t="s">
        <v>13</v>
      </c>
      <c r="G143" s="5">
        <v>4830.63</v>
      </c>
    </row>
    <row r="144">
      <c r="A144" s="1">
        <v>20.0</v>
      </c>
      <c r="B144" s="2" t="s">
        <v>7</v>
      </c>
      <c r="C144" s="3">
        <v>33.0</v>
      </c>
      <c r="D144" s="4">
        <v>1.0</v>
      </c>
      <c r="E144" s="2" t="s">
        <v>8</v>
      </c>
      <c r="F144" s="2" t="s">
        <v>13</v>
      </c>
      <c r="G144" s="5">
        <v>1980.07</v>
      </c>
    </row>
    <row r="145">
      <c r="A145" s="1">
        <v>20.0</v>
      </c>
      <c r="B145" s="2" t="s">
        <v>10</v>
      </c>
      <c r="C145" s="3">
        <v>26.84</v>
      </c>
      <c r="D145" s="4">
        <v>1.0</v>
      </c>
      <c r="E145" s="2" t="s">
        <v>12</v>
      </c>
      <c r="F145" s="2" t="s">
        <v>9</v>
      </c>
      <c r="G145" s="5">
        <v>17085.2676</v>
      </c>
    </row>
    <row r="146">
      <c r="A146" s="1">
        <v>20.0</v>
      </c>
      <c r="B146" s="2" t="s">
        <v>7</v>
      </c>
      <c r="C146" s="3">
        <v>33.33</v>
      </c>
      <c r="D146" s="4">
        <v>0.0</v>
      </c>
      <c r="E146" s="2" t="s">
        <v>8</v>
      </c>
      <c r="F146" s="2" t="s">
        <v>9</v>
      </c>
      <c r="G146" s="5">
        <v>1391.5287</v>
      </c>
    </row>
    <row r="147">
      <c r="A147" s="1">
        <v>20.0</v>
      </c>
      <c r="B147" s="2" t="s">
        <v>7</v>
      </c>
      <c r="C147" s="3">
        <v>29.735</v>
      </c>
      <c r="D147" s="4">
        <v>0.0</v>
      </c>
      <c r="E147" s="2" t="s">
        <v>8</v>
      </c>
      <c r="F147" s="2" t="s">
        <v>14</v>
      </c>
      <c r="G147" s="5">
        <v>1769.53165</v>
      </c>
    </row>
    <row r="148">
      <c r="A148" s="1">
        <v>20.0</v>
      </c>
      <c r="B148" s="2" t="s">
        <v>7</v>
      </c>
      <c r="C148" s="3">
        <v>27.93</v>
      </c>
      <c r="D148" s="4">
        <v>0.0</v>
      </c>
      <c r="E148" s="2" t="s">
        <v>8</v>
      </c>
      <c r="F148" s="2" t="s">
        <v>11</v>
      </c>
      <c r="G148" s="5">
        <v>1967.0227</v>
      </c>
    </row>
    <row r="149">
      <c r="A149" s="1">
        <v>20.0</v>
      </c>
      <c r="B149" s="2" t="s">
        <v>7</v>
      </c>
      <c r="C149" s="3">
        <v>35.31</v>
      </c>
      <c r="D149" s="4">
        <v>1.0</v>
      </c>
      <c r="E149" s="2" t="s">
        <v>8</v>
      </c>
      <c r="F149" s="2" t="s">
        <v>9</v>
      </c>
      <c r="G149" s="5">
        <v>27724.28875</v>
      </c>
    </row>
    <row r="150">
      <c r="A150" s="1">
        <v>20.0</v>
      </c>
      <c r="B150" s="2" t="s">
        <v>10</v>
      </c>
      <c r="C150" s="3">
        <v>31.79</v>
      </c>
      <c r="D150" s="4">
        <v>2.0</v>
      </c>
      <c r="E150" s="2" t="s">
        <v>8</v>
      </c>
      <c r="F150" s="2" t="s">
        <v>9</v>
      </c>
      <c r="G150" s="5">
        <v>3056.3881</v>
      </c>
    </row>
    <row r="151">
      <c r="A151" s="1">
        <v>20.0</v>
      </c>
      <c r="B151" s="2" t="s">
        <v>7</v>
      </c>
      <c r="C151" s="3">
        <v>31.13</v>
      </c>
      <c r="D151" s="4">
        <v>2.0</v>
      </c>
      <c r="E151" s="2" t="s">
        <v>8</v>
      </c>
      <c r="F151" s="2" t="s">
        <v>9</v>
      </c>
      <c r="G151" s="5">
        <v>2566.4707</v>
      </c>
    </row>
    <row r="152">
      <c r="A152" s="1">
        <v>20.0</v>
      </c>
      <c r="B152" s="2" t="s">
        <v>10</v>
      </c>
      <c r="C152" s="3">
        <v>33.0</v>
      </c>
      <c r="D152" s="4">
        <v>0.0</v>
      </c>
      <c r="E152" s="2" t="s">
        <v>8</v>
      </c>
      <c r="F152" s="2" t="s">
        <v>9</v>
      </c>
      <c r="G152" s="5">
        <v>1880.07</v>
      </c>
    </row>
    <row r="153">
      <c r="A153" s="1">
        <v>20.0</v>
      </c>
      <c r="B153" s="2" t="s">
        <v>7</v>
      </c>
      <c r="C153" s="3">
        <v>32.395</v>
      </c>
      <c r="D153" s="4">
        <v>1.0</v>
      </c>
      <c r="E153" s="2" t="s">
        <v>8</v>
      </c>
      <c r="F153" s="2" t="s">
        <v>14</v>
      </c>
      <c r="G153" s="5">
        <v>2362.22905</v>
      </c>
    </row>
    <row r="154">
      <c r="A154" s="1">
        <v>20.0</v>
      </c>
      <c r="B154" s="2" t="s">
        <v>7</v>
      </c>
      <c r="C154" s="3">
        <v>40.47</v>
      </c>
      <c r="D154" s="4">
        <v>0.0</v>
      </c>
      <c r="E154" s="2" t="s">
        <v>8</v>
      </c>
      <c r="F154" s="2" t="s">
        <v>11</v>
      </c>
      <c r="G154" s="5">
        <v>1984.4533</v>
      </c>
    </row>
    <row r="155">
      <c r="A155" s="1">
        <v>20.0</v>
      </c>
      <c r="B155" s="2" t="s">
        <v>10</v>
      </c>
      <c r="C155" s="3">
        <v>31.46</v>
      </c>
      <c r="D155" s="4">
        <v>0.0</v>
      </c>
      <c r="E155" s="2" t="s">
        <v>8</v>
      </c>
      <c r="F155" s="2" t="s">
        <v>9</v>
      </c>
      <c r="G155" s="5">
        <v>1877.9294</v>
      </c>
    </row>
    <row r="156">
      <c r="A156" s="1">
        <v>20.0</v>
      </c>
      <c r="B156" s="2" t="s">
        <v>10</v>
      </c>
      <c r="C156" s="3">
        <v>29.6</v>
      </c>
      <c r="D156" s="4">
        <v>0.0</v>
      </c>
      <c r="E156" s="2" t="s">
        <v>8</v>
      </c>
      <c r="F156" s="2" t="s">
        <v>13</v>
      </c>
      <c r="G156" s="5">
        <v>1875.344</v>
      </c>
    </row>
    <row r="157">
      <c r="A157" s="1">
        <v>20.0</v>
      </c>
      <c r="B157" s="2" t="s">
        <v>7</v>
      </c>
      <c r="C157" s="3">
        <v>30.115</v>
      </c>
      <c r="D157" s="4">
        <v>5.0</v>
      </c>
      <c r="E157" s="2" t="s">
        <v>8</v>
      </c>
      <c r="F157" s="2" t="s">
        <v>11</v>
      </c>
      <c r="G157" s="5">
        <v>4915.05985</v>
      </c>
    </row>
    <row r="158">
      <c r="A158" s="1">
        <v>20.0</v>
      </c>
      <c r="B158" s="2" t="s">
        <v>7</v>
      </c>
      <c r="C158" s="3">
        <v>30.685</v>
      </c>
      <c r="D158" s="4">
        <v>0.0</v>
      </c>
      <c r="E158" s="2" t="s">
        <v>12</v>
      </c>
      <c r="F158" s="2" t="s">
        <v>11</v>
      </c>
      <c r="G158" s="5">
        <v>33475.81715</v>
      </c>
    </row>
    <row r="159">
      <c r="A159" s="1">
        <v>20.0</v>
      </c>
      <c r="B159" s="2" t="s">
        <v>10</v>
      </c>
      <c r="C159" s="3">
        <v>31.92</v>
      </c>
      <c r="D159" s="4">
        <v>0.0</v>
      </c>
      <c r="E159" s="2" t="s">
        <v>8</v>
      </c>
      <c r="F159" s="2" t="s">
        <v>14</v>
      </c>
      <c r="G159" s="5">
        <v>2261.5688</v>
      </c>
    </row>
    <row r="160">
      <c r="A160" s="1">
        <v>20.0</v>
      </c>
      <c r="B160" s="2" t="s">
        <v>10</v>
      </c>
      <c r="C160" s="3">
        <v>30.59</v>
      </c>
      <c r="D160" s="4">
        <v>0.0</v>
      </c>
      <c r="E160" s="2" t="s">
        <v>8</v>
      </c>
      <c r="F160" s="2" t="s">
        <v>11</v>
      </c>
      <c r="G160" s="5">
        <v>2459.7201</v>
      </c>
    </row>
    <row r="161">
      <c r="A161" s="1">
        <v>20.0</v>
      </c>
      <c r="B161" s="2" t="s">
        <v>7</v>
      </c>
      <c r="C161" s="3">
        <v>35.625</v>
      </c>
      <c r="D161" s="4">
        <v>3.0</v>
      </c>
      <c r="E161" s="2" t="s">
        <v>12</v>
      </c>
      <c r="F161" s="2" t="s">
        <v>14</v>
      </c>
      <c r="G161" s="5">
        <v>37465.34375</v>
      </c>
    </row>
    <row r="162">
      <c r="A162" s="1">
        <v>20.0</v>
      </c>
      <c r="B162" s="2" t="s">
        <v>10</v>
      </c>
      <c r="C162" s="3">
        <v>24.42</v>
      </c>
      <c r="D162" s="4">
        <v>0.0</v>
      </c>
      <c r="E162" s="2" t="s">
        <v>12</v>
      </c>
      <c r="F162" s="2" t="s">
        <v>9</v>
      </c>
      <c r="G162" s="5">
        <v>26125.67477</v>
      </c>
    </row>
    <row r="163">
      <c r="A163" s="1">
        <v>20.0</v>
      </c>
      <c r="B163" s="2" t="s">
        <v>10</v>
      </c>
      <c r="C163" s="3">
        <v>21.8</v>
      </c>
      <c r="D163" s="4">
        <v>0.0</v>
      </c>
      <c r="E163" s="2" t="s">
        <v>12</v>
      </c>
      <c r="F163" s="2" t="s">
        <v>13</v>
      </c>
      <c r="G163" s="5">
        <v>20167.33603</v>
      </c>
    </row>
    <row r="164">
      <c r="A164" s="1">
        <v>20.0</v>
      </c>
      <c r="B164" s="2" t="s">
        <v>7</v>
      </c>
      <c r="C164" s="3">
        <v>27.3</v>
      </c>
      <c r="D164" s="4">
        <v>0.0</v>
      </c>
      <c r="E164" s="2" t="s">
        <v>12</v>
      </c>
      <c r="F164" s="2" t="s">
        <v>13</v>
      </c>
      <c r="G164" s="5">
        <v>16232.847</v>
      </c>
    </row>
    <row r="165">
      <c r="A165" s="1">
        <v>20.0</v>
      </c>
      <c r="B165" s="2" t="s">
        <v>10</v>
      </c>
      <c r="C165" s="3">
        <v>33.3</v>
      </c>
      <c r="D165" s="4">
        <v>0.0</v>
      </c>
      <c r="E165" s="2" t="s">
        <v>8</v>
      </c>
      <c r="F165" s="2" t="s">
        <v>13</v>
      </c>
      <c r="G165" s="5">
        <v>1880.487</v>
      </c>
    </row>
    <row r="166">
      <c r="A166" s="1">
        <v>20.0</v>
      </c>
      <c r="B166" s="2" t="s">
        <v>7</v>
      </c>
      <c r="C166" s="3">
        <v>39.4</v>
      </c>
      <c r="D166" s="4">
        <v>2.0</v>
      </c>
      <c r="E166" s="2" t="s">
        <v>12</v>
      </c>
      <c r="F166" s="2" t="s">
        <v>13</v>
      </c>
      <c r="G166" s="5">
        <v>38344.566</v>
      </c>
    </row>
    <row r="167">
      <c r="A167" s="1">
        <v>20.0</v>
      </c>
      <c r="B167" s="2" t="s">
        <v>7</v>
      </c>
      <c r="C167" s="3">
        <v>22.0</v>
      </c>
      <c r="D167" s="4">
        <v>1.0</v>
      </c>
      <c r="E167" s="2" t="s">
        <v>8</v>
      </c>
      <c r="F167" s="2" t="s">
        <v>13</v>
      </c>
      <c r="G167" s="5">
        <v>1964.78</v>
      </c>
    </row>
    <row r="168">
      <c r="A168" s="1">
        <v>21.0</v>
      </c>
      <c r="B168" s="2" t="s">
        <v>10</v>
      </c>
      <c r="C168" s="3">
        <v>33.63</v>
      </c>
      <c r="D168" s="4">
        <v>2.0</v>
      </c>
      <c r="E168" s="2" t="s">
        <v>8</v>
      </c>
      <c r="F168" s="2" t="s">
        <v>14</v>
      </c>
      <c r="G168" s="5">
        <v>3579.8287</v>
      </c>
    </row>
    <row r="169">
      <c r="A169" s="1">
        <v>21.0</v>
      </c>
      <c r="B169" s="2" t="s">
        <v>7</v>
      </c>
      <c r="C169" s="3">
        <v>35.53</v>
      </c>
      <c r="D169" s="4">
        <v>0.0</v>
      </c>
      <c r="E169" s="2" t="s">
        <v>8</v>
      </c>
      <c r="F169" s="2" t="s">
        <v>9</v>
      </c>
      <c r="G169" s="5">
        <v>1532.4697</v>
      </c>
    </row>
    <row r="170">
      <c r="A170" s="1">
        <v>21.0</v>
      </c>
      <c r="B170" s="2" t="s">
        <v>10</v>
      </c>
      <c r="C170" s="3">
        <v>39.49</v>
      </c>
      <c r="D170" s="4">
        <v>0.0</v>
      </c>
      <c r="E170" s="2" t="s">
        <v>8</v>
      </c>
      <c r="F170" s="2" t="s">
        <v>9</v>
      </c>
      <c r="G170" s="5">
        <v>2026.9741</v>
      </c>
    </row>
    <row r="171">
      <c r="A171" s="1">
        <v>21.0</v>
      </c>
      <c r="B171" s="2" t="s">
        <v>10</v>
      </c>
      <c r="C171" s="3">
        <v>35.72</v>
      </c>
      <c r="D171" s="4">
        <v>0.0</v>
      </c>
      <c r="E171" s="2" t="s">
        <v>8</v>
      </c>
      <c r="F171" s="2" t="s">
        <v>14</v>
      </c>
      <c r="G171" s="5">
        <v>2404.7338</v>
      </c>
    </row>
    <row r="172">
      <c r="A172" s="1">
        <v>21.0</v>
      </c>
      <c r="B172" s="2" t="s">
        <v>10</v>
      </c>
      <c r="C172" s="3">
        <v>26.4</v>
      </c>
      <c r="D172" s="4">
        <v>1.0</v>
      </c>
      <c r="E172" s="2" t="s">
        <v>8</v>
      </c>
      <c r="F172" s="2" t="s">
        <v>13</v>
      </c>
      <c r="G172" s="5">
        <v>2597.779</v>
      </c>
    </row>
    <row r="173">
      <c r="A173" s="1">
        <v>21.0</v>
      </c>
      <c r="B173" s="2" t="s">
        <v>10</v>
      </c>
      <c r="C173" s="3">
        <v>21.89</v>
      </c>
      <c r="D173" s="4">
        <v>2.0</v>
      </c>
      <c r="E173" s="2" t="s">
        <v>8</v>
      </c>
      <c r="F173" s="2" t="s">
        <v>9</v>
      </c>
      <c r="G173" s="5">
        <v>3180.5101</v>
      </c>
    </row>
    <row r="174">
      <c r="A174" s="1">
        <v>21.0</v>
      </c>
      <c r="B174" s="2" t="s">
        <v>7</v>
      </c>
      <c r="C174" s="3">
        <v>31.02</v>
      </c>
      <c r="D174" s="4">
        <v>0.0</v>
      </c>
      <c r="E174" s="2" t="s">
        <v>8</v>
      </c>
      <c r="F174" s="2" t="s">
        <v>9</v>
      </c>
      <c r="G174" s="5">
        <v>16586.49771</v>
      </c>
    </row>
    <row r="175">
      <c r="A175" s="1">
        <v>21.0</v>
      </c>
      <c r="B175" s="2" t="s">
        <v>10</v>
      </c>
      <c r="C175" s="3">
        <v>16.815</v>
      </c>
      <c r="D175" s="4">
        <v>1.0</v>
      </c>
      <c r="E175" s="2" t="s">
        <v>8</v>
      </c>
      <c r="F175" s="2" t="s">
        <v>11</v>
      </c>
      <c r="G175" s="5">
        <v>3167.45585</v>
      </c>
    </row>
    <row r="176">
      <c r="A176" s="1">
        <v>21.0</v>
      </c>
      <c r="B176" s="2" t="s">
        <v>7</v>
      </c>
      <c r="C176" s="3">
        <v>36.85</v>
      </c>
      <c r="D176" s="4">
        <v>0.0</v>
      </c>
      <c r="E176" s="2" t="s">
        <v>8</v>
      </c>
      <c r="F176" s="2" t="s">
        <v>9</v>
      </c>
      <c r="G176" s="5">
        <v>1534.3045</v>
      </c>
    </row>
    <row r="177">
      <c r="A177" s="1">
        <v>21.0</v>
      </c>
      <c r="B177" s="2" t="s">
        <v>7</v>
      </c>
      <c r="C177" s="3">
        <v>25.7</v>
      </c>
      <c r="D177" s="4">
        <v>4.0</v>
      </c>
      <c r="E177" s="2" t="s">
        <v>12</v>
      </c>
      <c r="F177" s="2" t="s">
        <v>13</v>
      </c>
      <c r="G177" s="5">
        <v>17942.106</v>
      </c>
    </row>
    <row r="178">
      <c r="A178" s="1">
        <v>21.0</v>
      </c>
      <c r="B178" s="2" t="s">
        <v>7</v>
      </c>
      <c r="C178" s="3">
        <v>23.75</v>
      </c>
      <c r="D178" s="4">
        <v>2.0</v>
      </c>
      <c r="E178" s="2" t="s">
        <v>8</v>
      </c>
      <c r="F178" s="2" t="s">
        <v>14</v>
      </c>
      <c r="G178" s="5">
        <v>3077.0955</v>
      </c>
    </row>
    <row r="179">
      <c r="A179" s="1">
        <v>21.0</v>
      </c>
      <c r="B179" s="2" t="s">
        <v>7</v>
      </c>
      <c r="C179" s="3">
        <v>20.235</v>
      </c>
      <c r="D179" s="4">
        <v>3.0</v>
      </c>
      <c r="E179" s="2" t="s">
        <v>8</v>
      </c>
      <c r="F179" s="2" t="s">
        <v>11</v>
      </c>
      <c r="G179" s="5">
        <v>3861.20965</v>
      </c>
    </row>
    <row r="180">
      <c r="A180" s="1">
        <v>21.0</v>
      </c>
      <c r="B180" s="2" t="s">
        <v>10</v>
      </c>
      <c r="C180" s="3">
        <v>21.85</v>
      </c>
      <c r="D180" s="4">
        <v>1.0</v>
      </c>
      <c r="E180" s="2" t="s">
        <v>12</v>
      </c>
      <c r="F180" s="2" t="s">
        <v>11</v>
      </c>
      <c r="G180" s="5">
        <v>15359.1045</v>
      </c>
    </row>
    <row r="181">
      <c r="A181" s="1">
        <v>21.0</v>
      </c>
      <c r="B181" s="2" t="s">
        <v>10</v>
      </c>
      <c r="C181" s="3">
        <v>17.4</v>
      </c>
      <c r="D181" s="4">
        <v>1.0</v>
      </c>
      <c r="E181" s="2" t="s">
        <v>8</v>
      </c>
      <c r="F181" s="2" t="s">
        <v>13</v>
      </c>
      <c r="G181" s="5">
        <v>2585.269</v>
      </c>
    </row>
    <row r="182">
      <c r="A182" s="1">
        <v>21.0</v>
      </c>
      <c r="B182" s="2" t="s">
        <v>7</v>
      </c>
      <c r="C182" s="3">
        <v>27.36</v>
      </c>
      <c r="D182" s="4">
        <v>0.0</v>
      </c>
      <c r="E182" s="2" t="s">
        <v>8</v>
      </c>
      <c r="F182" s="2" t="s">
        <v>11</v>
      </c>
      <c r="G182" s="5">
        <v>2104.1134</v>
      </c>
    </row>
    <row r="183">
      <c r="A183" s="1">
        <v>21.0</v>
      </c>
      <c r="B183" s="2" t="s">
        <v>10</v>
      </c>
      <c r="C183" s="3">
        <v>34.87</v>
      </c>
      <c r="D183" s="4">
        <v>0.0</v>
      </c>
      <c r="E183" s="2" t="s">
        <v>8</v>
      </c>
      <c r="F183" s="2" t="s">
        <v>9</v>
      </c>
      <c r="G183" s="5">
        <v>2020.5523</v>
      </c>
    </row>
    <row r="184">
      <c r="A184" s="1">
        <v>21.0</v>
      </c>
      <c r="B184" s="2" t="s">
        <v>7</v>
      </c>
      <c r="C184" s="3">
        <v>28.975</v>
      </c>
      <c r="D184" s="4">
        <v>0.0</v>
      </c>
      <c r="E184" s="2" t="s">
        <v>8</v>
      </c>
      <c r="F184" s="2" t="s">
        <v>14</v>
      </c>
      <c r="G184" s="5">
        <v>1906.35825</v>
      </c>
    </row>
    <row r="185">
      <c r="A185" s="1">
        <v>21.0</v>
      </c>
      <c r="B185" s="2" t="s">
        <v>7</v>
      </c>
      <c r="C185" s="3">
        <v>36.86</v>
      </c>
      <c r="D185" s="4">
        <v>0.0</v>
      </c>
      <c r="E185" s="2" t="s">
        <v>8</v>
      </c>
      <c r="F185" s="2" t="s">
        <v>14</v>
      </c>
      <c r="G185" s="5">
        <v>1917.3184</v>
      </c>
    </row>
    <row r="186">
      <c r="A186" s="1">
        <v>21.0</v>
      </c>
      <c r="B186" s="2" t="s">
        <v>7</v>
      </c>
      <c r="C186" s="3">
        <v>22.3</v>
      </c>
      <c r="D186" s="4">
        <v>1.0</v>
      </c>
      <c r="E186" s="2" t="s">
        <v>8</v>
      </c>
      <c r="F186" s="2" t="s">
        <v>13</v>
      </c>
      <c r="G186" s="5">
        <v>2103.08</v>
      </c>
    </row>
    <row r="187">
      <c r="A187" s="1">
        <v>21.0</v>
      </c>
      <c r="B187" s="2" t="s">
        <v>7</v>
      </c>
      <c r="C187" s="3">
        <v>31.1</v>
      </c>
      <c r="D187" s="4">
        <v>0.0</v>
      </c>
      <c r="E187" s="2" t="s">
        <v>8</v>
      </c>
      <c r="F187" s="2" t="s">
        <v>13</v>
      </c>
      <c r="G187" s="5">
        <v>1526.312</v>
      </c>
    </row>
    <row r="188">
      <c r="A188" s="1">
        <v>21.0</v>
      </c>
      <c r="B188" s="2" t="s">
        <v>10</v>
      </c>
      <c r="C188" s="3">
        <v>22.135</v>
      </c>
      <c r="D188" s="4">
        <v>0.0</v>
      </c>
      <c r="E188" s="2" t="s">
        <v>8</v>
      </c>
      <c r="F188" s="2" t="s">
        <v>11</v>
      </c>
      <c r="G188" s="5">
        <v>2585.85065</v>
      </c>
    </row>
    <row r="189">
      <c r="A189" s="1">
        <v>21.0</v>
      </c>
      <c r="B189" s="2" t="s">
        <v>7</v>
      </c>
      <c r="C189" s="3">
        <v>25.745</v>
      </c>
      <c r="D189" s="4">
        <v>2.0</v>
      </c>
      <c r="E189" s="2" t="s">
        <v>8</v>
      </c>
      <c r="F189" s="2" t="s">
        <v>11</v>
      </c>
      <c r="G189" s="5">
        <v>3279.86855</v>
      </c>
    </row>
    <row r="190">
      <c r="A190" s="1">
        <v>21.0</v>
      </c>
      <c r="B190" s="2" t="s">
        <v>10</v>
      </c>
      <c r="C190" s="3">
        <v>32.68</v>
      </c>
      <c r="D190" s="4">
        <v>2.0</v>
      </c>
      <c r="E190" s="2" t="s">
        <v>8</v>
      </c>
      <c r="F190" s="2" t="s">
        <v>14</v>
      </c>
      <c r="G190" s="5">
        <v>26018.95052</v>
      </c>
    </row>
    <row r="191">
      <c r="A191" s="1">
        <v>21.0</v>
      </c>
      <c r="B191" s="2" t="s">
        <v>10</v>
      </c>
      <c r="C191" s="3">
        <v>34.6</v>
      </c>
      <c r="D191" s="4">
        <v>0.0</v>
      </c>
      <c r="E191" s="2" t="s">
        <v>8</v>
      </c>
      <c r="F191" s="2" t="s">
        <v>13</v>
      </c>
      <c r="G191" s="5">
        <v>2020.177</v>
      </c>
    </row>
    <row r="192">
      <c r="A192" s="1">
        <v>21.0</v>
      </c>
      <c r="B192" s="2" t="s">
        <v>7</v>
      </c>
      <c r="C192" s="3">
        <v>31.255</v>
      </c>
      <c r="D192" s="4">
        <v>0.0</v>
      </c>
      <c r="E192" s="2" t="s">
        <v>8</v>
      </c>
      <c r="F192" s="2" t="s">
        <v>14</v>
      </c>
      <c r="G192" s="5">
        <v>1909.52745</v>
      </c>
    </row>
    <row r="193">
      <c r="A193" s="1">
        <v>21.0</v>
      </c>
      <c r="B193" s="2" t="s">
        <v>7</v>
      </c>
      <c r="C193" s="3">
        <v>26.03</v>
      </c>
      <c r="D193" s="4">
        <v>0.0</v>
      </c>
      <c r="E193" s="2" t="s">
        <v>8</v>
      </c>
      <c r="F193" s="2" t="s">
        <v>11</v>
      </c>
      <c r="G193" s="5">
        <v>2102.2647</v>
      </c>
    </row>
    <row r="194">
      <c r="A194" s="1">
        <v>21.0</v>
      </c>
      <c r="B194" s="2" t="s">
        <v>7</v>
      </c>
      <c r="C194" s="3">
        <v>23.21</v>
      </c>
      <c r="D194" s="4">
        <v>0.0</v>
      </c>
      <c r="E194" s="2" t="s">
        <v>8</v>
      </c>
      <c r="F194" s="2" t="s">
        <v>9</v>
      </c>
      <c r="G194" s="5">
        <v>1515.3449</v>
      </c>
    </row>
    <row r="195">
      <c r="A195" s="1">
        <v>21.0</v>
      </c>
      <c r="B195" s="2" t="s">
        <v>10</v>
      </c>
      <c r="C195" s="3">
        <v>25.8</v>
      </c>
      <c r="D195" s="4">
        <v>0.0</v>
      </c>
      <c r="E195" s="2" t="s">
        <v>8</v>
      </c>
      <c r="F195" s="2" t="s">
        <v>13</v>
      </c>
      <c r="G195" s="5">
        <v>2007.945</v>
      </c>
    </row>
    <row r="196">
      <c r="A196" s="1">
        <v>22.0</v>
      </c>
      <c r="B196" s="2" t="s">
        <v>7</v>
      </c>
      <c r="C196" s="3">
        <v>35.6</v>
      </c>
      <c r="D196" s="4">
        <v>0.0</v>
      </c>
      <c r="E196" s="2" t="s">
        <v>12</v>
      </c>
      <c r="F196" s="2" t="s">
        <v>13</v>
      </c>
      <c r="G196" s="5">
        <v>35585.576</v>
      </c>
    </row>
    <row r="197">
      <c r="A197" s="1">
        <v>22.0</v>
      </c>
      <c r="B197" s="2" t="s">
        <v>10</v>
      </c>
      <c r="C197" s="3">
        <v>39.805</v>
      </c>
      <c r="D197" s="4">
        <v>0.0</v>
      </c>
      <c r="E197" s="2" t="s">
        <v>8</v>
      </c>
      <c r="F197" s="2" t="s">
        <v>11</v>
      </c>
      <c r="G197" s="5">
        <v>2755.02095</v>
      </c>
    </row>
    <row r="198">
      <c r="A198" s="1">
        <v>22.0</v>
      </c>
      <c r="B198" s="2" t="s">
        <v>7</v>
      </c>
      <c r="C198" s="3">
        <v>37.62</v>
      </c>
      <c r="D198" s="4">
        <v>1.0</v>
      </c>
      <c r="E198" s="2" t="s">
        <v>12</v>
      </c>
      <c r="F198" s="2" t="s">
        <v>9</v>
      </c>
      <c r="G198" s="5">
        <v>37165.1638</v>
      </c>
    </row>
    <row r="199">
      <c r="A199" s="1">
        <v>22.0</v>
      </c>
      <c r="B199" s="2" t="s">
        <v>10</v>
      </c>
      <c r="C199" s="3">
        <v>28.05</v>
      </c>
      <c r="D199" s="4">
        <v>0.0</v>
      </c>
      <c r="E199" s="2" t="s">
        <v>8</v>
      </c>
      <c r="F199" s="2" t="s">
        <v>9</v>
      </c>
      <c r="G199" s="5">
        <v>2155.6815</v>
      </c>
    </row>
    <row r="200">
      <c r="A200" s="1">
        <v>22.0</v>
      </c>
      <c r="B200" s="2" t="s">
        <v>7</v>
      </c>
      <c r="C200" s="3">
        <v>25.175</v>
      </c>
      <c r="D200" s="4">
        <v>0.0</v>
      </c>
      <c r="E200" s="2" t="s">
        <v>8</v>
      </c>
      <c r="F200" s="2" t="s">
        <v>14</v>
      </c>
      <c r="G200" s="5">
        <v>2045.68525</v>
      </c>
    </row>
    <row r="201">
      <c r="A201" s="1">
        <v>22.0</v>
      </c>
      <c r="B201" s="2" t="s">
        <v>10</v>
      </c>
      <c r="C201" s="3">
        <v>36.0</v>
      </c>
      <c r="D201" s="4">
        <v>0.0</v>
      </c>
      <c r="E201" s="2" t="s">
        <v>8</v>
      </c>
      <c r="F201" s="2" t="s">
        <v>13</v>
      </c>
      <c r="G201" s="5">
        <v>2166.732</v>
      </c>
    </row>
    <row r="202">
      <c r="A202" s="1">
        <v>22.0</v>
      </c>
      <c r="B202" s="2" t="s">
        <v>7</v>
      </c>
      <c r="C202" s="3">
        <v>19.95</v>
      </c>
      <c r="D202" s="4">
        <v>3.0</v>
      </c>
      <c r="E202" s="2" t="s">
        <v>8</v>
      </c>
      <c r="F202" s="2" t="s">
        <v>11</v>
      </c>
      <c r="G202" s="5">
        <v>4005.4225</v>
      </c>
    </row>
    <row r="203">
      <c r="A203" s="1">
        <v>22.0</v>
      </c>
      <c r="B203" s="2" t="s">
        <v>10</v>
      </c>
      <c r="C203" s="3">
        <v>24.3</v>
      </c>
      <c r="D203" s="4">
        <v>0.0</v>
      </c>
      <c r="E203" s="2" t="s">
        <v>8</v>
      </c>
      <c r="F203" s="2" t="s">
        <v>13</v>
      </c>
      <c r="G203" s="5">
        <v>2150.469</v>
      </c>
    </row>
    <row r="204">
      <c r="A204" s="1">
        <v>22.0</v>
      </c>
      <c r="B204" s="2" t="s">
        <v>10</v>
      </c>
      <c r="C204" s="3">
        <v>28.82</v>
      </c>
      <c r="D204" s="4">
        <v>0.0</v>
      </c>
      <c r="E204" s="2" t="s">
        <v>8</v>
      </c>
      <c r="F204" s="2" t="s">
        <v>9</v>
      </c>
      <c r="G204" s="5">
        <v>2156.7518</v>
      </c>
    </row>
    <row r="205">
      <c r="A205" s="1">
        <v>22.0</v>
      </c>
      <c r="B205" s="2" t="s">
        <v>7</v>
      </c>
      <c r="C205" s="3">
        <v>31.73</v>
      </c>
      <c r="D205" s="4">
        <v>0.0</v>
      </c>
      <c r="E205" s="2" t="s">
        <v>8</v>
      </c>
      <c r="F205" s="2" t="s">
        <v>11</v>
      </c>
      <c r="G205" s="5">
        <v>2254.7967</v>
      </c>
    </row>
    <row r="206">
      <c r="A206" s="1">
        <v>22.0</v>
      </c>
      <c r="B206" s="2" t="s">
        <v>7</v>
      </c>
      <c r="C206" s="3">
        <v>31.35</v>
      </c>
      <c r="D206" s="4">
        <v>1.0</v>
      </c>
      <c r="E206" s="2" t="s">
        <v>8</v>
      </c>
      <c r="F206" s="2" t="s">
        <v>14</v>
      </c>
      <c r="G206" s="5">
        <v>2643.2685</v>
      </c>
    </row>
    <row r="207">
      <c r="A207" s="1">
        <v>22.0</v>
      </c>
      <c r="B207" s="2" t="s">
        <v>7</v>
      </c>
      <c r="C207" s="3">
        <v>26.84</v>
      </c>
      <c r="D207" s="4">
        <v>0.0</v>
      </c>
      <c r="E207" s="2" t="s">
        <v>8</v>
      </c>
      <c r="F207" s="2" t="s">
        <v>9</v>
      </c>
      <c r="G207" s="5">
        <v>1664.9996</v>
      </c>
    </row>
    <row r="208">
      <c r="A208" s="1">
        <v>22.0</v>
      </c>
      <c r="B208" s="2" t="s">
        <v>10</v>
      </c>
      <c r="C208" s="3">
        <v>34.58</v>
      </c>
      <c r="D208" s="4">
        <v>2.0</v>
      </c>
      <c r="E208" s="2" t="s">
        <v>8</v>
      </c>
      <c r="F208" s="2" t="s">
        <v>11</v>
      </c>
      <c r="G208" s="5">
        <v>3925.7582</v>
      </c>
    </row>
    <row r="209">
      <c r="A209" s="1">
        <v>22.0</v>
      </c>
      <c r="B209" s="2" t="s">
        <v>10</v>
      </c>
      <c r="C209" s="3">
        <v>23.18</v>
      </c>
      <c r="D209" s="4">
        <v>0.0</v>
      </c>
      <c r="E209" s="2" t="s">
        <v>8</v>
      </c>
      <c r="F209" s="2" t="s">
        <v>11</v>
      </c>
      <c r="G209" s="5">
        <v>2731.9122</v>
      </c>
    </row>
    <row r="210">
      <c r="A210" s="1">
        <v>22.0</v>
      </c>
      <c r="B210" s="2" t="s">
        <v>7</v>
      </c>
      <c r="C210" s="3">
        <v>34.8</v>
      </c>
      <c r="D210" s="4">
        <v>3.0</v>
      </c>
      <c r="E210" s="2" t="s">
        <v>8</v>
      </c>
      <c r="F210" s="2" t="s">
        <v>13</v>
      </c>
      <c r="G210" s="5">
        <v>3443.064</v>
      </c>
    </row>
    <row r="211">
      <c r="A211" s="1">
        <v>22.0</v>
      </c>
      <c r="B211" s="2" t="s">
        <v>7</v>
      </c>
      <c r="C211" s="3">
        <v>39.5</v>
      </c>
      <c r="D211" s="4">
        <v>0.0</v>
      </c>
      <c r="E211" s="2" t="s">
        <v>8</v>
      </c>
      <c r="F211" s="2" t="s">
        <v>13</v>
      </c>
      <c r="G211" s="5">
        <v>1682.597</v>
      </c>
    </row>
    <row r="212">
      <c r="A212" s="1">
        <v>22.0</v>
      </c>
      <c r="B212" s="2" t="s">
        <v>7</v>
      </c>
      <c r="C212" s="3">
        <v>28.31</v>
      </c>
      <c r="D212" s="4">
        <v>1.0</v>
      </c>
      <c r="E212" s="2" t="s">
        <v>8</v>
      </c>
      <c r="F212" s="2" t="s">
        <v>14</v>
      </c>
      <c r="G212" s="5">
        <v>2639.0429</v>
      </c>
    </row>
    <row r="213">
      <c r="A213" s="1">
        <v>22.0</v>
      </c>
      <c r="B213" s="2" t="s">
        <v>10</v>
      </c>
      <c r="C213" s="3">
        <v>20.235</v>
      </c>
      <c r="D213" s="4">
        <v>0.0</v>
      </c>
      <c r="E213" s="2" t="s">
        <v>8</v>
      </c>
      <c r="F213" s="2" t="s">
        <v>14</v>
      </c>
      <c r="G213" s="5">
        <v>2527.81865</v>
      </c>
    </row>
    <row r="214">
      <c r="A214" s="1">
        <v>22.0</v>
      </c>
      <c r="B214" s="2" t="s">
        <v>10</v>
      </c>
      <c r="C214" s="3">
        <v>31.02</v>
      </c>
      <c r="D214" s="4">
        <v>3.0</v>
      </c>
      <c r="E214" s="2" t="s">
        <v>12</v>
      </c>
      <c r="F214" s="2" t="s">
        <v>9</v>
      </c>
      <c r="G214" s="5">
        <v>35595.5898</v>
      </c>
    </row>
    <row r="215">
      <c r="A215" s="1">
        <v>22.0</v>
      </c>
      <c r="B215" s="2" t="s">
        <v>7</v>
      </c>
      <c r="C215" s="3">
        <v>37.07</v>
      </c>
      <c r="D215" s="4">
        <v>2.0</v>
      </c>
      <c r="E215" s="2" t="s">
        <v>12</v>
      </c>
      <c r="F215" s="2" t="s">
        <v>9</v>
      </c>
      <c r="G215" s="5">
        <v>37484.4493</v>
      </c>
    </row>
    <row r="216">
      <c r="A216" s="1">
        <v>22.0</v>
      </c>
      <c r="B216" s="2" t="s">
        <v>7</v>
      </c>
      <c r="C216" s="3">
        <v>28.88</v>
      </c>
      <c r="D216" s="4">
        <v>0.0</v>
      </c>
      <c r="E216" s="2" t="s">
        <v>8</v>
      </c>
      <c r="F216" s="2" t="s">
        <v>11</v>
      </c>
      <c r="G216" s="5">
        <v>2250.8352</v>
      </c>
    </row>
    <row r="217">
      <c r="A217" s="1">
        <v>22.0</v>
      </c>
      <c r="B217" s="2" t="s">
        <v>7</v>
      </c>
      <c r="C217" s="3">
        <v>52.58</v>
      </c>
      <c r="D217" s="4">
        <v>1.0</v>
      </c>
      <c r="E217" s="2" t="s">
        <v>12</v>
      </c>
      <c r="F217" s="2" t="s">
        <v>9</v>
      </c>
      <c r="G217" s="5">
        <v>44501.3982</v>
      </c>
    </row>
    <row r="218">
      <c r="A218" s="1">
        <v>22.0</v>
      </c>
      <c r="B218" s="2" t="s">
        <v>10</v>
      </c>
      <c r="C218" s="3">
        <v>30.4</v>
      </c>
      <c r="D218" s="4">
        <v>0.0</v>
      </c>
      <c r="E218" s="2" t="s">
        <v>12</v>
      </c>
      <c r="F218" s="2" t="s">
        <v>14</v>
      </c>
      <c r="G218" s="5">
        <v>33907.548</v>
      </c>
    </row>
    <row r="219">
      <c r="A219" s="1">
        <v>22.0</v>
      </c>
      <c r="B219" s="2" t="s">
        <v>7</v>
      </c>
      <c r="C219" s="3">
        <v>33.77</v>
      </c>
      <c r="D219" s="4">
        <v>0.0</v>
      </c>
      <c r="E219" s="2" t="s">
        <v>8</v>
      </c>
      <c r="F219" s="2" t="s">
        <v>9</v>
      </c>
      <c r="G219" s="5">
        <v>1674.6323</v>
      </c>
    </row>
    <row r="220">
      <c r="A220" s="1">
        <v>22.0</v>
      </c>
      <c r="B220" s="2" t="s">
        <v>10</v>
      </c>
      <c r="C220" s="3">
        <v>27.1</v>
      </c>
      <c r="D220" s="4">
        <v>0.0</v>
      </c>
      <c r="E220" s="2" t="s">
        <v>8</v>
      </c>
      <c r="F220" s="2" t="s">
        <v>13</v>
      </c>
      <c r="G220" s="5">
        <v>2154.361</v>
      </c>
    </row>
    <row r="221">
      <c r="A221" s="1">
        <v>22.0</v>
      </c>
      <c r="B221" s="2" t="s">
        <v>7</v>
      </c>
      <c r="C221" s="3">
        <v>32.11</v>
      </c>
      <c r="D221" s="4">
        <v>0.0</v>
      </c>
      <c r="E221" s="2" t="s">
        <v>8</v>
      </c>
      <c r="F221" s="2" t="s">
        <v>14</v>
      </c>
      <c r="G221" s="5">
        <v>2055.3249</v>
      </c>
    </row>
    <row r="222">
      <c r="A222" s="1">
        <v>22.0</v>
      </c>
      <c r="B222" s="2" t="s">
        <v>10</v>
      </c>
      <c r="C222" s="3">
        <v>21.28</v>
      </c>
      <c r="D222" s="4">
        <v>3.0</v>
      </c>
      <c r="E222" s="2" t="s">
        <v>8</v>
      </c>
      <c r="F222" s="2" t="s">
        <v>14</v>
      </c>
      <c r="G222" s="5">
        <v>4296.2712</v>
      </c>
    </row>
    <row r="223">
      <c r="A223" s="1">
        <v>22.0</v>
      </c>
      <c r="B223" s="2" t="s">
        <v>10</v>
      </c>
      <c r="C223" s="3">
        <v>30.4</v>
      </c>
      <c r="D223" s="4">
        <v>0.0</v>
      </c>
      <c r="E223" s="2" t="s">
        <v>8</v>
      </c>
      <c r="F223" s="2" t="s">
        <v>11</v>
      </c>
      <c r="G223" s="5">
        <v>2741.948</v>
      </c>
    </row>
    <row r="224">
      <c r="A224" s="1">
        <v>23.0</v>
      </c>
      <c r="B224" s="2" t="s">
        <v>7</v>
      </c>
      <c r="C224" s="3">
        <v>34.4</v>
      </c>
      <c r="D224" s="4">
        <v>0.0</v>
      </c>
      <c r="E224" s="2" t="s">
        <v>8</v>
      </c>
      <c r="F224" s="2" t="s">
        <v>13</v>
      </c>
      <c r="G224" s="5">
        <v>1826.843</v>
      </c>
    </row>
    <row r="225">
      <c r="A225" s="1">
        <v>23.0</v>
      </c>
      <c r="B225" s="2" t="s">
        <v>7</v>
      </c>
      <c r="C225" s="3">
        <v>23.845</v>
      </c>
      <c r="D225" s="4">
        <v>0.0</v>
      </c>
      <c r="E225" s="2" t="s">
        <v>8</v>
      </c>
      <c r="F225" s="2" t="s">
        <v>11</v>
      </c>
      <c r="G225" s="5">
        <v>2395.17155</v>
      </c>
    </row>
    <row r="226">
      <c r="A226" s="1">
        <v>23.0</v>
      </c>
      <c r="B226" s="2" t="s">
        <v>7</v>
      </c>
      <c r="C226" s="3">
        <v>17.385</v>
      </c>
      <c r="D226" s="4">
        <v>1.0</v>
      </c>
      <c r="E226" s="2" t="s">
        <v>8</v>
      </c>
      <c r="F226" s="2" t="s">
        <v>14</v>
      </c>
      <c r="G226" s="5">
        <v>2775.19215</v>
      </c>
    </row>
    <row r="227">
      <c r="A227" s="1">
        <v>23.0</v>
      </c>
      <c r="B227" s="2" t="s">
        <v>10</v>
      </c>
      <c r="C227" s="3">
        <v>36.67</v>
      </c>
      <c r="D227" s="4">
        <v>2.0</v>
      </c>
      <c r="E227" s="2" t="s">
        <v>12</v>
      </c>
      <c r="F227" s="2" t="s">
        <v>11</v>
      </c>
      <c r="G227" s="5">
        <v>38511.6283</v>
      </c>
    </row>
    <row r="228">
      <c r="A228" s="1">
        <v>23.0</v>
      </c>
      <c r="B228" s="2" t="s">
        <v>7</v>
      </c>
      <c r="C228" s="3">
        <v>41.91</v>
      </c>
      <c r="D228" s="4">
        <v>0.0</v>
      </c>
      <c r="E228" s="2" t="s">
        <v>8</v>
      </c>
      <c r="F228" s="2" t="s">
        <v>9</v>
      </c>
      <c r="G228" s="5">
        <v>1837.2819</v>
      </c>
    </row>
    <row r="229">
      <c r="A229" s="1">
        <v>23.0</v>
      </c>
      <c r="B229" s="2" t="s">
        <v>10</v>
      </c>
      <c r="C229" s="3">
        <v>28.31</v>
      </c>
      <c r="D229" s="4">
        <v>0.0</v>
      </c>
      <c r="E229" s="2" t="s">
        <v>12</v>
      </c>
      <c r="F229" s="2" t="s">
        <v>14</v>
      </c>
      <c r="G229" s="5">
        <v>18033.9679</v>
      </c>
    </row>
    <row r="230">
      <c r="A230" s="1">
        <v>23.0</v>
      </c>
      <c r="B230" s="2" t="s">
        <v>7</v>
      </c>
      <c r="C230" s="3">
        <v>32.56</v>
      </c>
      <c r="D230" s="4">
        <v>0.0</v>
      </c>
      <c r="E230" s="2" t="s">
        <v>8</v>
      </c>
      <c r="F230" s="2" t="s">
        <v>9</v>
      </c>
      <c r="G230" s="5">
        <v>1824.2854</v>
      </c>
    </row>
    <row r="231">
      <c r="A231" s="1">
        <v>23.0</v>
      </c>
      <c r="B231" s="2" t="s">
        <v>10</v>
      </c>
      <c r="C231" s="3">
        <v>34.96</v>
      </c>
      <c r="D231" s="4">
        <v>3.0</v>
      </c>
      <c r="E231" s="2" t="s">
        <v>8</v>
      </c>
      <c r="F231" s="2" t="s">
        <v>14</v>
      </c>
      <c r="G231" s="5">
        <v>4466.6214</v>
      </c>
    </row>
    <row r="232">
      <c r="A232" s="1">
        <v>23.0</v>
      </c>
      <c r="B232" s="2" t="s">
        <v>10</v>
      </c>
      <c r="C232" s="3">
        <v>39.27</v>
      </c>
      <c r="D232" s="4">
        <v>2.0</v>
      </c>
      <c r="E232" s="2" t="s">
        <v>8</v>
      </c>
      <c r="F232" s="2" t="s">
        <v>9</v>
      </c>
      <c r="G232" s="5">
        <v>3500.6123</v>
      </c>
    </row>
    <row r="233">
      <c r="A233" s="1">
        <v>23.0</v>
      </c>
      <c r="B233" s="2" t="s">
        <v>7</v>
      </c>
      <c r="C233" s="3">
        <v>31.73</v>
      </c>
      <c r="D233" s="4">
        <v>3.0</v>
      </c>
      <c r="E233" s="2" t="s">
        <v>12</v>
      </c>
      <c r="F233" s="2" t="s">
        <v>11</v>
      </c>
      <c r="G233" s="5">
        <v>36189.1017</v>
      </c>
    </row>
    <row r="234">
      <c r="A234" s="1">
        <v>23.0</v>
      </c>
      <c r="B234" s="2" t="s">
        <v>7</v>
      </c>
      <c r="C234" s="3">
        <v>35.2</v>
      </c>
      <c r="D234" s="4">
        <v>1.0</v>
      </c>
      <c r="E234" s="2" t="s">
        <v>8</v>
      </c>
      <c r="F234" s="2" t="s">
        <v>13</v>
      </c>
      <c r="G234" s="5">
        <v>2416.955</v>
      </c>
    </row>
    <row r="235">
      <c r="A235" s="1">
        <v>23.0</v>
      </c>
      <c r="B235" s="2" t="s">
        <v>7</v>
      </c>
      <c r="C235" s="3">
        <v>26.51</v>
      </c>
      <c r="D235" s="4">
        <v>0.0</v>
      </c>
      <c r="E235" s="2" t="s">
        <v>8</v>
      </c>
      <c r="F235" s="2" t="s">
        <v>9</v>
      </c>
      <c r="G235" s="5">
        <v>1815.8759</v>
      </c>
    </row>
    <row r="236">
      <c r="A236" s="1">
        <v>23.0</v>
      </c>
      <c r="B236" s="2" t="s">
        <v>7</v>
      </c>
      <c r="C236" s="3">
        <v>37.1</v>
      </c>
      <c r="D236" s="4">
        <v>3.0</v>
      </c>
      <c r="E236" s="2" t="s">
        <v>8</v>
      </c>
      <c r="F236" s="2" t="s">
        <v>13</v>
      </c>
      <c r="G236" s="5">
        <v>3597.596</v>
      </c>
    </row>
    <row r="237">
      <c r="A237" s="1">
        <v>23.0</v>
      </c>
      <c r="B237" s="2" t="s">
        <v>10</v>
      </c>
      <c r="C237" s="3">
        <v>32.78</v>
      </c>
      <c r="D237" s="4">
        <v>2.0</v>
      </c>
      <c r="E237" s="2" t="s">
        <v>12</v>
      </c>
      <c r="F237" s="2" t="s">
        <v>9</v>
      </c>
      <c r="G237" s="5">
        <v>36021.0112</v>
      </c>
    </row>
    <row r="238">
      <c r="A238" s="1">
        <v>23.0</v>
      </c>
      <c r="B238" s="2" t="s">
        <v>7</v>
      </c>
      <c r="C238" s="3">
        <v>50.38</v>
      </c>
      <c r="D238" s="4">
        <v>1.0</v>
      </c>
      <c r="E238" s="2" t="s">
        <v>8</v>
      </c>
      <c r="F238" s="2" t="s">
        <v>9</v>
      </c>
      <c r="G238" s="5">
        <v>2438.0552</v>
      </c>
    </row>
    <row r="239">
      <c r="A239" s="1">
        <v>23.0</v>
      </c>
      <c r="B239" s="2" t="s">
        <v>10</v>
      </c>
      <c r="C239" s="3">
        <v>28.12</v>
      </c>
      <c r="D239" s="4">
        <v>0.0</v>
      </c>
      <c r="E239" s="2" t="s">
        <v>8</v>
      </c>
      <c r="F239" s="2" t="s">
        <v>14</v>
      </c>
      <c r="G239" s="5">
        <v>2690.1138</v>
      </c>
    </row>
    <row r="240">
      <c r="A240" s="1">
        <v>23.0</v>
      </c>
      <c r="B240" s="2" t="s">
        <v>7</v>
      </c>
      <c r="C240" s="3">
        <v>27.36</v>
      </c>
      <c r="D240" s="4">
        <v>1.0</v>
      </c>
      <c r="E240" s="2" t="s">
        <v>8</v>
      </c>
      <c r="F240" s="2" t="s">
        <v>14</v>
      </c>
      <c r="G240" s="5">
        <v>2789.0574</v>
      </c>
    </row>
    <row r="241">
      <c r="A241" s="1">
        <v>23.0</v>
      </c>
      <c r="B241" s="2" t="s">
        <v>7</v>
      </c>
      <c r="C241" s="3">
        <v>18.715</v>
      </c>
      <c r="D241" s="4">
        <v>0.0</v>
      </c>
      <c r="E241" s="2" t="s">
        <v>8</v>
      </c>
      <c r="F241" s="2" t="s">
        <v>14</v>
      </c>
      <c r="G241" s="5">
        <v>21595.38229</v>
      </c>
    </row>
    <row r="242">
      <c r="A242" s="1">
        <v>23.0</v>
      </c>
      <c r="B242" s="2" t="s">
        <v>7</v>
      </c>
      <c r="C242" s="3">
        <v>32.7</v>
      </c>
      <c r="D242" s="4">
        <v>3.0</v>
      </c>
      <c r="E242" s="2" t="s">
        <v>8</v>
      </c>
      <c r="F242" s="2" t="s">
        <v>13</v>
      </c>
      <c r="G242" s="5">
        <v>3591.48</v>
      </c>
    </row>
    <row r="243">
      <c r="A243" s="1">
        <v>23.0</v>
      </c>
      <c r="B243" s="2" t="s">
        <v>7</v>
      </c>
      <c r="C243" s="3">
        <v>24.51</v>
      </c>
      <c r="D243" s="4">
        <v>0.0</v>
      </c>
      <c r="E243" s="2" t="s">
        <v>8</v>
      </c>
      <c r="F243" s="2" t="s">
        <v>11</v>
      </c>
      <c r="G243" s="5">
        <v>2396.0959</v>
      </c>
    </row>
    <row r="244">
      <c r="A244" s="1">
        <v>23.0</v>
      </c>
      <c r="B244" s="2" t="s">
        <v>10</v>
      </c>
      <c r="C244" s="3">
        <v>31.4</v>
      </c>
      <c r="D244" s="4">
        <v>0.0</v>
      </c>
      <c r="E244" s="2" t="s">
        <v>12</v>
      </c>
      <c r="F244" s="2" t="s">
        <v>13</v>
      </c>
      <c r="G244" s="5">
        <v>34166.273</v>
      </c>
    </row>
    <row r="245">
      <c r="A245" s="1">
        <v>23.0</v>
      </c>
      <c r="B245" s="2" t="s">
        <v>10</v>
      </c>
      <c r="C245" s="3">
        <v>42.75</v>
      </c>
      <c r="D245" s="4">
        <v>1.0</v>
      </c>
      <c r="E245" s="2" t="s">
        <v>12</v>
      </c>
      <c r="F245" s="2" t="s">
        <v>11</v>
      </c>
      <c r="G245" s="5">
        <v>40904.1995</v>
      </c>
    </row>
    <row r="246">
      <c r="A246" s="1">
        <v>23.0</v>
      </c>
      <c r="B246" s="2" t="s">
        <v>10</v>
      </c>
      <c r="C246" s="3">
        <v>23.18</v>
      </c>
      <c r="D246" s="4">
        <v>2.0</v>
      </c>
      <c r="E246" s="2" t="s">
        <v>8</v>
      </c>
      <c r="F246" s="2" t="s">
        <v>14</v>
      </c>
      <c r="G246" s="5">
        <v>14426.07385</v>
      </c>
    </row>
    <row r="247">
      <c r="A247" s="1">
        <v>23.0</v>
      </c>
      <c r="B247" s="2" t="s">
        <v>10</v>
      </c>
      <c r="C247" s="3">
        <v>34.865</v>
      </c>
      <c r="D247" s="4">
        <v>0.0</v>
      </c>
      <c r="E247" s="2" t="s">
        <v>8</v>
      </c>
      <c r="F247" s="2" t="s">
        <v>11</v>
      </c>
      <c r="G247" s="5">
        <v>2899.48935</v>
      </c>
    </row>
    <row r="248">
      <c r="A248" s="1">
        <v>23.0</v>
      </c>
      <c r="B248" s="2" t="s">
        <v>10</v>
      </c>
      <c r="C248" s="3">
        <v>28.49</v>
      </c>
      <c r="D248" s="4">
        <v>1.0</v>
      </c>
      <c r="E248" s="2" t="s">
        <v>12</v>
      </c>
      <c r="F248" s="2" t="s">
        <v>9</v>
      </c>
      <c r="G248" s="5">
        <v>18328.2381</v>
      </c>
    </row>
    <row r="249">
      <c r="A249" s="1">
        <v>23.0</v>
      </c>
      <c r="B249" s="2" t="s">
        <v>10</v>
      </c>
      <c r="C249" s="3">
        <v>28.0</v>
      </c>
      <c r="D249" s="4">
        <v>0.0</v>
      </c>
      <c r="E249" s="2" t="s">
        <v>8</v>
      </c>
      <c r="F249" s="2" t="s">
        <v>13</v>
      </c>
      <c r="G249" s="5">
        <v>13126.67745</v>
      </c>
    </row>
    <row r="250">
      <c r="A250" s="1">
        <v>23.0</v>
      </c>
      <c r="B250" s="2" t="s">
        <v>10</v>
      </c>
      <c r="C250" s="3">
        <v>24.225</v>
      </c>
      <c r="D250" s="4">
        <v>2.0</v>
      </c>
      <c r="E250" s="2" t="s">
        <v>8</v>
      </c>
      <c r="F250" s="2" t="s">
        <v>11</v>
      </c>
      <c r="G250" s="5">
        <v>22395.74424</v>
      </c>
    </row>
    <row r="251">
      <c r="A251" s="1">
        <v>23.0</v>
      </c>
      <c r="B251" s="2" t="s">
        <v>10</v>
      </c>
      <c r="C251" s="3">
        <v>33.4</v>
      </c>
      <c r="D251" s="4">
        <v>0.0</v>
      </c>
      <c r="E251" s="2" t="s">
        <v>8</v>
      </c>
      <c r="F251" s="2" t="s">
        <v>13</v>
      </c>
      <c r="G251" s="5">
        <v>10795.93733</v>
      </c>
    </row>
    <row r="252">
      <c r="A252" s="1">
        <v>24.0</v>
      </c>
      <c r="B252" s="2" t="s">
        <v>10</v>
      </c>
      <c r="C252" s="3">
        <v>26.6</v>
      </c>
      <c r="D252" s="4">
        <v>0.0</v>
      </c>
      <c r="E252" s="2" t="s">
        <v>8</v>
      </c>
      <c r="F252" s="2" t="s">
        <v>11</v>
      </c>
      <c r="G252" s="5">
        <v>3046.062</v>
      </c>
    </row>
    <row r="253">
      <c r="A253" s="1">
        <v>24.0</v>
      </c>
      <c r="B253" s="2" t="s">
        <v>10</v>
      </c>
      <c r="C253" s="3">
        <v>33.345</v>
      </c>
      <c r="D253" s="4">
        <v>0.0</v>
      </c>
      <c r="E253" s="2" t="s">
        <v>8</v>
      </c>
      <c r="F253" s="2" t="s">
        <v>14</v>
      </c>
      <c r="G253" s="5">
        <v>2855.43755</v>
      </c>
    </row>
    <row r="254">
      <c r="A254" s="1">
        <v>24.0</v>
      </c>
      <c r="B254" s="2" t="s">
        <v>7</v>
      </c>
      <c r="C254" s="3">
        <v>28.5</v>
      </c>
      <c r="D254" s="4">
        <v>2.0</v>
      </c>
      <c r="E254" s="2" t="s">
        <v>8</v>
      </c>
      <c r="F254" s="2" t="s">
        <v>14</v>
      </c>
      <c r="G254" s="5">
        <v>3537.703</v>
      </c>
    </row>
    <row r="255">
      <c r="A255" s="1">
        <v>24.0</v>
      </c>
      <c r="B255" s="2" t="s">
        <v>10</v>
      </c>
      <c r="C255" s="3">
        <v>23.21</v>
      </c>
      <c r="D255" s="4">
        <v>0.0</v>
      </c>
      <c r="E255" s="2" t="s">
        <v>8</v>
      </c>
      <c r="F255" s="2" t="s">
        <v>9</v>
      </c>
      <c r="G255" s="5">
        <v>25081.76784</v>
      </c>
    </row>
    <row r="256">
      <c r="A256" s="1">
        <v>24.0</v>
      </c>
      <c r="B256" s="2" t="s">
        <v>7</v>
      </c>
      <c r="C256" s="3">
        <v>35.86</v>
      </c>
      <c r="D256" s="4">
        <v>0.0</v>
      </c>
      <c r="E256" s="2" t="s">
        <v>8</v>
      </c>
      <c r="F256" s="2" t="s">
        <v>9</v>
      </c>
      <c r="G256" s="5">
        <v>1986.9334</v>
      </c>
    </row>
    <row r="257">
      <c r="A257" s="1">
        <v>24.0</v>
      </c>
      <c r="B257" s="2" t="s">
        <v>10</v>
      </c>
      <c r="C257" s="3">
        <v>27.6</v>
      </c>
      <c r="D257" s="4">
        <v>0.0</v>
      </c>
      <c r="E257" s="2" t="s">
        <v>8</v>
      </c>
      <c r="F257" s="2" t="s">
        <v>13</v>
      </c>
      <c r="G257" s="5">
        <v>18955.22017</v>
      </c>
    </row>
    <row r="258">
      <c r="A258" s="1">
        <v>24.0</v>
      </c>
      <c r="B258" s="2" t="s">
        <v>7</v>
      </c>
      <c r="C258" s="3">
        <v>40.15</v>
      </c>
      <c r="D258" s="4">
        <v>0.0</v>
      </c>
      <c r="E258" s="2" t="s">
        <v>12</v>
      </c>
      <c r="F258" s="2" t="s">
        <v>9</v>
      </c>
      <c r="G258" s="5">
        <v>38126.2465</v>
      </c>
    </row>
    <row r="259">
      <c r="A259" s="1">
        <v>24.0</v>
      </c>
      <c r="B259" s="2" t="s">
        <v>10</v>
      </c>
      <c r="C259" s="3">
        <v>30.21</v>
      </c>
      <c r="D259" s="4">
        <v>3.0</v>
      </c>
      <c r="E259" s="2" t="s">
        <v>8</v>
      </c>
      <c r="F259" s="2" t="s">
        <v>14</v>
      </c>
      <c r="G259" s="5">
        <v>4618.0799</v>
      </c>
    </row>
    <row r="260">
      <c r="A260" s="1">
        <v>24.0</v>
      </c>
      <c r="B260" s="2" t="s">
        <v>7</v>
      </c>
      <c r="C260" s="3">
        <v>23.4</v>
      </c>
      <c r="D260" s="4">
        <v>0.0</v>
      </c>
      <c r="E260" s="2" t="s">
        <v>8</v>
      </c>
      <c r="F260" s="2" t="s">
        <v>13</v>
      </c>
      <c r="G260" s="5">
        <v>1969.614</v>
      </c>
    </row>
    <row r="261">
      <c r="A261" s="1">
        <v>24.0</v>
      </c>
      <c r="B261" s="2" t="s">
        <v>7</v>
      </c>
      <c r="C261" s="3">
        <v>28.5</v>
      </c>
      <c r="D261" s="4">
        <v>0.0</v>
      </c>
      <c r="E261" s="2" t="s">
        <v>12</v>
      </c>
      <c r="F261" s="2" t="s">
        <v>11</v>
      </c>
      <c r="G261" s="5">
        <v>35147.52848</v>
      </c>
    </row>
    <row r="262">
      <c r="A262" s="1">
        <v>24.0</v>
      </c>
      <c r="B262" s="2" t="s">
        <v>10</v>
      </c>
      <c r="C262" s="3">
        <v>25.27</v>
      </c>
      <c r="D262" s="4">
        <v>0.0</v>
      </c>
      <c r="E262" s="2" t="s">
        <v>8</v>
      </c>
      <c r="F262" s="2" t="s">
        <v>11</v>
      </c>
      <c r="G262" s="5">
        <v>3044.2133</v>
      </c>
    </row>
    <row r="263">
      <c r="A263" s="1">
        <v>24.0</v>
      </c>
      <c r="B263" s="2" t="s">
        <v>7</v>
      </c>
      <c r="C263" s="3">
        <v>29.3</v>
      </c>
      <c r="D263" s="4">
        <v>0.0</v>
      </c>
      <c r="E263" s="2" t="s">
        <v>8</v>
      </c>
      <c r="F263" s="2" t="s">
        <v>13</v>
      </c>
      <c r="G263" s="5">
        <v>1977.815</v>
      </c>
    </row>
    <row r="264">
      <c r="A264" s="1">
        <v>24.0</v>
      </c>
      <c r="B264" s="2" t="s">
        <v>7</v>
      </c>
      <c r="C264" s="3">
        <v>23.655</v>
      </c>
      <c r="D264" s="4">
        <v>0.0</v>
      </c>
      <c r="E264" s="2" t="s">
        <v>8</v>
      </c>
      <c r="F264" s="2" t="s">
        <v>14</v>
      </c>
      <c r="G264" s="5">
        <v>2352.96845</v>
      </c>
    </row>
    <row r="265">
      <c r="A265" s="1">
        <v>24.0</v>
      </c>
      <c r="B265" s="2" t="s">
        <v>10</v>
      </c>
      <c r="C265" s="3">
        <v>22.6</v>
      </c>
      <c r="D265" s="4">
        <v>0.0</v>
      </c>
      <c r="E265" s="2" t="s">
        <v>8</v>
      </c>
      <c r="F265" s="2" t="s">
        <v>13</v>
      </c>
      <c r="G265" s="5">
        <v>2457.502</v>
      </c>
    </row>
    <row r="266">
      <c r="A266" s="1">
        <v>24.0</v>
      </c>
      <c r="B266" s="2" t="s">
        <v>10</v>
      </c>
      <c r="C266" s="3">
        <v>30.1</v>
      </c>
      <c r="D266" s="4">
        <v>3.0</v>
      </c>
      <c r="E266" s="2" t="s">
        <v>8</v>
      </c>
      <c r="F266" s="2" t="s">
        <v>13</v>
      </c>
      <c r="G266" s="5">
        <v>4234.927</v>
      </c>
    </row>
    <row r="267">
      <c r="A267" s="1">
        <v>24.0</v>
      </c>
      <c r="B267" s="2" t="s">
        <v>7</v>
      </c>
      <c r="C267" s="3">
        <v>33.63</v>
      </c>
      <c r="D267" s="4">
        <v>4.0</v>
      </c>
      <c r="E267" s="2" t="s">
        <v>8</v>
      </c>
      <c r="F267" s="2" t="s">
        <v>11</v>
      </c>
      <c r="G267" s="5">
        <v>17128.42608</v>
      </c>
    </row>
    <row r="268">
      <c r="A268" s="1">
        <v>24.0</v>
      </c>
      <c r="B268" s="2" t="s">
        <v>10</v>
      </c>
      <c r="C268" s="3">
        <v>24.225</v>
      </c>
      <c r="D268" s="4">
        <v>0.0</v>
      </c>
      <c r="E268" s="2" t="s">
        <v>8</v>
      </c>
      <c r="F268" s="2" t="s">
        <v>14</v>
      </c>
      <c r="G268" s="5">
        <v>2842.76075</v>
      </c>
    </row>
    <row r="269">
      <c r="A269" s="1">
        <v>24.0</v>
      </c>
      <c r="B269" s="2" t="s">
        <v>10</v>
      </c>
      <c r="C269" s="3">
        <v>33.99</v>
      </c>
      <c r="D269" s="4">
        <v>0.0</v>
      </c>
      <c r="E269" s="2" t="s">
        <v>8</v>
      </c>
      <c r="F269" s="2" t="s">
        <v>9</v>
      </c>
      <c r="G269" s="5">
        <v>2473.3341</v>
      </c>
    </row>
    <row r="270">
      <c r="A270" s="1">
        <v>24.0</v>
      </c>
      <c r="B270" s="2" t="s">
        <v>7</v>
      </c>
      <c r="C270" s="3">
        <v>26.79</v>
      </c>
      <c r="D270" s="4">
        <v>1.0</v>
      </c>
      <c r="E270" s="2" t="s">
        <v>8</v>
      </c>
      <c r="F270" s="2" t="s">
        <v>14</v>
      </c>
      <c r="G270" s="5">
        <v>12609.88702</v>
      </c>
    </row>
    <row r="271">
      <c r="A271" s="1">
        <v>24.0</v>
      </c>
      <c r="B271" s="2" t="s">
        <v>10</v>
      </c>
      <c r="C271" s="3">
        <v>20.52</v>
      </c>
      <c r="D271" s="4">
        <v>0.0</v>
      </c>
      <c r="E271" s="2" t="s">
        <v>12</v>
      </c>
      <c r="F271" s="2" t="s">
        <v>11</v>
      </c>
      <c r="G271" s="5">
        <v>14571.8908</v>
      </c>
    </row>
    <row r="272">
      <c r="A272" s="1">
        <v>24.0</v>
      </c>
      <c r="B272" s="2" t="s">
        <v>7</v>
      </c>
      <c r="C272" s="3">
        <v>32.7</v>
      </c>
      <c r="D272" s="4">
        <v>0.0</v>
      </c>
      <c r="E272" s="2" t="s">
        <v>12</v>
      </c>
      <c r="F272" s="2" t="s">
        <v>13</v>
      </c>
      <c r="G272" s="5">
        <v>34472.841</v>
      </c>
    </row>
    <row r="273">
      <c r="A273" s="1">
        <v>24.0</v>
      </c>
      <c r="B273" s="2" t="s">
        <v>7</v>
      </c>
      <c r="C273" s="3">
        <v>25.8</v>
      </c>
      <c r="D273" s="4">
        <v>0.0</v>
      </c>
      <c r="E273" s="2" t="s">
        <v>8</v>
      </c>
      <c r="F273" s="2" t="s">
        <v>13</v>
      </c>
      <c r="G273" s="5">
        <v>1972.95</v>
      </c>
    </row>
    <row r="274">
      <c r="A274" s="1">
        <v>24.0</v>
      </c>
      <c r="B274" s="2" t="s">
        <v>10</v>
      </c>
      <c r="C274" s="3">
        <v>39.49</v>
      </c>
      <c r="D274" s="4">
        <v>0.0</v>
      </c>
      <c r="E274" s="2" t="s">
        <v>8</v>
      </c>
      <c r="F274" s="2" t="s">
        <v>9</v>
      </c>
      <c r="G274" s="5">
        <v>2480.9791</v>
      </c>
    </row>
    <row r="275">
      <c r="A275" s="1">
        <v>24.0</v>
      </c>
      <c r="B275" s="2" t="s">
        <v>7</v>
      </c>
      <c r="C275" s="3">
        <v>32.01</v>
      </c>
      <c r="D275" s="4">
        <v>0.0</v>
      </c>
      <c r="E275" s="2" t="s">
        <v>8</v>
      </c>
      <c r="F275" s="2" t="s">
        <v>9</v>
      </c>
      <c r="G275" s="5">
        <v>1981.5819</v>
      </c>
    </row>
    <row r="276">
      <c r="A276" s="1">
        <v>24.0</v>
      </c>
      <c r="B276" s="2" t="s">
        <v>10</v>
      </c>
      <c r="C276" s="3">
        <v>29.925</v>
      </c>
      <c r="D276" s="4">
        <v>0.0</v>
      </c>
      <c r="E276" s="2" t="s">
        <v>8</v>
      </c>
      <c r="F276" s="2" t="s">
        <v>14</v>
      </c>
      <c r="G276" s="5">
        <v>2850.68375</v>
      </c>
    </row>
    <row r="277">
      <c r="A277" s="1">
        <v>24.0</v>
      </c>
      <c r="B277" s="2" t="s">
        <v>7</v>
      </c>
      <c r="C277" s="3">
        <v>29.83</v>
      </c>
      <c r="D277" s="4">
        <v>0.0</v>
      </c>
      <c r="E277" s="2" t="s">
        <v>12</v>
      </c>
      <c r="F277" s="2" t="s">
        <v>11</v>
      </c>
      <c r="G277" s="5">
        <v>18648.4217</v>
      </c>
    </row>
    <row r="278">
      <c r="A278" s="1">
        <v>24.0</v>
      </c>
      <c r="B278" s="2" t="s">
        <v>7</v>
      </c>
      <c r="C278" s="3">
        <v>31.065</v>
      </c>
      <c r="D278" s="4">
        <v>0.0</v>
      </c>
      <c r="E278" s="2" t="s">
        <v>12</v>
      </c>
      <c r="F278" s="2" t="s">
        <v>11</v>
      </c>
      <c r="G278" s="5">
        <v>34254.05335</v>
      </c>
    </row>
    <row r="279">
      <c r="A279" s="1">
        <v>24.0</v>
      </c>
      <c r="B279" s="2" t="s">
        <v>10</v>
      </c>
      <c r="C279" s="3">
        <v>27.72</v>
      </c>
      <c r="D279" s="4">
        <v>0.0</v>
      </c>
      <c r="E279" s="2" t="s">
        <v>8</v>
      </c>
      <c r="F279" s="2" t="s">
        <v>9</v>
      </c>
      <c r="G279" s="5">
        <v>2464.6188</v>
      </c>
    </row>
    <row r="280">
      <c r="A280" s="1">
        <v>25.0</v>
      </c>
      <c r="B280" s="2" t="s">
        <v>7</v>
      </c>
      <c r="C280" s="3">
        <v>26.22</v>
      </c>
      <c r="D280" s="4">
        <v>0.0</v>
      </c>
      <c r="E280" s="2" t="s">
        <v>8</v>
      </c>
      <c r="F280" s="2" t="s">
        <v>11</v>
      </c>
      <c r="G280" s="5">
        <v>2721.3208</v>
      </c>
    </row>
    <row r="281">
      <c r="A281" s="1">
        <v>25.0</v>
      </c>
      <c r="B281" s="2" t="s">
        <v>7</v>
      </c>
      <c r="C281" s="3">
        <v>33.66</v>
      </c>
      <c r="D281" s="4">
        <v>4.0</v>
      </c>
      <c r="E281" s="2" t="s">
        <v>8</v>
      </c>
      <c r="F281" s="2" t="s">
        <v>9</v>
      </c>
      <c r="G281" s="5">
        <v>4504.6624</v>
      </c>
    </row>
    <row r="282">
      <c r="A282" s="1">
        <v>25.0</v>
      </c>
      <c r="B282" s="2" t="s">
        <v>7</v>
      </c>
      <c r="C282" s="3">
        <v>25.74</v>
      </c>
      <c r="D282" s="4">
        <v>0.0</v>
      </c>
      <c r="E282" s="2" t="s">
        <v>8</v>
      </c>
      <c r="F282" s="2" t="s">
        <v>9</v>
      </c>
      <c r="G282" s="5">
        <v>2137.6536</v>
      </c>
    </row>
    <row r="283">
      <c r="A283" s="1">
        <v>25.0</v>
      </c>
      <c r="B283" s="2" t="s">
        <v>7</v>
      </c>
      <c r="C283" s="3">
        <v>27.55</v>
      </c>
      <c r="D283" s="4">
        <v>0.0</v>
      </c>
      <c r="E283" s="2" t="s">
        <v>8</v>
      </c>
      <c r="F283" s="2" t="s">
        <v>14</v>
      </c>
      <c r="G283" s="5">
        <v>2523.1695</v>
      </c>
    </row>
    <row r="284">
      <c r="A284" s="1">
        <v>25.0</v>
      </c>
      <c r="B284" s="2" t="s">
        <v>7</v>
      </c>
      <c r="C284" s="3">
        <v>45.54</v>
      </c>
      <c r="D284" s="4">
        <v>2.0</v>
      </c>
      <c r="E284" s="2" t="s">
        <v>12</v>
      </c>
      <c r="F284" s="2" t="s">
        <v>9</v>
      </c>
      <c r="G284" s="5">
        <v>42112.2356</v>
      </c>
    </row>
    <row r="285">
      <c r="A285" s="1">
        <v>25.0</v>
      </c>
      <c r="B285" s="2" t="s">
        <v>7</v>
      </c>
      <c r="C285" s="3">
        <v>26.8</v>
      </c>
      <c r="D285" s="4">
        <v>3.0</v>
      </c>
      <c r="E285" s="2" t="s">
        <v>8</v>
      </c>
      <c r="F285" s="2" t="s">
        <v>13</v>
      </c>
      <c r="G285" s="5">
        <v>3906.127</v>
      </c>
    </row>
    <row r="286">
      <c r="A286" s="1">
        <v>25.0</v>
      </c>
      <c r="B286" s="2" t="s">
        <v>7</v>
      </c>
      <c r="C286" s="3">
        <v>23.9</v>
      </c>
      <c r="D286" s="4">
        <v>5.0</v>
      </c>
      <c r="E286" s="2" t="s">
        <v>8</v>
      </c>
      <c r="F286" s="2" t="s">
        <v>13</v>
      </c>
      <c r="G286" s="5">
        <v>5080.096</v>
      </c>
    </row>
    <row r="287">
      <c r="A287" s="1">
        <v>25.0</v>
      </c>
      <c r="B287" s="2" t="s">
        <v>7</v>
      </c>
      <c r="C287" s="3">
        <v>30.59</v>
      </c>
      <c r="D287" s="4">
        <v>0.0</v>
      </c>
      <c r="E287" s="2" t="s">
        <v>8</v>
      </c>
      <c r="F287" s="2" t="s">
        <v>11</v>
      </c>
      <c r="G287" s="5">
        <v>2727.3951</v>
      </c>
    </row>
    <row r="288">
      <c r="A288" s="1">
        <v>25.0</v>
      </c>
      <c r="B288" s="2" t="s">
        <v>7</v>
      </c>
      <c r="C288" s="3">
        <v>35.625</v>
      </c>
      <c r="D288" s="4">
        <v>0.0</v>
      </c>
      <c r="E288" s="2" t="s">
        <v>8</v>
      </c>
      <c r="F288" s="2" t="s">
        <v>14</v>
      </c>
      <c r="G288" s="5">
        <v>2534.39375</v>
      </c>
    </row>
    <row r="289">
      <c r="A289" s="1">
        <v>25.0</v>
      </c>
      <c r="B289" s="2" t="s">
        <v>10</v>
      </c>
      <c r="C289" s="3">
        <v>28.595</v>
      </c>
      <c r="D289" s="4">
        <v>0.0</v>
      </c>
      <c r="E289" s="2" t="s">
        <v>8</v>
      </c>
      <c r="F289" s="2" t="s">
        <v>11</v>
      </c>
      <c r="G289" s="5">
        <v>3213.62205</v>
      </c>
    </row>
    <row r="290">
      <c r="A290" s="1">
        <v>25.0</v>
      </c>
      <c r="B290" s="2" t="s">
        <v>10</v>
      </c>
      <c r="C290" s="3">
        <v>41.325</v>
      </c>
      <c r="D290" s="4">
        <v>0.0</v>
      </c>
      <c r="E290" s="2" t="s">
        <v>8</v>
      </c>
      <c r="F290" s="2" t="s">
        <v>11</v>
      </c>
      <c r="G290" s="5">
        <v>17878.90068</v>
      </c>
    </row>
    <row r="291">
      <c r="A291" s="1">
        <v>25.0</v>
      </c>
      <c r="B291" s="2" t="s">
        <v>10</v>
      </c>
      <c r="C291" s="3">
        <v>23.465</v>
      </c>
      <c r="D291" s="4">
        <v>0.0</v>
      </c>
      <c r="E291" s="2" t="s">
        <v>8</v>
      </c>
      <c r="F291" s="2" t="s">
        <v>11</v>
      </c>
      <c r="G291" s="5">
        <v>3206.49135</v>
      </c>
    </row>
    <row r="292">
      <c r="A292" s="1">
        <v>25.0</v>
      </c>
      <c r="B292" s="2" t="s">
        <v>7</v>
      </c>
      <c r="C292" s="3">
        <v>25.84</v>
      </c>
      <c r="D292" s="4">
        <v>1.0</v>
      </c>
      <c r="E292" s="2" t="s">
        <v>8</v>
      </c>
      <c r="F292" s="2" t="s">
        <v>11</v>
      </c>
      <c r="G292" s="5">
        <v>3309.7926</v>
      </c>
    </row>
    <row r="293">
      <c r="A293" s="1">
        <v>25.0</v>
      </c>
      <c r="B293" s="2" t="s">
        <v>7</v>
      </c>
      <c r="C293" s="3">
        <v>24.13</v>
      </c>
      <c r="D293" s="4">
        <v>0.0</v>
      </c>
      <c r="E293" s="2" t="s">
        <v>12</v>
      </c>
      <c r="F293" s="2" t="s">
        <v>14</v>
      </c>
      <c r="G293" s="5">
        <v>15817.9857</v>
      </c>
    </row>
    <row r="294">
      <c r="A294" s="1">
        <v>25.0</v>
      </c>
      <c r="B294" s="2" t="s">
        <v>10</v>
      </c>
      <c r="C294" s="3">
        <v>32.23</v>
      </c>
      <c r="D294" s="4">
        <v>1.0</v>
      </c>
      <c r="E294" s="2" t="s">
        <v>8</v>
      </c>
      <c r="F294" s="2" t="s">
        <v>9</v>
      </c>
      <c r="G294" s="5">
        <v>18218.16139</v>
      </c>
    </row>
    <row r="295">
      <c r="A295" s="1">
        <v>25.0</v>
      </c>
      <c r="B295" s="2" t="s">
        <v>10</v>
      </c>
      <c r="C295" s="3">
        <v>24.3</v>
      </c>
      <c r="D295" s="4">
        <v>3.0</v>
      </c>
      <c r="E295" s="2" t="s">
        <v>8</v>
      </c>
      <c r="F295" s="2" t="s">
        <v>13</v>
      </c>
      <c r="G295" s="5">
        <v>4391.652</v>
      </c>
    </row>
    <row r="296">
      <c r="A296" s="1">
        <v>25.0</v>
      </c>
      <c r="B296" s="2" t="s">
        <v>7</v>
      </c>
      <c r="C296" s="3">
        <v>26.695</v>
      </c>
      <c r="D296" s="4">
        <v>4.0</v>
      </c>
      <c r="E296" s="2" t="s">
        <v>8</v>
      </c>
      <c r="F296" s="2" t="s">
        <v>14</v>
      </c>
      <c r="G296" s="5">
        <v>4877.98105</v>
      </c>
    </row>
    <row r="297">
      <c r="A297" s="1">
        <v>25.0</v>
      </c>
      <c r="B297" s="2" t="s">
        <v>7</v>
      </c>
      <c r="C297" s="3">
        <v>29.7</v>
      </c>
      <c r="D297" s="4">
        <v>3.0</v>
      </c>
      <c r="E297" s="2" t="s">
        <v>12</v>
      </c>
      <c r="F297" s="2" t="s">
        <v>13</v>
      </c>
      <c r="G297" s="5">
        <v>19933.458</v>
      </c>
    </row>
    <row r="298">
      <c r="A298" s="1">
        <v>25.0</v>
      </c>
      <c r="B298" s="2" t="s">
        <v>7</v>
      </c>
      <c r="C298" s="3">
        <v>24.985</v>
      </c>
      <c r="D298" s="4">
        <v>2.0</v>
      </c>
      <c r="E298" s="2" t="s">
        <v>8</v>
      </c>
      <c r="F298" s="2" t="s">
        <v>11</v>
      </c>
      <c r="G298" s="5">
        <v>23241.47453</v>
      </c>
    </row>
    <row r="299">
      <c r="A299" s="1">
        <v>25.0</v>
      </c>
      <c r="B299" s="2" t="s">
        <v>10</v>
      </c>
      <c r="C299" s="3">
        <v>22.515</v>
      </c>
      <c r="D299" s="4">
        <v>1.0</v>
      </c>
      <c r="E299" s="2" t="s">
        <v>8</v>
      </c>
      <c r="F299" s="2" t="s">
        <v>14</v>
      </c>
      <c r="G299" s="5">
        <v>3594.17085</v>
      </c>
    </row>
    <row r="300">
      <c r="A300" s="1">
        <v>25.0</v>
      </c>
      <c r="B300" s="2" t="s">
        <v>10</v>
      </c>
      <c r="C300" s="3">
        <v>33.99</v>
      </c>
      <c r="D300" s="4">
        <v>1.0</v>
      </c>
      <c r="E300" s="2" t="s">
        <v>8</v>
      </c>
      <c r="F300" s="2" t="s">
        <v>9</v>
      </c>
      <c r="G300" s="5">
        <v>3227.1211</v>
      </c>
    </row>
    <row r="301">
      <c r="A301" s="1">
        <v>25.0</v>
      </c>
      <c r="B301" s="2" t="s">
        <v>7</v>
      </c>
      <c r="C301" s="3">
        <v>33.33</v>
      </c>
      <c r="D301" s="4">
        <v>2.0</v>
      </c>
      <c r="E301" s="2" t="s">
        <v>12</v>
      </c>
      <c r="F301" s="2" t="s">
        <v>9</v>
      </c>
      <c r="G301" s="5">
        <v>36124.5737</v>
      </c>
    </row>
    <row r="302">
      <c r="A302" s="1">
        <v>25.0</v>
      </c>
      <c r="B302" s="2" t="s">
        <v>10</v>
      </c>
      <c r="C302" s="3">
        <v>30.3</v>
      </c>
      <c r="D302" s="4">
        <v>0.0</v>
      </c>
      <c r="E302" s="2" t="s">
        <v>8</v>
      </c>
      <c r="F302" s="2" t="s">
        <v>13</v>
      </c>
      <c r="G302" s="5">
        <v>2632.992</v>
      </c>
    </row>
    <row r="303">
      <c r="A303" s="1">
        <v>25.0</v>
      </c>
      <c r="B303" s="2" t="s">
        <v>10</v>
      </c>
      <c r="C303" s="3">
        <v>42.13</v>
      </c>
      <c r="D303" s="4">
        <v>1.0</v>
      </c>
      <c r="E303" s="2" t="s">
        <v>8</v>
      </c>
      <c r="F303" s="2" t="s">
        <v>9</v>
      </c>
      <c r="G303" s="5">
        <v>3238.4357</v>
      </c>
    </row>
    <row r="304">
      <c r="A304" s="1">
        <v>25.0</v>
      </c>
      <c r="B304" s="2" t="s">
        <v>10</v>
      </c>
      <c r="C304" s="3">
        <v>34.485</v>
      </c>
      <c r="D304" s="4">
        <v>0.0</v>
      </c>
      <c r="E304" s="2" t="s">
        <v>8</v>
      </c>
      <c r="F304" s="2" t="s">
        <v>14</v>
      </c>
      <c r="G304" s="5">
        <v>3021.80915</v>
      </c>
    </row>
    <row r="305">
      <c r="A305" s="1">
        <v>25.0</v>
      </c>
      <c r="B305" s="2" t="s">
        <v>10</v>
      </c>
      <c r="C305" s="3">
        <v>26.79</v>
      </c>
      <c r="D305" s="4">
        <v>2.0</v>
      </c>
      <c r="E305" s="2" t="s">
        <v>8</v>
      </c>
      <c r="F305" s="2" t="s">
        <v>14</v>
      </c>
      <c r="G305" s="5">
        <v>4189.1131</v>
      </c>
    </row>
    <row r="306">
      <c r="A306" s="1">
        <v>25.0</v>
      </c>
      <c r="B306" s="2" t="s">
        <v>10</v>
      </c>
      <c r="C306" s="3">
        <v>20.8</v>
      </c>
      <c r="D306" s="4">
        <v>1.0</v>
      </c>
      <c r="E306" s="2" t="s">
        <v>8</v>
      </c>
      <c r="F306" s="2" t="s">
        <v>13</v>
      </c>
      <c r="G306" s="5">
        <v>3208.787</v>
      </c>
    </row>
    <row r="307">
      <c r="A307" s="1">
        <v>25.0</v>
      </c>
      <c r="B307" s="2" t="s">
        <v>10</v>
      </c>
      <c r="C307" s="3">
        <v>30.2</v>
      </c>
      <c r="D307" s="4">
        <v>0.0</v>
      </c>
      <c r="E307" s="2" t="s">
        <v>12</v>
      </c>
      <c r="F307" s="2" t="s">
        <v>13</v>
      </c>
      <c r="G307" s="5">
        <v>33900.653</v>
      </c>
    </row>
    <row r="308">
      <c r="A308" s="1">
        <v>26.0</v>
      </c>
      <c r="B308" s="2" t="s">
        <v>7</v>
      </c>
      <c r="C308" s="3">
        <v>20.8</v>
      </c>
      <c r="D308" s="4">
        <v>0.0</v>
      </c>
      <c r="E308" s="2" t="s">
        <v>8</v>
      </c>
      <c r="F308" s="2" t="s">
        <v>13</v>
      </c>
      <c r="G308" s="5">
        <v>2302.3</v>
      </c>
    </row>
    <row r="309">
      <c r="A309" s="1">
        <v>26.0</v>
      </c>
      <c r="B309" s="2" t="s">
        <v>7</v>
      </c>
      <c r="C309" s="3">
        <v>30.875</v>
      </c>
      <c r="D309" s="4">
        <v>2.0</v>
      </c>
      <c r="E309" s="2" t="s">
        <v>8</v>
      </c>
      <c r="F309" s="2" t="s">
        <v>14</v>
      </c>
      <c r="G309" s="5">
        <v>3877.30425</v>
      </c>
    </row>
    <row r="310">
      <c r="A310" s="1">
        <v>26.0</v>
      </c>
      <c r="B310" s="2" t="s">
        <v>10</v>
      </c>
      <c r="C310" s="3">
        <v>28.785</v>
      </c>
      <c r="D310" s="4">
        <v>0.0</v>
      </c>
      <c r="E310" s="2" t="s">
        <v>8</v>
      </c>
      <c r="F310" s="2" t="s">
        <v>11</v>
      </c>
      <c r="G310" s="5">
        <v>3385.39915</v>
      </c>
    </row>
    <row r="311">
      <c r="A311" s="1">
        <v>26.0</v>
      </c>
      <c r="B311" s="2" t="s">
        <v>7</v>
      </c>
      <c r="C311" s="3">
        <v>32.49</v>
      </c>
      <c r="D311" s="4">
        <v>1.0</v>
      </c>
      <c r="E311" s="2" t="s">
        <v>8</v>
      </c>
      <c r="F311" s="2" t="s">
        <v>11</v>
      </c>
      <c r="G311" s="5">
        <v>3490.5491</v>
      </c>
    </row>
    <row r="312">
      <c r="A312" s="1">
        <v>26.0</v>
      </c>
      <c r="B312" s="2" t="s">
        <v>10</v>
      </c>
      <c r="C312" s="3">
        <v>29.92</v>
      </c>
      <c r="D312" s="4">
        <v>2.0</v>
      </c>
      <c r="E312" s="2" t="s">
        <v>8</v>
      </c>
      <c r="F312" s="2" t="s">
        <v>9</v>
      </c>
      <c r="G312" s="5">
        <v>3981.9768</v>
      </c>
    </row>
    <row r="313">
      <c r="A313" s="1">
        <v>26.0</v>
      </c>
      <c r="B313" s="2" t="s">
        <v>10</v>
      </c>
      <c r="C313" s="3">
        <v>29.92</v>
      </c>
      <c r="D313" s="4">
        <v>1.0</v>
      </c>
      <c r="E313" s="2" t="s">
        <v>8</v>
      </c>
      <c r="F313" s="2" t="s">
        <v>9</v>
      </c>
      <c r="G313" s="5">
        <v>3392.9768</v>
      </c>
    </row>
    <row r="314">
      <c r="A314" s="1">
        <v>26.0</v>
      </c>
      <c r="B314" s="2" t="s">
        <v>10</v>
      </c>
      <c r="C314" s="3">
        <v>29.64</v>
      </c>
      <c r="D314" s="4">
        <v>4.0</v>
      </c>
      <c r="E314" s="2" t="s">
        <v>8</v>
      </c>
      <c r="F314" s="2" t="s">
        <v>11</v>
      </c>
      <c r="G314" s="5">
        <v>24671.66334</v>
      </c>
    </row>
    <row r="315">
      <c r="A315" s="1">
        <v>26.0</v>
      </c>
      <c r="B315" s="2" t="s">
        <v>7</v>
      </c>
      <c r="C315" s="3">
        <v>32.9</v>
      </c>
      <c r="D315" s="4">
        <v>2.0</v>
      </c>
      <c r="E315" s="2" t="s">
        <v>12</v>
      </c>
      <c r="F315" s="2" t="s">
        <v>13</v>
      </c>
      <c r="G315" s="5">
        <v>36085.219</v>
      </c>
    </row>
    <row r="316">
      <c r="A316" s="1">
        <v>26.0</v>
      </c>
      <c r="B316" s="2" t="s">
        <v>10</v>
      </c>
      <c r="C316" s="3">
        <v>22.61</v>
      </c>
      <c r="D316" s="4">
        <v>0.0</v>
      </c>
      <c r="E316" s="2" t="s">
        <v>8</v>
      </c>
      <c r="F316" s="2" t="s">
        <v>14</v>
      </c>
      <c r="G316" s="5">
        <v>3176.8159</v>
      </c>
    </row>
    <row r="317">
      <c r="A317" s="1">
        <v>26.0</v>
      </c>
      <c r="B317" s="2" t="s">
        <v>10</v>
      </c>
      <c r="C317" s="3">
        <v>17.195</v>
      </c>
      <c r="D317" s="4">
        <v>2.0</v>
      </c>
      <c r="E317" s="2" t="s">
        <v>12</v>
      </c>
      <c r="F317" s="2" t="s">
        <v>11</v>
      </c>
      <c r="G317" s="5">
        <v>14455.64405</v>
      </c>
    </row>
    <row r="318">
      <c r="A318" s="1">
        <v>26.0</v>
      </c>
      <c r="B318" s="2" t="s">
        <v>7</v>
      </c>
      <c r="C318" s="3">
        <v>29.45</v>
      </c>
      <c r="D318" s="4">
        <v>0.0</v>
      </c>
      <c r="E318" s="2" t="s">
        <v>8</v>
      </c>
      <c r="F318" s="2" t="s">
        <v>11</v>
      </c>
      <c r="G318" s="5">
        <v>2897.3235</v>
      </c>
    </row>
    <row r="319">
      <c r="A319" s="1">
        <v>26.0</v>
      </c>
      <c r="B319" s="2" t="s">
        <v>10</v>
      </c>
      <c r="C319" s="3">
        <v>42.4</v>
      </c>
      <c r="D319" s="4">
        <v>1.0</v>
      </c>
      <c r="E319" s="2" t="s">
        <v>8</v>
      </c>
      <c r="F319" s="2" t="s">
        <v>13</v>
      </c>
      <c r="G319" s="5">
        <v>3410.324</v>
      </c>
    </row>
    <row r="320">
      <c r="A320" s="1">
        <v>26.0</v>
      </c>
      <c r="B320" s="2" t="s">
        <v>10</v>
      </c>
      <c r="C320" s="3">
        <v>40.185</v>
      </c>
      <c r="D320" s="4">
        <v>0.0</v>
      </c>
      <c r="E320" s="2" t="s">
        <v>8</v>
      </c>
      <c r="F320" s="2" t="s">
        <v>14</v>
      </c>
      <c r="G320" s="5">
        <v>3201.24515</v>
      </c>
    </row>
    <row r="321">
      <c r="A321" s="1">
        <v>26.0</v>
      </c>
      <c r="B321" s="2" t="s">
        <v>7</v>
      </c>
      <c r="C321" s="3">
        <v>23.7</v>
      </c>
      <c r="D321" s="4">
        <v>2.0</v>
      </c>
      <c r="E321" s="2" t="s">
        <v>8</v>
      </c>
      <c r="F321" s="2" t="s">
        <v>13</v>
      </c>
      <c r="G321" s="5">
        <v>3484.331</v>
      </c>
    </row>
    <row r="322">
      <c r="A322" s="1">
        <v>26.0</v>
      </c>
      <c r="B322" s="2" t="s">
        <v>7</v>
      </c>
      <c r="C322" s="3">
        <v>17.67</v>
      </c>
      <c r="D322" s="4">
        <v>0.0</v>
      </c>
      <c r="E322" s="2" t="s">
        <v>8</v>
      </c>
      <c r="F322" s="2" t="s">
        <v>14</v>
      </c>
      <c r="G322" s="5">
        <v>2680.9493</v>
      </c>
    </row>
    <row r="323">
      <c r="A323" s="1">
        <v>26.0</v>
      </c>
      <c r="B323" s="2" t="s">
        <v>10</v>
      </c>
      <c r="C323" s="3">
        <v>29.48</v>
      </c>
      <c r="D323" s="4">
        <v>1.0</v>
      </c>
      <c r="E323" s="2" t="s">
        <v>8</v>
      </c>
      <c r="F323" s="2" t="s">
        <v>9</v>
      </c>
      <c r="G323" s="5">
        <v>3392.3652</v>
      </c>
    </row>
    <row r="324">
      <c r="A324" s="1">
        <v>26.0</v>
      </c>
      <c r="B324" s="2" t="s">
        <v>7</v>
      </c>
      <c r="C324" s="3">
        <v>27.265</v>
      </c>
      <c r="D324" s="4">
        <v>3.0</v>
      </c>
      <c r="E324" s="2" t="s">
        <v>8</v>
      </c>
      <c r="F324" s="2" t="s">
        <v>11</v>
      </c>
      <c r="G324" s="5">
        <v>4661.28635</v>
      </c>
    </row>
    <row r="325">
      <c r="A325" s="1">
        <v>26.0</v>
      </c>
      <c r="B325" s="2" t="s">
        <v>10</v>
      </c>
      <c r="C325" s="3">
        <v>29.355</v>
      </c>
      <c r="D325" s="4">
        <v>2.0</v>
      </c>
      <c r="E325" s="2" t="s">
        <v>8</v>
      </c>
      <c r="F325" s="2" t="s">
        <v>11</v>
      </c>
      <c r="G325" s="5">
        <v>4564.19145</v>
      </c>
    </row>
    <row r="326">
      <c r="A326" s="1">
        <v>26.0</v>
      </c>
      <c r="B326" s="2" t="s">
        <v>7</v>
      </c>
      <c r="C326" s="3">
        <v>46.53</v>
      </c>
      <c r="D326" s="4">
        <v>1.0</v>
      </c>
      <c r="E326" s="2" t="s">
        <v>8</v>
      </c>
      <c r="F326" s="2" t="s">
        <v>9</v>
      </c>
      <c r="G326" s="5">
        <v>2927.0647</v>
      </c>
    </row>
    <row r="327">
      <c r="A327" s="1">
        <v>26.0</v>
      </c>
      <c r="B327" s="2" t="s">
        <v>7</v>
      </c>
      <c r="C327" s="3">
        <v>35.42</v>
      </c>
      <c r="D327" s="4">
        <v>0.0</v>
      </c>
      <c r="E327" s="2" t="s">
        <v>8</v>
      </c>
      <c r="F327" s="2" t="s">
        <v>9</v>
      </c>
      <c r="G327" s="5">
        <v>2322.6218</v>
      </c>
    </row>
    <row r="328">
      <c r="A328" s="1">
        <v>26.0</v>
      </c>
      <c r="B328" s="2" t="s">
        <v>7</v>
      </c>
      <c r="C328" s="3">
        <v>29.15</v>
      </c>
      <c r="D328" s="4">
        <v>1.0</v>
      </c>
      <c r="E328" s="2" t="s">
        <v>8</v>
      </c>
      <c r="F328" s="2" t="s">
        <v>9</v>
      </c>
      <c r="G328" s="5">
        <v>2902.9065</v>
      </c>
    </row>
    <row r="329">
      <c r="A329" s="1">
        <v>26.0</v>
      </c>
      <c r="B329" s="2" t="s">
        <v>10</v>
      </c>
      <c r="C329" s="3">
        <v>19.8</v>
      </c>
      <c r="D329" s="4">
        <v>1.0</v>
      </c>
      <c r="E329" s="2" t="s">
        <v>8</v>
      </c>
      <c r="F329" s="2" t="s">
        <v>13</v>
      </c>
      <c r="G329" s="5">
        <v>3378.91</v>
      </c>
    </row>
    <row r="330">
      <c r="A330" s="1">
        <v>26.0</v>
      </c>
      <c r="B330" s="2" t="s">
        <v>10</v>
      </c>
      <c r="C330" s="3">
        <v>34.2</v>
      </c>
      <c r="D330" s="4">
        <v>2.0</v>
      </c>
      <c r="E330" s="2" t="s">
        <v>8</v>
      </c>
      <c r="F330" s="2" t="s">
        <v>13</v>
      </c>
      <c r="G330" s="5">
        <v>3987.926</v>
      </c>
    </row>
    <row r="331">
      <c r="A331" s="1">
        <v>26.0</v>
      </c>
      <c r="B331" s="2" t="s">
        <v>7</v>
      </c>
      <c r="C331" s="3">
        <v>30.0</v>
      </c>
      <c r="D331" s="4">
        <v>1.0</v>
      </c>
      <c r="E331" s="2" t="s">
        <v>8</v>
      </c>
      <c r="F331" s="2" t="s">
        <v>13</v>
      </c>
      <c r="G331" s="5">
        <v>2904.088</v>
      </c>
    </row>
    <row r="332">
      <c r="A332" s="1">
        <v>26.0</v>
      </c>
      <c r="B332" s="2" t="s">
        <v>10</v>
      </c>
      <c r="C332" s="3">
        <v>22.23</v>
      </c>
      <c r="D332" s="4">
        <v>0.0</v>
      </c>
      <c r="E332" s="2" t="s">
        <v>8</v>
      </c>
      <c r="F332" s="2" t="s">
        <v>14</v>
      </c>
      <c r="G332" s="5">
        <v>3176.2877</v>
      </c>
    </row>
    <row r="333">
      <c r="A333" s="1">
        <v>26.0</v>
      </c>
      <c r="B333" s="2" t="s">
        <v>7</v>
      </c>
      <c r="C333" s="3">
        <v>31.065</v>
      </c>
      <c r="D333" s="4">
        <v>0.0</v>
      </c>
      <c r="E333" s="2" t="s">
        <v>8</v>
      </c>
      <c r="F333" s="2" t="s">
        <v>14</v>
      </c>
      <c r="G333" s="5">
        <v>2699.56835</v>
      </c>
    </row>
    <row r="334">
      <c r="A334" s="1">
        <v>26.0</v>
      </c>
      <c r="B334" s="2" t="s">
        <v>7</v>
      </c>
      <c r="C334" s="3">
        <v>33.915</v>
      </c>
      <c r="D334" s="4">
        <v>1.0</v>
      </c>
      <c r="E334" s="2" t="s">
        <v>8</v>
      </c>
      <c r="F334" s="2" t="s">
        <v>14</v>
      </c>
      <c r="G334" s="5">
        <v>3292.52985</v>
      </c>
    </row>
    <row r="335">
      <c r="A335" s="1">
        <v>26.0</v>
      </c>
      <c r="B335" s="2" t="s">
        <v>7</v>
      </c>
      <c r="C335" s="3">
        <v>27.06</v>
      </c>
      <c r="D335" s="4">
        <v>0.0</v>
      </c>
      <c r="E335" s="2" t="s">
        <v>12</v>
      </c>
      <c r="F335" s="2" t="s">
        <v>9</v>
      </c>
      <c r="G335" s="5">
        <v>17043.3414</v>
      </c>
    </row>
    <row r="336">
      <c r="A336" s="1">
        <v>27.0</v>
      </c>
      <c r="B336" s="2" t="s">
        <v>7</v>
      </c>
      <c r="C336" s="3">
        <v>42.13</v>
      </c>
      <c r="D336" s="4">
        <v>0.0</v>
      </c>
      <c r="E336" s="2" t="s">
        <v>12</v>
      </c>
      <c r="F336" s="2" t="s">
        <v>9</v>
      </c>
      <c r="G336" s="5">
        <v>39611.7577</v>
      </c>
    </row>
    <row r="337">
      <c r="A337" s="1">
        <v>27.0</v>
      </c>
      <c r="B337" s="2" t="s">
        <v>10</v>
      </c>
      <c r="C337" s="3">
        <v>24.75</v>
      </c>
      <c r="D337" s="4">
        <v>0.0</v>
      </c>
      <c r="E337" s="2" t="s">
        <v>12</v>
      </c>
      <c r="F337" s="2" t="s">
        <v>9</v>
      </c>
      <c r="G337" s="5">
        <v>16577.7795</v>
      </c>
    </row>
    <row r="338">
      <c r="A338" s="1">
        <v>27.0</v>
      </c>
      <c r="B338" s="2" t="s">
        <v>7</v>
      </c>
      <c r="C338" s="3">
        <v>18.905</v>
      </c>
      <c r="D338" s="4">
        <v>3.0</v>
      </c>
      <c r="E338" s="2" t="s">
        <v>8</v>
      </c>
      <c r="F338" s="2" t="s">
        <v>11</v>
      </c>
      <c r="G338" s="5">
        <v>4827.90495</v>
      </c>
    </row>
    <row r="339">
      <c r="A339" s="1">
        <v>27.0</v>
      </c>
      <c r="B339" s="2" t="s">
        <v>10</v>
      </c>
      <c r="C339" s="3">
        <v>36.08</v>
      </c>
      <c r="D339" s="4">
        <v>0.0</v>
      </c>
      <c r="E339" s="2" t="s">
        <v>12</v>
      </c>
      <c r="F339" s="2" t="s">
        <v>9</v>
      </c>
      <c r="G339" s="5">
        <v>37133.8982</v>
      </c>
    </row>
    <row r="340">
      <c r="A340" s="1">
        <v>27.0</v>
      </c>
      <c r="B340" s="2" t="s">
        <v>7</v>
      </c>
      <c r="C340" s="3">
        <v>23.1</v>
      </c>
      <c r="D340" s="4">
        <v>0.0</v>
      </c>
      <c r="E340" s="2" t="s">
        <v>8</v>
      </c>
      <c r="F340" s="2" t="s">
        <v>9</v>
      </c>
      <c r="G340" s="5">
        <v>2483.736</v>
      </c>
    </row>
    <row r="341">
      <c r="A341" s="1">
        <v>27.0</v>
      </c>
      <c r="B341" s="2" t="s">
        <v>7</v>
      </c>
      <c r="C341" s="3">
        <v>30.3</v>
      </c>
      <c r="D341" s="4">
        <v>3.0</v>
      </c>
      <c r="E341" s="2" t="s">
        <v>8</v>
      </c>
      <c r="F341" s="2" t="s">
        <v>13</v>
      </c>
      <c r="G341" s="5">
        <v>4260.744</v>
      </c>
    </row>
    <row r="342">
      <c r="A342" s="1">
        <v>27.0</v>
      </c>
      <c r="B342" s="2" t="s">
        <v>10</v>
      </c>
      <c r="C342" s="3">
        <v>31.4</v>
      </c>
      <c r="D342" s="4">
        <v>0.0</v>
      </c>
      <c r="E342" s="2" t="s">
        <v>12</v>
      </c>
      <c r="F342" s="2" t="s">
        <v>13</v>
      </c>
      <c r="G342" s="5">
        <v>34838.873</v>
      </c>
    </row>
    <row r="343">
      <c r="A343" s="1">
        <v>27.0</v>
      </c>
      <c r="B343" s="2" t="s">
        <v>10</v>
      </c>
      <c r="C343" s="3">
        <v>23.21</v>
      </c>
      <c r="D343" s="4">
        <v>1.0</v>
      </c>
      <c r="E343" s="2" t="s">
        <v>8</v>
      </c>
      <c r="F343" s="2" t="s">
        <v>9</v>
      </c>
      <c r="G343" s="5">
        <v>3561.8889</v>
      </c>
    </row>
    <row r="344">
      <c r="A344" s="1">
        <v>27.0</v>
      </c>
      <c r="B344" s="2" t="s">
        <v>10</v>
      </c>
      <c r="C344" s="3">
        <v>17.955</v>
      </c>
      <c r="D344" s="4">
        <v>2.0</v>
      </c>
      <c r="E344" s="2" t="s">
        <v>12</v>
      </c>
      <c r="F344" s="2" t="s">
        <v>11</v>
      </c>
      <c r="G344" s="5">
        <v>15006.57945</v>
      </c>
    </row>
    <row r="345">
      <c r="A345" s="1">
        <v>27.0</v>
      </c>
      <c r="B345" s="2" t="s">
        <v>10</v>
      </c>
      <c r="C345" s="3">
        <v>30.4</v>
      </c>
      <c r="D345" s="4">
        <v>3.0</v>
      </c>
      <c r="E345" s="2" t="s">
        <v>8</v>
      </c>
      <c r="F345" s="2" t="s">
        <v>14</v>
      </c>
      <c r="G345" s="5">
        <v>18804.7524</v>
      </c>
    </row>
    <row r="346">
      <c r="A346" s="1">
        <v>27.0</v>
      </c>
      <c r="B346" s="2" t="s">
        <v>7</v>
      </c>
      <c r="C346" s="3">
        <v>32.67</v>
      </c>
      <c r="D346" s="4">
        <v>0.0</v>
      </c>
      <c r="E346" s="2" t="s">
        <v>8</v>
      </c>
      <c r="F346" s="2" t="s">
        <v>9</v>
      </c>
      <c r="G346" s="5">
        <v>2497.0383</v>
      </c>
    </row>
    <row r="347">
      <c r="A347" s="1">
        <v>27.0</v>
      </c>
      <c r="B347" s="2" t="s">
        <v>7</v>
      </c>
      <c r="C347" s="3">
        <v>33.66</v>
      </c>
      <c r="D347" s="4">
        <v>0.0</v>
      </c>
      <c r="E347" s="2" t="s">
        <v>8</v>
      </c>
      <c r="F347" s="2" t="s">
        <v>9</v>
      </c>
      <c r="G347" s="5">
        <v>2498.4144</v>
      </c>
    </row>
    <row r="348">
      <c r="A348" s="1">
        <v>27.0</v>
      </c>
      <c r="B348" s="2" t="s">
        <v>7</v>
      </c>
      <c r="C348" s="3">
        <v>30.5</v>
      </c>
      <c r="D348" s="4">
        <v>0.0</v>
      </c>
      <c r="E348" s="2" t="s">
        <v>8</v>
      </c>
      <c r="F348" s="2" t="s">
        <v>13</v>
      </c>
      <c r="G348" s="5">
        <v>2494.022</v>
      </c>
    </row>
    <row r="349">
      <c r="A349" s="1">
        <v>27.0</v>
      </c>
      <c r="B349" s="2" t="s">
        <v>10</v>
      </c>
      <c r="C349" s="3">
        <v>25.175</v>
      </c>
      <c r="D349" s="4">
        <v>0.0</v>
      </c>
      <c r="E349" s="2" t="s">
        <v>8</v>
      </c>
      <c r="F349" s="2" t="s">
        <v>11</v>
      </c>
      <c r="G349" s="5">
        <v>3558.62025</v>
      </c>
    </row>
    <row r="350">
      <c r="A350" s="1">
        <v>27.0</v>
      </c>
      <c r="B350" s="2" t="s">
        <v>7</v>
      </c>
      <c r="C350" s="3">
        <v>33.155</v>
      </c>
      <c r="D350" s="4">
        <v>2.0</v>
      </c>
      <c r="E350" s="2" t="s">
        <v>8</v>
      </c>
      <c r="F350" s="2" t="s">
        <v>14</v>
      </c>
      <c r="G350" s="5">
        <v>4058.71245</v>
      </c>
    </row>
    <row r="351">
      <c r="A351" s="1">
        <v>27.0</v>
      </c>
      <c r="B351" s="2" t="s">
        <v>7</v>
      </c>
      <c r="C351" s="3">
        <v>31.13</v>
      </c>
      <c r="D351" s="4">
        <v>1.0</v>
      </c>
      <c r="E351" s="2" t="s">
        <v>12</v>
      </c>
      <c r="F351" s="2" t="s">
        <v>9</v>
      </c>
      <c r="G351" s="5">
        <v>34806.4677</v>
      </c>
    </row>
    <row r="352">
      <c r="A352" s="1">
        <v>27.0</v>
      </c>
      <c r="B352" s="2" t="s">
        <v>10</v>
      </c>
      <c r="C352" s="3">
        <v>34.8</v>
      </c>
      <c r="D352" s="4">
        <v>1.0</v>
      </c>
      <c r="E352" s="2" t="s">
        <v>8</v>
      </c>
      <c r="F352" s="2" t="s">
        <v>13</v>
      </c>
      <c r="G352" s="5">
        <v>3577.999</v>
      </c>
    </row>
    <row r="353">
      <c r="A353" s="1">
        <v>27.0</v>
      </c>
      <c r="B353" s="2" t="s">
        <v>7</v>
      </c>
      <c r="C353" s="3">
        <v>29.15</v>
      </c>
      <c r="D353" s="4">
        <v>0.0</v>
      </c>
      <c r="E353" s="2" t="s">
        <v>12</v>
      </c>
      <c r="F353" s="2" t="s">
        <v>9</v>
      </c>
      <c r="G353" s="5">
        <v>18246.4955</v>
      </c>
    </row>
    <row r="354">
      <c r="A354" s="1">
        <v>27.0</v>
      </c>
      <c r="B354" s="2" t="s">
        <v>7</v>
      </c>
      <c r="C354" s="3">
        <v>26.03</v>
      </c>
      <c r="D354" s="4">
        <v>0.0</v>
      </c>
      <c r="E354" s="2" t="s">
        <v>8</v>
      </c>
      <c r="F354" s="2" t="s">
        <v>11</v>
      </c>
      <c r="G354" s="5">
        <v>3070.8087</v>
      </c>
    </row>
    <row r="355">
      <c r="A355" s="1">
        <v>27.0</v>
      </c>
      <c r="B355" s="2" t="s">
        <v>7</v>
      </c>
      <c r="C355" s="3">
        <v>28.5</v>
      </c>
      <c r="D355" s="4">
        <v>0.0</v>
      </c>
      <c r="E355" s="2" t="s">
        <v>12</v>
      </c>
      <c r="F355" s="2" t="s">
        <v>14</v>
      </c>
      <c r="G355" s="5">
        <v>18310.742</v>
      </c>
    </row>
    <row r="356">
      <c r="A356" s="1">
        <v>27.0</v>
      </c>
      <c r="B356" s="2" t="s">
        <v>10</v>
      </c>
      <c r="C356" s="3">
        <v>24.1</v>
      </c>
      <c r="D356" s="4">
        <v>0.0</v>
      </c>
      <c r="E356" s="2" t="s">
        <v>8</v>
      </c>
      <c r="F356" s="2" t="s">
        <v>13</v>
      </c>
      <c r="G356" s="5">
        <v>2974.126</v>
      </c>
    </row>
    <row r="357">
      <c r="A357" s="1">
        <v>27.0</v>
      </c>
      <c r="B357" s="2" t="s">
        <v>7</v>
      </c>
      <c r="C357" s="3">
        <v>32.585</v>
      </c>
      <c r="D357" s="4">
        <v>3.0</v>
      </c>
      <c r="E357" s="2" t="s">
        <v>8</v>
      </c>
      <c r="F357" s="2" t="s">
        <v>11</v>
      </c>
      <c r="G357" s="5">
        <v>4846.92015</v>
      </c>
    </row>
    <row r="358">
      <c r="A358" s="1">
        <v>27.0</v>
      </c>
      <c r="B358" s="2" t="s">
        <v>10</v>
      </c>
      <c r="C358" s="3">
        <v>30.59</v>
      </c>
      <c r="D358" s="4">
        <v>1.0</v>
      </c>
      <c r="E358" s="2" t="s">
        <v>8</v>
      </c>
      <c r="F358" s="2" t="s">
        <v>11</v>
      </c>
      <c r="G358" s="5">
        <v>16796.41194</v>
      </c>
    </row>
    <row r="359">
      <c r="A359" s="1">
        <v>27.0</v>
      </c>
      <c r="B359" s="2" t="s">
        <v>10</v>
      </c>
      <c r="C359" s="3">
        <v>20.045</v>
      </c>
      <c r="D359" s="4">
        <v>3.0</v>
      </c>
      <c r="E359" s="2" t="s">
        <v>12</v>
      </c>
      <c r="F359" s="2" t="s">
        <v>14</v>
      </c>
      <c r="G359" s="5">
        <v>16420.49455</v>
      </c>
    </row>
    <row r="360">
      <c r="A360" s="1">
        <v>27.0</v>
      </c>
      <c r="B360" s="2" t="s">
        <v>10</v>
      </c>
      <c r="C360" s="3">
        <v>21.47</v>
      </c>
      <c r="D360" s="4">
        <v>0.0</v>
      </c>
      <c r="E360" s="2" t="s">
        <v>8</v>
      </c>
      <c r="F360" s="2" t="s">
        <v>14</v>
      </c>
      <c r="G360" s="5">
        <v>3353.4703</v>
      </c>
    </row>
    <row r="361">
      <c r="A361" s="1">
        <v>27.0</v>
      </c>
      <c r="B361" s="2" t="s">
        <v>10</v>
      </c>
      <c r="C361" s="3">
        <v>32.395</v>
      </c>
      <c r="D361" s="4">
        <v>1.0</v>
      </c>
      <c r="E361" s="2" t="s">
        <v>8</v>
      </c>
      <c r="F361" s="2" t="s">
        <v>11</v>
      </c>
      <c r="G361" s="5">
        <v>18903.49141</v>
      </c>
    </row>
    <row r="362">
      <c r="A362" s="1">
        <v>27.0</v>
      </c>
      <c r="B362" s="2" t="s">
        <v>7</v>
      </c>
      <c r="C362" s="3">
        <v>45.9</v>
      </c>
      <c r="D362" s="4">
        <v>2.0</v>
      </c>
      <c r="E362" s="2" t="s">
        <v>8</v>
      </c>
      <c r="F362" s="2" t="s">
        <v>13</v>
      </c>
      <c r="G362" s="5">
        <v>3693.428</v>
      </c>
    </row>
    <row r="363">
      <c r="A363" s="1">
        <v>27.0</v>
      </c>
      <c r="B363" s="2" t="s">
        <v>10</v>
      </c>
      <c r="C363" s="3">
        <v>31.255</v>
      </c>
      <c r="D363" s="4">
        <v>1.0</v>
      </c>
      <c r="E363" s="2" t="s">
        <v>8</v>
      </c>
      <c r="F363" s="2" t="s">
        <v>14</v>
      </c>
      <c r="G363" s="5">
        <v>3956.07145</v>
      </c>
    </row>
    <row r="364">
      <c r="A364" s="1">
        <v>28.0</v>
      </c>
      <c r="B364" s="2" t="s">
        <v>7</v>
      </c>
      <c r="C364" s="3">
        <v>33.0</v>
      </c>
      <c r="D364" s="4">
        <v>3.0</v>
      </c>
      <c r="E364" s="2" t="s">
        <v>8</v>
      </c>
      <c r="F364" s="2" t="s">
        <v>9</v>
      </c>
      <c r="G364" s="5">
        <v>4449.462</v>
      </c>
    </row>
    <row r="365">
      <c r="A365" s="1">
        <v>28.0</v>
      </c>
      <c r="B365" s="2" t="s">
        <v>7</v>
      </c>
      <c r="C365" s="3">
        <v>36.4</v>
      </c>
      <c r="D365" s="4">
        <v>1.0</v>
      </c>
      <c r="E365" s="2" t="s">
        <v>12</v>
      </c>
      <c r="F365" s="2" t="s">
        <v>13</v>
      </c>
      <c r="G365" s="5">
        <v>51194.55914</v>
      </c>
    </row>
    <row r="366">
      <c r="A366" s="1">
        <v>28.0</v>
      </c>
      <c r="B366" s="2" t="s">
        <v>10</v>
      </c>
      <c r="C366" s="3">
        <v>34.77</v>
      </c>
      <c r="D366" s="4">
        <v>0.0</v>
      </c>
      <c r="E366" s="2" t="s">
        <v>8</v>
      </c>
      <c r="F366" s="2" t="s">
        <v>14</v>
      </c>
      <c r="G366" s="5">
        <v>3556.9223</v>
      </c>
    </row>
    <row r="367">
      <c r="A367" s="1">
        <v>28.0</v>
      </c>
      <c r="B367" s="2" t="s">
        <v>10</v>
      </c>
      <c r="C367" s="3">
        <v>25.935</v>
      </c>
      <c r="D367" s="4">
        <v>1.0</v>
      </c>
      <c r="E367" s="2" t="s">
        <v>8</v>
      </c>
      <c r="F367" s="2" t="s">
        <v>14</v>
      </c>
      <c r="G367" s="5">
        <v>4133.64165</v>
      </c>
    </row>
    <row r="368">
      <c r="A368" s="1">
        <v>28.0</v>
      </c>
      <c r="B368" s="2" t="s">
        <v>7</v>
      </c>
      <c r="C368" s="3">
        <v>23.98</v>
      </c>
      <c r="D368" s="4">
        <v>3.0</v>
      </c>
      <c r="E368" s="2" t="s">
        <v>12</v>
      </c>
      <c r="F368" s="2" t="s">
        <v>9</v>
      </c>
      <c r="G368" s="5">
        <v>17663.1442</v>
      </c>
    </row>
    <row r="369">
      <c r="A369" s="1">
        <v>28.0</v>
      </c>
      <c r="B369" s="2" t="s">
        <v>10</v>
      </c>
      <c r="C369" s="3">
        <v>37.62</v>
      </c>
      <c r="D369" s="4">
        <v>1.0</v>
      </c>
      <c r="E369" s="2" t="s">
        <v>8</v>
      </c>
      <c r="F369" s="2" t="s">
        <v>9</v>
      </c>
      <c r="G369" s="5">
        <v>3766.8838</v>
      </c>
    </row>
    <row r="370">
      <c r="A370" s="1">
        <v>28.0</v>
      </c>
      <c r="B370" s="2" t="s">
        <v>10</v>
      </c>
      <c r="C370" s="3">
        <v>28.88</v>
      </c>
      <c r="D370" s="4">
        <v>1.0</v>
      </c>
      <c r="E370" s="2" t="s">
        <v>8</v>
      </c>
      <c r="F370" s="2" t="s">
        <v>11</v>
      </c>
      <c r="G370" s="5">
        <v>4337.7352</v>
      </c>
    </row>
    <row r="371">
      <c r="A371" s="1">
        <v>28.0</v>
      </c>
      <c r="B371" s="2" t="s">
        <v>7</v>
      </c>
      <c r="C371" s="3">
        <v>38.06</v>
      </c>
      <c r="D371" s="4">
        <v>0.0</v>
      </c>
      <c r="E371" s="2" t="s">
        <v>8</v>
      </c>
      <c r="F371" s="2" t="s">
        <v>9</v>
      </c>
      <c r="G371" s="5">
        <v>2689.4954</v>
      </c>
    </row>
    <row r="372">
      <c r="A372" s="1">
        <v>28.0</v>
      </c>
      <c r="B372" s="2" t="s">
        <v>10</v>
      </c>
      <c r="C372" s="3">
        <v>33.4</v>
      </c>
      <c r="D372" s="4">
        <v>0.0</v>
      </c>
      <c r="E372" s="2" t="s">
        <v>8</v>
      </c>
      <c r="F372" s="2" t="s">
        <v>13</v>
      </c>
      <c r="G372" s="5">
        <v>3172.018</v>
      </c>
    </row>
    <row r="373">
      <c r="A373" s="1">
        <v>28.0</v>
      </c>
      <c r="B373" s="2" t="s">
        <v>10</v>
      </c>
      <c r="C373" s="3">
        <v>33.0</v>
      </c>
      <c r="D373" s="4">
        <v>2.0</v>
      </c>
      <c r="E373" s="2" t="s">
        <v>8</v>
      </c>
      <c r="F373" s="2" t="s">
        <v>9</v>
      </c>
      <c r="G373" s="5">
        <v>4349.462</v>
      </c>
    </row>
    <row r="374">
      <c r="A374" s="1">
        <v>28.0</v>
      </c>
      <c r="B374" s="2" t="s">
        <v>10</v>
      </c>
      <c r="C374" s="3">
        <v>27.5</v>
      </c>
      <c r="D374" s="4">
        <v>2.0</v>
      </c>
      <c r="E374" s="2" t="s">
        <v>8</v>
      </c>
      <c r="F374" s="2" t="s">
        <v>13</v>
      </c>
      <c r="G374" s="5">
        <v>20177.67113</v>
      </c>
    </row>
    <row r="375">
      <c r="A375" s="1">
        <v>28.0</v>
      </c>
      <c r="B375" s="2" t="s">
        <v>10</v>
      </c>
      <c r="C375" s="3">
        <v>24.32</v>
      </c>
      <c r="D375" s="4">
        <v>1.0</v>
      </c>
      <c r="E375" s="2" t="s">
        <v>8</v>
      </c>
      <c r="F375" s="2" t="s">
        <v>11</v>
      </c>
      <c r="G375" s="5">
        <v>23288.9284</v>
      </c>
    </row>
    <row r="376">
      <c r="A376" s="1">
        <v>28.0</v>
      </c>
      <c r="B376" s="2" t="s">
        <v>7</v>
      </c>
      <c r="C376" s="3">
        <v>35.435</v>
      </c>
      <c r="D376" s="4">
        <v>0.0</v>
      </c>
      <c r="E376" s="2" t="s">
        <v>8</v>
      </c>
      <c r="F376" s="2" t="s">
        <v>11</v>
      </c>
      <c r="G376" s="5">
        <v>3268.84665</v>
      </c>
    </row>
    <row r="377">
      <c r="A377" s="1">
        <v>28.0</v>
      </c>
      <c r="B377" s="2" t="s">
        <v>7</v>
      </c>
      <c r="C377" s="3">
        <v>23.8</v>
      </c>
      <c r="D377" s="4">
        <v>2.0</v>
      </c>
      <c r="E377" s="2" t="s">
        <v>8</v>
      </c>
      <c r="F377" s="2" t="s">
        <v>13</v>
      </c>
      <c r="G377" s="5">
        <v>3847.674</v>
      </c>
    </row>
    <row r="378">
      <c r="A378" s="1">
        <v>28.0</v>
      </c>
      <c r="B378" s="2" t="s">
        <v>7</v>
      </c>
      <c r="C378" s="3">
        <v>26.98</v>
      </c>
      <c r="D378" s="4">
        <v>2.0</v>
      </c>
      <c r="E378" s="2" t="s">
        <v>8</v>
      </c>
      <c r="F378" s="2" t="s">
        <v>11</v>
      </c>
      <c r="G378" s="5">
        <v>4435.0942</v>
      </c>
    </row>
    <row r="379">
      <c r="A379" s="1">
        <v>28.0</v>
      </c>
      <c r="B379" s="2" t="s">
        <v>7</v>
      </c>
      <c r="C379" s="3">
        <v>30.875</v>
      </c>
      <c r="D379" s="4">
        <v>0.0</v>
      </c>
      <c r="E379" s="2" t="s">
        <v>8</v>
      </c>
      <c r="F379" s="2" t="s">
        <v>14</v>
      </c>
      <c r="G379" s="5">
        <v>3062.50825</v>
      </c>
    </row>
    <row r="380">
      <c r="A380" s="1">
        <v>28.0</v>
      </c>
      <c r="B380" s="2" t="s">
        <v>7</v>
      </c>
      <c r="C380" s="3">
        <v>22.515</v>
      </c>
      <c r="D380" s="4">
        <v>2.0</v>
      </c>
      <c r="E380" s="2" t="s">
        <v>8</v>
      </c>
      <c r="F380" s="2" t="s">
        <v>11</v>
      </c>
      <c r="G380" s="5">
        <v>4428.88785</v>
      </c>
    </row>
    <row r="381">
      <c r="A381" s="1">
        <v>28.0</v>
      </c>
      <c r="B381" s="2" t="s">
        <v>10</v>
      </c>
      <c r="C381" s="3">
        <v>23.845</v>
      </c>
      <c r="D381" s="4">
        <v>2.0</v>
      </c>
      <c r="E381" s="2" t="s">
        <v>8</v>
      </c>
      <c r="F381" s="2" t="s">
        <v>14</v>
      </c>
      <c r="G381" s="5">
        <v>4719.73655</v>
      </c>
    </row>
    <row r="382">
      <c r="A382" s="1">
        <v>28.0</v>
      </c>
      <c r="B382" s="2" t="s">
        <v>7</v>
      </c>
      <c r="C382" s="3">
        <v>29.26</v>
      </c>
      <c r="D382" s="4">
        <v>2.0</v>
      </c>
      <c r="E382" s="2" t="s">
        <v>8</v>
      </c>
      <c r="F382" s="2" t="s">
        <v>11</v>
      </c>
      <c r="G382" s="5">
        <v>4438.2634</v>
      </c>
    </row>
    <row r="383">
      <c r="A383" s="1">
        <v>28.0</v>
      </c>
      <c r="B383" s="2" t="s">
        <v>10</v>
      </c>
      <c r="C383" s="3">
        <v>25.8</v>
      </c>
      <c r="D383" s="4">
        <v>0.0</v>
      </c>
      <c r="E383" s="2" t="s">
        <v>8</v>
      </c>
      <c r="F383" s="2" t="s">
        <v>13</v>
      </c>
      <c r="G383" s="5">
        <v>3161.454</v>
      </c>
    </row>
    <row r="384">
      <c r="A384" s="1">
        <v>28.0</v>
      </c>
      <c r="B384" s="2" t="s">
        <v>7</v>
      </c>
      <c r="C384" s="3">
        <v>31.68</v>
      </c>
      <c r="D384" s="4">
        <v>0.0</v>
      </c>
      <c r="E384" s="2" t="s">
        <v>12</v>
      </c>
      <c r="F384" s="2" t="s">
        <v>9</v>
      </c>
      <c r="G384" s="5">
        <v>34672.1472</v>
      </c>
    </row>
    <row r="385">
      <c r="A385" s="1">
        <v>28.0</v>
      </c>
      <c r="B385" s="2" t="s">
        <v>10</v>
      </c>
      <c r="C385" s="3">
        <v>26.315</v>
      </c>
      <c r="D385" s="4">
        <v>3.0</v>
      </c>
      <c r="E385" s="2" t="s">
        <v>8</v>
      </c>
      <c r="F385" s="2" t="s">
        <v>14</v>
      </c>
      <c r="G385" s="5">
        <v>5312.16985</v>
      </c>
    </row>
    <row r="386">
      <c r="A386" s="1">
        <v>28.0</v>
      </c>
      <c r="B386" s="2" t="s">
        <v>7</v>
      </c>
      <c r="C386" s="3">
        <v>33.82</v>
      </c>
      <c r="D386" s="4">
        <v>0.0</v>
      </c>
      <c r="E386" s="2" t="s">
        <v>8</v>
      </c>
      <c r="F386" s="2" t="s">
        <v>14</v>
      </c>
      <c r="G386" s="5">
        <v>19673.33573</v>
      </c>
    </row>
    <row r="387">
      <c r="A387" s="1">
        <v>28.0</v>
      </c>
      <c r="B387" s="2" t="s">
        <v>10</v>
      </c>
      <c r="C387" s="3">
        <v>33.11</v>
      </c>
      <c r="D387" s="4">
        <v>0.0</v>
      </c>
      <c r="E387" s="2" t="s">
        <v>8</v>
      </c>
      <c r="F387" s="2" t="s">
        <v>9</v>
      </c>
      <c r="G387" s="5">
        <v>3171.6149</v>
      </c>
    </row>
    <row r="388">
      <c r="A388" s="1">
        <v>28.0</v>
      </c>
      <c r="B388" s="2" t="s">
        <v>7</v>
      </c>
      <c r="C388" s="3">
        <v>24.3</v>
      </c>
      <c r="D388" s="4">
        <v>5.0</v>
      </c>
      <c r="E388" s="2" t="s">
        <v>8</v>
      </c>
      <c r="F388" s="2" t="s">
        <v>13</v>
      </c>
      <c r="G388" s="5">
        <v>5615.369</v>
      </c>
    </row>
    <row r="389">
      <c r="A389" s="1">
        <v>28.0</v>
      </c>
      <c r="B389" s="2" t="s">
        <v>7</v>
      </c>
      <c r="C389" s="3">
        <v>37.1</v>
      </c>
      <c r="D389" s="4">
        <v>1.0</v>
      </c>
      <c r="E389" s="2" t="s">
        <v>8</v>
      </c>
      <c r="F389" s="2" t="s">
        <v>13</v>
      </c>
      <c r="G389" s="5">
        <v>3277.161</v>
      </c>
    </row>
    <row r="390">
      <c r="A390" s="1">
        <v>28.0</v>
      </c>
      <c r="B390" s="2" t="s">
        <v>10</v>
      </c>
      <c r="C390" s="3">
        <v>17.29</v>
      </c>
      <c r="D390" s="4">
        <v>0.0</v>
      </c>
      <c r="E390" s="2" t="s">
        <v>8</v>
      </c>
      <c r="F390" s="2" t="s">
        <v>11</v>
      </c>
      <c r="G390" s="5">
        <v>3732.6251</v>
      </c>
    </row>
    <row r="391">
      <c r="A391" s="1">
        <v>28.0</v>
      </c>
      <c r="B391" s="2" t="s">
        <v>10</v>
      </c>
      <c r="C391" s="3">
        <v>26.51</v>
      </c>
      <c r="D391" s="4">
        <v>2.0</v>
      </c>
      <c r="E391" s="2" t="s">
        <v>8</v>
      </c>
      <c r="F391" s="2" t="s">
        <v>9</v>
      </c>
      <c r="G391" s="5">
        <v>4340.4409</v>
      </c>
    </row>
    <row r="392">
      <c r="A392" s="1">
        <v>29.0</v>
      </c>
      <c r="B392" s="2" t="s">
        <v>10</v>
      </c>
      <c r="C392" s="3">
        <v>29.59</v>
      </c>
      <c r="D392" s="4">
        <v>1.0</v>
      </c>
      <c r="E392" s="2" t="s">
        <v>8</v>
      </c>
      <c r="F392" s="2" t="s">
        <v>9</v>
      </c>
      <c r="G392" s="5">
        <v>3947.4131</v>
      </c>
    </row>
    <row r="393">
      <c r="A393" s="1">
        <v>29.0</v>
      </c>
      <c r="B393" s="2" t="s">
        <v>7</v>
      </c>
      <c r="C393" s="3">
        <v>27.94</v>
      </c>
      <c r="D393" s="4">
        <v>0.0</v>
      </c>
      <c r="E393" s="2" t="s">
        <v>8</v>
      </c>
      <c r="F393" s="2" t="s">
        <v>9</v>
      </c>
      <c r="G393" s="5">
        <v>2867.1196</v>
      </c>
    </row>
    <row r="394">
      <c r="A394" s="1">
        <v>29.0</v>
      </c>
      <c r="B394" s="2" t="s">
        <v>10</v>
      </c>
      <c r="C394" s="3">
        <v>27.94</v>
      </c>
      <c r="D394" s="4">
        <v>1.0</v>
      </c>
      <c r="E394" s="2" t="s">
        <v>12</v>
      </c>
      <c r="F394" s="2" t="s">
        <v>9</v>
      </c>
      <c r="G394" s="5">
        <v>19107.7796</v>
      </c>
    </row>
    <row r="395">
      <c r="A395" s="1">
        <v>29.0</v>
      </c>
      <c r="B395" s="2" t="s">
        <v>7</v>
      </c>
      <c r="C395" s="3">
        <v>29.735</v>
      </c>
      <c r="D395" s="4">
        <v>2.0</v>
      </c>
      <c r="E395" s="2" t="s">
        <v>8</v>
      </c>
      <c r="F395" s="2" t="s">
        <v>14</v>
      </c>
      <c r="G395" s="5">
        <v>18157.876</v>
      </c>
    </row>
    <row r="396">
      <c r="A396" s="1">
        <v>29.0</v>
      </c>
      <c r="B396" s="2" t="s">
        <v>10</v>
      </c>
      <c r="C396" s="3">
        <v>38.83</v>
      </c>
      <c r="D396" s="4">
        <v>3.0</v>
      </c>
      <c r="E396" s="2" t="s">
        <v>8</v>
      </c>
      <c r="F396" s="2" t="s">
        <v>9</v>
      </c>
      <c r="G396" s="5">
        <v>5138.2567</v>
      </c>
    </row>
    <row r="397">
      <c r="A397" s="1">
        <v>29.0</v>
      </c>
      <c r="B397" s="2" t="s">
        <v>10</v>
      </c>
      <c r="C397" s="3">
        <v>32.11</v>
      </c>
      <c r="D397" s="4">
        <v>2.0</v>
      </c>
      <c r="E397" s="2" t="s">
        <v>8</v>
      </c>
      <c r="F397" s="2" t="s">
        <v>14</v>
      </c>
      <c r="G397" s="5">
        <v>4922.9159</v>
      </c>
    </row>
    <row r="398">
      <c r="A398" s="1">
        <v>29.0</v>
      </c>
      <c r="B398" s="2" t="s">
        <v>7</v>
      </c>
      <c r="C398" s="3">
        <v>28.975</v>
      </c>
      <c r="D398" s="4">
        <v>1.0</v>
      </c>
      <c r="E398" s="2" t="s">
        <v>8</v>
      </c>
      <c r="F398" s="2" t="s">
        <v>11</v>
      </c>
      <c r="G398" s="5">
        <v>4040.55825</v>
      </c>
    </row>
    <row r="399">
      <c r="A399" s="1">
        <v>29.0</v>
      </c>
      <c r="B399" s="2" t="s">
        <v>7</v>
      </c>
      <c r="C399" s="3">
        <v>29.64</v>
      </c>
      <c r="D399" s="4">
        <v>1.0</v>
      </c>
      <c r="E399" s="2" t="s">
        <v>8</v>
      </c>
      <c r="F399" s="2" t="s">
        <v>11</v>
      </c>
      <c r="G399" s="5">
        <v>20277.80751</v>
      </c>
    </row>
    <row r="400">
      <c r="A400" s="1">
        <v>29.0</v>
      </c>
      <c r="B400" s="2" t="s">
        <v>7</v>
      </c>
      <c r="C400" s="3">
        <v>33.345</v>
      </c>
      <c r="D400" s="4">
        <v>2.0</v>
      </c>
      <c r="E400" s="2" t="s">
        <v>8</v>
      </c>
      <c r="F400" s="2" t="s">
        <v>14</v>
      </c>
      <c r="G400" s="5">
        <v>19442.3535</v>
      </c>
    </row>
    <row r="401">
      <c r="A401" s="1">
        <v>29.0</v>
      </c>
      <c r="B401" s="2" t="s">
        <v>7</v>
      </c>
      <c r="C401" s="3">
        <v>27.2</v>
      </c>
      <c r="D401" s="4">
        <v>0.0</v>
      </c>
      <c r="E401" s="2" t="s">
        <v>8</v>
      </c>
      <c r="F401" s="2" t="s">
        <v>13</v>
      </c>
      <c r="G401" s="5">
        <v>2866.091</v>
      </c>
    </row>
    <row r="402">
      <c r="A402" s="1">
        <v>29.0</v>
      </c>
      <c r="B402" s="2" t="s">
        <v>10</v>
      </c>
      <c r="C402" s="3">
        <v>20.235</v>
      </c>
      <c r="D402" s="4">
        <v>2.0</v>
      </c>
      <c r="E402" s="2" t="s">
        <v>8</v>
      </c>
      <c r="F402" s="2" t="s">
        <v>14</v>
      </c>
      <c r="G402" s="5">
        <v>4906.40965</v>
      </c>
    </row>
    <row r="403">
      <c r="A403" s="1">
        <v>29.0</v>
      </c>
      <c r="B403" s="2" t="s">
        <v>7</v>
      </c>
      <c r="C403" s="3">
        <v>34.4</v>
      </c>
      <c r="D403" s="4">
        <v>0.0</v>
      </c>
      <c r="E403" s="2" t="s">
        <v>12</v>
      </c>
      <c r="F403" s="2" t="s">
        <v>13</v>
      </c>
      <c r="G403" s="5">
        <v>36197.699</v>
      </c>
    </row>
    <row r="404">
      <c r="A404" s="1">
        <v>29.0</v>
      </c>
      <c r="B404" s="2" t="s">
        <v>10</v>
      </c>
      <c r="C404" s="3">
        <v>26.03</v>
      </c>
      <c r="D404" s="4">
        <v>0.0</v>
      </c>
      <c r="E404" s="2" t="s">
        <v>8</v>
      </c>
      <c r="F404" s="2" t="s">
        <v>14</v>
      </c>
      <c r="G404" s="5">
        <v>3736.4647</v>
      </c>
    </row>
    <row r="405">
      <c r="A405" s="1">
        <v>29.0</v>
      </c>
      <c r="B405" s="2" t="s">
        <v>10</v>
      </c>
      <c r="C405" s="3">
        <v>35.53</v>
      </c>
      <c r="D405" s="4">
        <v>0.0</v>
      </c>
      <c r="E405" s="2" t="s">
        <v>8</v>
      </c>
      <c r="F405" s="2" t="s">
        <v>9</v>
      </c>
      <c r="G405" s="5">
        <v>3366.6697</v>
      </c>
    </row>
    <row r="406">
      <c r="A406" s="1">
        <v>29.0</v>
      </c>
      <c r="B406" s="2" t="s">
        <v>10</v>
      </c>
      <c r="C406" s="3">
        <v>31.16</v>
      </c>
      <c r="D406" s="4">
        <v>0.0</v>
      </c>
      <c r="E406" s="2" t="s">
        <v>8</v>
      </c>
      <c r="F406" s="2" t="s">
        <v>11</v>
      </c>
      <c r="G406" s="5">
        <v>3943.5954</v>
      </c>
    </row>
    <row r="407">
      <c r="A407" s="1">
        <v>29.0</v>
      </c>
      <c r="B407" s="2" t="s">
        <v>10</v>
      </c>
      <c r="C407" s="3">
        <v>21.755</v>
      </c>
      <c r="D407" s="4">
        <v>1.0</v>
      </c>
      <c r="E407" s="2" t="s">
        <v>12</v>
      </c>
      <c r="F407" s="2" t="s">
        <v>11</v>
      </c>
      <c r="G407" s="5">
        <v>16657.71745</v>
      </c>
    </row>
    <row r="408">
      <c r="A408" s="1">
        <v>29.0</v>
      </c>
      <c r="B408" s="2" t="s">
        <v>7</v>
      </c>
      <c r="C408" s="3">
        <v>35.5</v>
      </c>
      <c r="D408" s="4">
        <v>2.0</v>
      </c>
      <c r="E408" s="2" t="s">
        <v>12</v>
      </c>
      <c r="F408" s="2" t="s">
        <v>13</v>
      </c>
      <c r="G408" s="5">
        <v>44585.45587</v>
      </c>
    </row>
    <row r="409">
      <c r="A409" s="1">
        <v>29.0</v>
      </c>
      <c r="B409" s="2" t="s">
        <v>7</v>
      </c>
      <c r="C409" s="3">
        <v>22.515</v>
      </c>
      <c r="D409" s="4">
        <v>3.0</v>
      </c>
      <c r="E409" s="2" t="s">
        <v>8</v>
      </c>
      <c r="F409" s="2" t="s">
        <v>11</v>
      </c>
      <c r="G409" s="5">
        <v>5209.57885</v>
      </c>
    </row>
    <row r="410">
      <c r="A410" s="1">
        <v>29.0</v>
      </c>
      <c r="B410" s="2" t="s">
        <v>10</v>
      </c>
      <c r="C410" s="3">
        <v>25.9</v>
      </c>
      <c r="D410" s="4">
        <v>0.0</v>
      </c>
      <c r="E410" s="2" t="s">
        <v>8</v>
      </c>
      <c r="F410" s="2" t="s">
        <v>13</v>
      </c>
      <c r="G410" s="5">
        <v>3353.284</v>
      </c>
    </row>
    <row r="411">
      <c r="A411" s="1">
        <v>29.0</v>
      </c>
      <c r="B411" s="2" t="s">
        <v>7</v>
      </c>
      <c r="C411" s="3">
        <v>22.895</v>
      </c>
      <c r="D411" s="4">
        <v>0.0</v>
      </c>
      <c r="E411" s="2" t="s">
        <v>12</v>
      </c>
      <c r="F411" s="2" t="s">
        <v>11</v>
      </c>
      <c r="G411" s="5">
        <v>16138.76205</v>
      </c>
    </row>
    <row r="412">
      <c r="A412" s="1">
        <v>29.0</v>
      </c>
      <c r="B412" s="2" t="s">
        <v>7</v>
      </c>
      <c r="C412" s="3">
        <v>31.73</v>
      </c>
      <c r="D412" s="4">
        <v>2.0</v>
      </c>
      <c r="E412" s="2" t="s">
        <v>8</v>
      </c>
      <c r="F412" s="2" t="s">
        <v>14</v>
      </c>
      <c r="G412" s="5">
        <v>4433.3877</v>
      </c>
    </row>
    <row r="413">
      <c r="A413" s="1">
        <v>29.0</v>
      </c>
      <c r="B413" s="2" t="s">
        <v>10</v>
      </c>
      <c r="C413" s="3">
        <v>25.6</v>
      </c>
      <c r="D413" s="4">
        <v>4.0</v>
      </c>
      <c r="E413" s="2" t="s">
        <v>8</v>
      </c>
      <c r="F413" s="2" t="s">
        <v>13</v>
      </c>
      <c r="G413" s="5">
        <v>5708.867</v>
      </c>
    </row>
    <row r="414">
      <c r="A414" s="1">
        <v>29.0</v>
      </c>
      <c r="B414" s="2" t="s">
        <v>7</v>
      </c>
      <c r="C414" s="3">
        <v>38.94</v>
      </c>
      <c r="D414" s="4">
        <v>1.0</v>
      </c>
      <c r="E414" s="2" t="s">
        <v>8</v>
      </c>
      <c r="F414" s="2" t="s">
        <v>9</v>
      </c>
      <c r="G414" s="5">
        <v>3471.4096</v>
      </c>
    </row>
    <row r="415">
      <c r="A415" s="1">
        <v>29.0</v>
      </c>
      <c r="B415" s="2" t="s">
        <v>10</v>
      </c>
      <c r="C415" s="3">
        <v>24.6</v>
      </c>
      <c r="D415" s="4">
        <v>2.0</v>
      </c>
      <c r="E415" s="2" t="s">
        <v>8</v>
      </c>
      <c r="F415" s="2" t="s">
        <v>13</v>
      </c>
      <c r="G415" s="5">
        <v>4529.477</v>
      </c>
    </row>
    <row r="416">
      <c r="A416" s="1">
        <v>29.0</v>
      </c>
      <c r="B416" s="2" t="s">
        <v>7</v>
      </c>
      <c r="C416" s="3">
        <v>32.11</v>
      </c>
      <c r="D416" s="4">
        <v>2.0</v>
      </c>
      <c r="E416" s="2" t="s">
        <v>8</v>
      </c>
      <c r="F416" s="2" t="s">
        <v>14</v>
      </c>
      <c r="G416" s="5">
        <v>4433.9159</v>
      </c>
    </row>
    <row r="417">
      <c r="A417" s="1">
        <v>29.0</v>
      </c>
      <c r="B417" s="2" t="s">
        <v>7</v>
      </c>
      <c r="C417" s="3">
        <v>37.29</v>
      </c>
      <c r="D417" s="4">
        <v>2.0</v>
      </c>
      <c r="E417" s="2" t="s">
        <v>8</v>
      </c>
      <c r="F417" s="2" t="s">
        <v>9</v>
      </c>
      <c r="G417" s="5">
        <v>4058.1161</v>
      </c>
    </row>
    <row r="418">
      <c r="A418" s="1">
        <v>29.0</v>
      </c>
      <c r="B418" s="2" t="s">
        <v>10</v>
      </c>
      <c r="C418" s="3">
        <v>21.85</v>
      </c>
      <c r="D418" s="4">
        <v>0.0</v>
      </c>
      <c r="E418" s="2" t="s">
        <v>12</v>
      </c>
      <c r="F418" s="2" t="s">
        <v>11</v>
      </c>
      <c r="G418" s="5">
        <v>16115.3045</v>
      </c>
    </row>
    <row r="419">
      <c r="A419" s="1">
        <v>30.0</v>
      </c>
      <c r="B419" s="2" t="s">
        <v>7</v>
      </c>
      <c r="C419" s="3">
        <v>35.3</v>
      </c>
      <c r="D419" s="4">
        <v>0.0</v>
      </c>
      <c r="E419" s="2" t="s">
        <v>12</v>
      </c>
      <c r="F419" s="2" t="s">
        <v>13</v>
      </c>
      <c r="G419" s="5">
        <v>36837.467</v>
      </c>
    </row>
    <row r="420">
      <c r="A420" s="1">
        <v>30.0</v>
      </c>
      <c r="B420" s="2" t="s">
        <v>10</v>
      </c>
      <c r="C420" s="3">
        <v>32.4</v>
      </c>
      <c r="D420" s="4">
        <v>1.0</v>
      </c>
      <c r="E420" s="2" t="s">
        <v>8</v>
      </c>
      <c r="F420" s="2" t="s">
        <v>13</v>
      </c>
      <c r="G420" s="5">
        <v>4149.736</v>
      </c>
    </row>
    <row r="421">
      <c r="A421" s="1">
        <v>30.0</v>
      </c>
      <c r="B421" s="2" t="s">
        <v>7</v>
      </c>
      <c r="C421" s="3">
        <v>25.46</v>
      </c>
      <c r="D421" s="4">
        <v>0.0</v>
      </c>
      <c r="E421" s="2" t="s">
        <v>8</v>
      </c>
      <c r="F421" s="2" t="s">
        <v>11</v>
      </c>
      <c r="G421" s="5">
        <v>3645.0894</v>
      </c>
    </row>
    <row r="422">
      <c r="A422" s="1">
        <v>30.0</v>
      </c>
      <c r="B422" s="2" t="s">
        <v>7</v>
      </c>
      <c r="C422" s="3">
        <v>28.69</v>
      </c>
      <c r="D422" s="4">
        <v>3.0</v>
      </c>
      <c r="E422" s="2" t="s">
        <v>12</v>
      </c>
      <c r="F422" s="2" t="s">
        <v>14</v>
      </c>
      <c r="G422" s="5">
        <v>20745.9891</v>
      </c>
    </row>
    <row r="423">
      <c r="A423" s="1">
        <v>30.0</v>
      </c>
      <c r="B423" s="2" t="s">
        <v>7</v>
      </c>
      <c r="C423" s="3">
        <v>35.53</v>
      </c>
      <c r="D423" s="4">
        <v>0.0</v>
      </c>
      <c r="E423" s="2" t="s">
        <v>12</v>
      </c>
      <c r="F423" s="2" t="s">
        <v>9</v>
      </c>
      <c r="G423" s="5">
        <v>36950.2567</v>
      </c>
    </row>
    <row r="424">
      <c r="A424" s="1">
        <v>30.0</v>
      </c>
      <c r="B424" s="2" t="s">
        <v>10</v>
      </c>
      <c r="C424" s="3">
        <v>30.9</v>
      </c>
      <c r="D424" s="4">
        <v>3.0</v>
      </c>
      <c r="E424" s="2" t="s">
        <v>8</v>
      </c>
      <c r="F424" s="2" t="s">
        <v>13</v>
      </c>
      <c r="G424" s="5">
        <v>5325.651</v>
      </c>
    </row>
    <row r="425">
      <c r="A425" s="1">
        <v>30.0</v>
      </c>
      <c r="B425" s="2" t="s">
        <v>7</v>
      </c>
      <c r="C425" s="3">
        <v>27.645</v>
      </c>
      <c r="D425" s="4">
        <v>1.0</v>
      </c>
      <c r="E425" s="2" t="s">
        <v>8</v>
      </c>
      <c r="F425" s="2" t="s">
        <v>11</v>
      </c>
      <c r="G425" s="5">
        <v>4237.12655</v>
      </c>
    </row>
    <row r="426">
      <c r="A426" s="1">
        <v>30.0</v>
      </c>
      <c r="B426" s="2" t="s">
        <v>10</v>
      </c>
      <c r="C426" s="3">
        <v>33.33</v>
      </c>
      <c r="D426" s="4">
        <v>1.0</v>
      </c>
      <c r="E426" s="2" t="s">
        <v>8</v>
      </c>
      <c r="F426" s="2" t="s">
        <v>9</v>
      </c>
      <c r="G426" s="5">
        <v>4151.0287</v>
      </c>
    </row>
    <row r="427">
      <c r="A427" s="1">
        <v>30.0</v>
      </c>
      <c r="B427" s="2" t="s">
        <v>10</v>
      </c>
      <c r="C427" s="3">
        <v>27.7</v>
      </c>
      <c r="D427" s="4">
        <v>0.0</v>
      </c>
      <c r="E427" s="2" t="s">
        <v>8</v>
      </c>
      <c r="F427" s="2" t="s">
        <v>13</v>
      </c>
      <c r="G427" s="5">
        <v>3554.203</v>
      </c>
    </row>
    <row r="428">
      <c r="A428" s="1">
        <v>30.0</v>
      </c>
      <c r="B428" s="2" t="s">
        <v>7</v>
      </c>
      <c r="C428" s="3">
        <v>24.13</v>
      </c>
      <c r="D428" s="4">
        <v>1.0</v>
      </c>
      <c r="E428" s="2" t="s">
        <v>8</v>
      </c>
      <c r="F428" s="2" t="s">
        <v>14</v>
      </c>
      <c r="G428" s="5">
        <v>4032.2407</v>
      </c>
    </row>
    <row r="429">
      <c r="A429" s="1">
        <v>30.0</v>
      </c>
      <c r="B429" s="2" t="s">
        <v>10</v>
      </c>
      <c r="C429" s="3">
        <v>28.38</v>
      </c>
      <c r="D429" s="4">
        <v>1.0</v>
      </c>
      <c r="E429" s="2" t="s">
        <v>12</v>
      </c>
      <c r="F429" s="2" t="s">
        <v>9</v>
      </c>
      <c r="G429" s="5">
        <v>19521.9682</v>
      </c>
    </row>
    <row r="430">
      <c r="A430" s="1">
        <v>30.0</v>
      </c>
      <c r="B430" s="2" t="s">
        <v>10</v>
      </c>
      <c r="C430" s="3">
        <v>43.12</v>
      </c>
      <c r="D430" s="4">
        <v>2.0</v>
      </c>
      <c r="E430" s="2" t="s">
        <v>8</v>
      </c>
      <c r="F430" s="2" t="s">
        <v>9</v>
      </c>
      <c r="G430" s="5">
        <v>4753.6368</v>
      </c>
    </row>
    <row r="431">
      <c r="A431" s="1">
        <v>30.0</v>
      </c>
      <c r="B431" s="2" t="s">
        <v>7</v>
      </c>
      <c r="C431" s="3">
        <v>37.8</v>
      </c>
      <c r="D431" s="4">
        <v>2.0</v>
      </c>
      <c r="E431" s="2" t="s">
        <v>12</v>
      </c>
      <c r="F431" s="2" t="s">
        <v>13</v>
      </c>
      <c r="G431" s="5">
        <v>39241.442</v>
      </c>
    </row>
    <row r="432">
      <c r="A432" s="1">
        <v>30.0</v>
      </c>
      <c r="B432" s="2" t="s">
        <v>7</v>
      </c>
      <c r="C432" s="3">
        <v>31.4</v>
      </c>
      <c r="D432" s="4">
        <v>1.0</v>
      </c>
      <c r="E432" s="2" t="s">
        <v>8</v>
      </c>
      <c r="F432" s="2" t="s">
        <v>13</v>
      </c>
      <c r="G432" s="5">
        <v>3659.346</v>
      </c>
    </row>
    <row r="433">
      <c r="A433" s="1">
        <v>30.0</v>
      </c>
      <c r="B433" s="2" t="s">
        <v>7</v>
      </c>
      <c r="C433" s="3">
        <v>31.57</v>
      </c>
      <c r="D433" s="4">
        <v>3.0</v>
      </c>
      <c r="E433" s="2" t="s">
        <v>8</v>
      </c>
      <c r="F433" s="2" t="s">
        <v>9</v>
      </c>
      <c r="G433" s="5">
        <v>4837.5823</v>
      </c>
    </row>
    <row r="434">
      <c r="A434" s="1">
        <v>30.0</v>
      </c>
      <c r="B434" s="2" t="s">
        <v>10</v>
      </c>
      <c r="C434" s="3">
        <v>39.05</v>
      </c>
      <c r="D434" s="4">
        <v>3.0</v>
      </c>
      <c r="E434" s="2" t="s">
        <v>12</v>
      </c>
      <c r="F434" s="2" t="s">
        <v>9</v>
      </c>
      <c r="G434" s="5">
        <v>40932.4295</v>
      </c>
    </row>
    <row r="435">
      <c r="A435" s="1">
        <v>30.0</v>
      </c>
      <c r="B435" s="2" t="s">
        <v>7</v>
      </c>
      <c r="C435" s="3">
        <v>37.43</v>
      </c>
      <c r="D435" s="4">
        <v>3.0</v>
      </c>
      <c r="E435" s="2" t="s">
        <v>8</v>
      </c>
      <c r="F435" s="2" t="s">
        <v>11</v>
      </c>
      <c r="G435" s="5">
        <v>5428.7277</v>
      </c>
    </row>
    <row r="436">
      <c r="A436" s="1">
        <v>30.0</v>
      </c>
      <c r="B436" s="2" t="s">
        <v>7</v>
      </c>
      <c r="C436" s="3">
        <v>24.4</v>
      </c>
      <c r="D436" s="4">
        <v>3.0</v>
      </c>
      <c r="E436" s="2" t="s">
        <v>12</v>
      </c>
      <c r="F436" s="2" t="s">
        <v>13</v>
      </c>
      <c r="G436" s="5">
        <v>18259.216</v>
      </c>
    </row>
    <row r="437">
      <c r="A437" s="1">
        <v>30.0</v>
      </c>
      <c r="B437" s="2" t="s">
        <v>7</v>
      </c>
      <c r="C437" s="3">
        <v>44.22</v>
      </c>
      <c r="D437" s="4">
        <v>2.0</v>
      </c>
      <c r="E437" s="2" t="s">
        <v>8</v>
      </c>
      <c r="F437" s="2" t="s">
        <v>9</v>
      </c>
      <c r="G437" s="5">
        <v>4266.1658</v>
      </c>
    </row>
    <row r="438">
      <c r="A438" s="1">
        <v>30.0</v>
      </c>
      <c r="B438" s="2" t="s">
        <v>10</v>
      </c>
      <c r="C438" s="3">
        <v>22.895</v>
      </c>
      <c r="D438" s="4">
        <v>1.0</v>
      </c>
      <c r="E438" s="2" t="s">
        <v>8</v>
      </c>
      <c r="F438" s="2" t="s">
        <v>11</v>
      </c>
      <c r="G438" s="5">
        <v>4719.52405</v>
      </c>
    </row>
    <row r="439">
      <c r="A439" s="1">
        <v>30.0</v>
      </c>
      <c r="B439" s="2" t="s">
        <v>10</v>
      </c>
      <c r="C439" s="3">
        <v>28.405</v>
      </c>
      <c r="D439" s="4">
        <v>1.0</v>
      </c>
      <c r="E439" s="2" t="s">
        <v>8</v>
      </c>
      <c r="F439" s="2" t="s">
        <v>14</v>
      </c>
      <c r="G439" s="5">
        <v>4527.18295</v>
      </c>
    </row>
    <row r="440">
      <c r="A440" s="1">
        <v>30.0</v>
      </c>
      <c r="B440" s="2" t="s">
        <v>7</v>
      </c>
      <c r="C440" s="3">
        <v>22.99</v>
      </c>
      <c r="D440" s="4">
        <v>2.0</v>
      </c>
      <c r="E440" s="2" t="s">
        <v>12</v>
      </c>
      <c r="F440" s="2" t="s">
        <v>14</v>
      </c>
      <c r="G440" s="5">
        <v>17361.7661</v>
      </c>
    </row>
    <row r="441">
      <c r="A441" s="1">
        <v>30.0</v>
      </c>
      <c r="B441" s="2" t="s">
        <v>10</v>
      </c>
      <c r="C441" s="3">
        <v>27.93</v>
      </c>
      <c r="D441" s="4">
        <v>0.0</v>
      </c>
      <c r="E441" s="2" t="s">
        <v>8</v>
      </c>
      <c r="F441" s="2" t="s">
        <v>11</v>
      </c>
      <c r="G441" s="5">
        <v>4137.5227</v>
      </c>
    </row>
    <row r="442">
      <c r="A442" s="1">
        <v>30.0</v>
      </c>
      <c r="B442" s="2" t="s">
        <v>10</v>
      </c>
      <c r="C442" s="3">
        <v>19.95</v>
      </c>
      <c r="D442" s="4">
        <v>3.0</v>
      </c>
      <c r="E442" s="2" t="s">
        <v>8</v>
      </c>
      <c r="F442" s="2" t="s">
        <v>14</v>
      </c>
      <c r="G442" s="5">
        <v>5693.4305</v>
      </c>
    </row>
    <row r="443">
      <c r="A443" s="1">
        <v>30.0</v>
      </c>
      <c r="B443" s="2" t="s">
        <v>7</v>
      </c>
      <c r="C443" s="3">
        <v>38.83</v>
      </c>
      <c r="D443" s="4">
        <v>1.0</v>
      </c>
      <c r="E443" s="2" t="s">
        <v>8</v>
      </c>
      <c r="F443" s="2" t="s">
        <v>9</v>
      </c>
      <c r="G443" s="5">
        <v>18963.17192</v>
      </c>
    </row>
    <row r="444">
      <c r="A444" s="1">
        <v>30.0</v>
      </c>
      <c r="B444" s="2" t="s">
        <v>10</v>
      </c>
      <c r="C444" s="3">
        <v>21.945</v>
      </c>
      <c r="D444" s="4">
        <v>1.0</v>
      </c>
      <c r="E444" s="2" t="s">
        <v>8</v>
      </c>
      <c r="F444" s="2" t="s">
        <v>11</v>
      </c>
      <c r="G444" s="5">
        <v>4718.20355</v>
      </c>
    </row>
    <row r="445">
      <c r="A445" s="1">
        <v>30.0</v>
      </c>
      <c r="B445" s="2" t="s">
        <v>10</v>
      </c>
      <c r="C445" s="3">
        <v>23.655</v>
      </c>
      <c r="D445" s="4">
        <v>3.0</v>
      </c>
      <c r="E445" s="2" t="s">
        <v>12</v>
      </c>
      <c r="F445" s="2" t="s">
        <v>14</v>
      </c>
      <c r="G445" s="5">
        <v>18765.87545</v>
      </c>
    </row>
    <row r="446">
      <c r="A446" s="1">
        <v>31.0</v>
      </c>
      <c r="B446" s="2" t="s">
        <v>10</v>
      </c>
      <c r="C446" s="3">
        <v>25.74</v>
      </c>
      <c r="D446" s="4">
        <v>0.0</v>
      </c>
      <c r="E446" s="2" t="s">
        <v>8</v>
      </c>
      <c r="F446" s="2" t="s">
        <v>9</v>
      </c>
      <c r="G446" s="5">
        <v>3756.6216</v>
      </c>
    </row>
    <row r="447">
      <c r="A447" s="1">
        <v>31.0</v>
      </c>
      <c r="B447" s="2" t="s">
        <v>7</v>
      </c>
      <c r="C447" s="3">
        <v>36.3</v>
      </c>
      <c r="D447" s="4">
        <v>2.0</v>
      </c>
      <c r="E447" s="2" t="s">
        <v>12</v>
      </c>
      <c r="F447" s="2" t="s">
        <v>13</v>
      </c>
      <c r="G447" s="5">
        <v>38711.0</v>
      </c>
    </row>
    <row r="448">
      <c r="A448" s="1">
        <v>31.0</v>
      </c>
      <c r="B448" s="2" t="s">
        <v>10</v>
      </c>
      <c r="C448" s="3">
        <v>36.63</v>
      </c>
      <c r="D448" s="4">
        <v>2.0</v>
      </c>
      <c r="E448" s="2" t="s">
        <v>8</v>
      </c>
      <c r="F448" s="2" t="s">
        <v>9</v>
      </c>
      <c r="G448" s="5">
        <v>4949.7587</v>
      </c>
    </row>
    <row r="449">
      <c r="A449" s="1">
        <v>31.0</v>
      </c>
      <c r="B449" s="2" t="s">
        <v>7</v>
      </c>
      <c r="C449" s="3">
        <v>28.5</v>
      </c>
      <c r="D449" s="4">
        <v>5.0</v>
      </c>
      <c r="E449" s="2" t="s">
        <v>8</v>
      </c>
      <c r="F449" s="2" t="s">
        <v>11</v>
      </c>
      <c r="G449" s="5">
        <v>6799.458</v>
      </c>
    </row>
    <row r="450">
      <c r="A450" s="1">
        <v>31.0</v>
      </c>
      <c r="B450" s="2" t="s">
        <v>7</v>
      </c>
      <c r="C450" s="3">
        <v>26.885</v>
      </c>
      <c r="D450" s="4">
        <v>1.0</v>
      </c>
      <c r="E450" s="2" t="s">
        <v>8</v>
      </c>
      <c r="F450" s="2" t="s">
        <v>11</v>
      </c>
      <c r="G450" s="5">
        <v>4441.21315</v>
      </c>
    </row>
    <row r="451">
      <c r="A451" s="1">
        <v>31.0</v>
      </c>
      <c r="B451" s="2" t="s">
        <v>7</v>
      </c>
      <c r="C451" s="3">
        <v>38.39</v>
      </c>
      <c r="D451" s="4">
        <v>2.0</v>
      </c>
      <c r="E451" s="2" t="s">
        <v>8</v>
      </c>
      <c r="F451" s="2" t="s">
        <v>9</v>
      </c>
      <c r="G451" s="5">
        <v>4463.2051</v>
      </c>
    </row>
    <row r="452">
      <c r="A452" s="1">
        <v>31.0</v>
      </c>
      <c r="B452" s="2" t="s">
        <v>7</v>
      </c>
      <c r="C452" s="3">
        <v>34.39</v>
      </c>
      <c r="D452" s="4">
        <v>3.0</v>
      </c>
      <c r="E452" s="2" t="s">
        <v>12</v>
      </c>
      <c r="F452" s="2" t="s">
        <v>14</v>
      </c>
      <c r="G452" s="5">
        <v>38746.3551</v>
      </c>
    </row>
    <row r="453">
      <c r="A453" s="1">
        <v>31.0</v>
      </c>
      <c r="B453" s="2" t="s">
        <v>7</v>
      </c>
      <c r="C453" s="3">
        <v>20.4</v>
      </c>
      <c r="D453" s="4">
        <v>0.0</v>
      </c>
      <c r="E453" s="2" t="s">
        <v>8</v>
      </c>
      <c r="F453" s="2" t="s">
        <v>13</v>
      </c>
      <c r="G453" s="5">
        <v>3260.199</v>
      </c>
    </row>
    <row r="454">
      <c r="A454" s="1">
        <v>31.0</v>
      </c>
      <c r="B454" s="2" t="s">
        <v>7</v>
      </c>
      <c r="C454" s="3">
        <v>28.595</v>
      </c>
      <c r="D454" s="4">
        <v>1.0</v>
      </c>
      <c r="E454" s="2" t="s">
        <v>8</v>
      </c>
      <c r="F454" s="2" t="s">
        <v>14</v>
      </c>
      <c r="G454" s="5">
        <v>4243.59005</v>
      </c>
    </row>
    <row r="455">
      <c r="A455" s="1">
        <v>31.0</v>
      </c>
      <c r="B455" s="2" t="s">
        <v>10</v>
      </c>
      <c r="C455" s="3">
        <v>32.68</v>
      </c>
      <c r="D455" s="4">
        <v>1.0</v>
      </c>
      <c r="E455" s="2" t="s">
        <v>8</v>
      </c>
      <c r="F455" s="2" t="s">
        <v>14</v>
      </c>
      <c r="G455" s="5">
        <v>4738.2682</v>
      </c>
    </row>
    <row r="456">
      <c r="A456" s="1">
        <v>31.0</v>
      </c>
      <c r="B456" s="2" t="s">
        <v>10</v>
      </c>
      <c r="C456" s="3">
        <v>31.065</v>
      </c>
      <c r="D456" s="4">
        <v>0.0</v>
      </c>
      <c r="E456" s="2" t="s">
        <v>8</v>
      </c>
      <c r="F456" s="2" t="s">
        <v>11</v>
      </c>
      <c r="G456" s="5">
        <v>4347.02335</v>
      </c>
    </row>
    <row r="457">
      <c r="A457" s="1">
        <v>31.0</v>
      </c>
      <c r="B457" s="2" t="s">
        <v>10</v>
      </c>
      <c r="C457" s="3">
        <v>23.6</v>
      </c>
      <c r="D457" s="4">
        <v>2.0</v>
      </c>
      <c r="E457" s="2" t="s">
        <v>8</v>
      </c>
      <c r="F457" s="2" t="s">
        <v>13</v>
      </c>
      <c r="G457" s="5">
        <v>4931.647</v>
      </c>
    </row>
    <row r="458">
      <c r="A458" s="1">
        <v>31.0</v>
      </c>
      <c r="B458" s="2" t="s">
        <v>7</v>
      </c>
      <c r="C458" s="3">
        <v>30.875</v>
      </c>
      <c r="D458" s="4">
        <v>0.0</v>
      </c>
      <c r="E458" s="2" t="s">
        <v>8</v>
      </c>
      <c r="F458" s="2" t="s">
        <v>11</v>
      </c>
      <c r="G458" s="5">
        <v>3857.75925</v>
      </c>
    </row>
    <row r="459">
      <c r="A459" s="1">
        <v>31.0</v>
      </c>
      <c r="B459" s="2" t="s">
        <v>10</v>
      </c>
      <c r="C459" s="3">
        <v>29.1</v>
      </c>
      <c r="D459" s="4">
        <v>0.0</v>
      </c>
      <c r="E459" s="2" t="s">
        <v>8</v>
      </c>
      <c r="F459" s="2" t="s">
        <v>13</v>
      </c>
      <c r="G459" s="5">
        <v>3761.292</v>
      </c>
    </row>
    <row r="460">
      <c r="A460" s="1">
        <v>31.0</v>
      </c>
      <c r="B460" s="2" t="s">
        <v>10</v>
      </c>
      <c r="C460" s="3">
        <v>38.095</v>
      </c>
      <c r="D460" s="4">
        <v>1.0</v>
      </c>
      <c r="E460" s="2" t="s">
        <v>12</v>
      </c>
      <c r="F460" s="2" t="s">
        <v>11</v>
      </c>
      <c r="G460" s="5">
        <v>58571.07448</v>
      </c>
    </row>
    <row r="461">
      <c r="A461" s="1">
        <v>31.0</v>
      </c>
      <c r="B461" s="2" t="s">
        <v>10</v>
      </c>
      <c r="C461" s="3">
        <v>30.495</v>
      </c>
      <c r="D461" s="4">
        <v>3.0</v>
      </c>
      <c r="E461" s="2" t="s">
        <v>8</v>
      </c>
      <c r="F461" s="2" t="s">
        <v>11</v>
      </c>
      <c r="G461" s="5">
        <v>6113.23105</v>
      </c>
    </row>
    <row r="462">
      <c r="A462" s="1">
        <v>31.0</v>
      </c>
      <c r="B462" s="2" t="s">
        <v>10</v>
      </c>
      <c r="C462" s="3">
        <v>26.62</v>
      </c>
      <c r="D462" s="4">
        <v>0.0</v>
      </c>
      <c r="E462" s="2" t="s">
        <v>8</v>
      </c>
      <c r="F462" s="2" t="s">
        <v>9</v>
      </c>
      <c r="G462" s="5">
        <v>3757.8448</v>
      </c>
    </row>
    <row r="463">
      <c r="A463" s="1">
        <v>31.0</v>
      </c>
      <c r="B463" s="2" t="s">
        <v>7</v>
      </c>
      <c r="C463" s="3">
        <v>27.645</v>
      </c>
      <c r="D463" s="4">
        <v>2.0</v>
      </c>
      <c r="E463" s="2" t="s">
        <v>8</v>
      </c>
      <c r="F463" s="2" t="s">
        <v>11</v>
      </c>
      <c r="G463" s="5">
        <v>5031.26955</v>
      </c>
    </row>
    <row r="464">
      <c r="A464" s="1">
        <v>31.0</v>
      </c>
      <c r="B464" s="2" t="s">
        <v>10</v>
      </c>
      <c r="C464" s="3">
        <v>29.26</v>
      </c>
      <c r="D464" s="4">
        <v>1.0</v>
      </c>
      <c r="E464" s="2" t="s">
        <v>8</v>
      </c>
      <c r="F464" s="2" t="s">
        <v>9</v>
      </c>
      <c r="G464" s="5">
        <v>4350.5144</v>
      </c>
    </row>
    <row r="465">
      <c r="A465" s="1">
        <v>31.0</v>
      </c>
      <c r="B465" s="2" t="s">
        <v>7</v>
      </c>
      <c r="C465" s="3">
        <v>39.49</v>
      </c>
      <c r="D465" s="4">
        <v>1.0</v>
      </c>
      <c r="E465" s="2" t="s">
        <v>8</v>
      </c>
      <c r="F465" s="2" t="s">
        <v>9</v>
      </c>
      <c r="G465" s="5">
        <v>3875.7341</v>
      </c>
    </row>
    <row r="466">
      <c r="A466" s="1">
        <v>31.0</v>
      </c>
      <c r="B466" s="2" t="s">
        <v>7</v>
      </c>
      <c r="C466" s="3">
        <v>25.9</v>
      </c>
      <c r="D466" s="4">
        <v>3.0</v>
      </c>
      <c r="E466" s="2" t="s">
        <v>12</v>
      </c>
      <c r="F466" s="2" t="s">
        <v>13</v>
      </c>
      <c r="G466" s="5">
        <v>19199.944</v>
      </c>
    </row>
    <row r="467">
      <c r="A467" s="1">
        <v>31.0</v>
      </c>
      <c r="B467" s="2" t="s">
        <v>7</v>
      </c>
      <c r="C467" s="3">
        <v>29.81</v>
      </c>
      <c r="D467" s="4">
        <v>0.0</v>
      </c>
      <c r="E467" s="2" t="s">
        <v>12</v>
      </c>
      <c r="F467" s="2" t="s">
        <v>9</v>
      </c>
      <c r="G467" s="5">
        <v>19350.3689</v>
      </c>
    </row>
    <row r="468">
      <c r="A468" s="1">
        <v>31.0</v>
      </c>
      <c r="B468" s="2" t="s">
        <v>10</v>
      </c>
      <c r="C468" s="3">
        <v>32.775</v>
      </c>
      <c r="D468" s="4">
        <v>2.0</v>
      </c>
      <c r="E468" s="2" t="s">
        <v>8</v>
      </c>
      <c r="F468" s="2" t="s">
        <v>14</v>
      </c>
      <c r="G468" s="5">
        <v>5327.40025</v>
      </c>
    </row>
    <row r="469">
      <c r="A469" s="1">
        <v>31.0</v>
      </c>
      <c r="B469" s="2" t="s">
        <v>10</v>
      </c>
      <c r="C469" s="3">
        <v>21.755</v>
      </c>
      <c r="D469" s="4">
        <v>0.0</v>
      </c>
      <c r="E469" s="2" t="s">
        <v>8</v>
      </c>
      <c r="F469" s="2" t="s">
        <v>14</v>
      </c>
      <c r="G469" s="5">
        <v>4134.08245</v>
      </c>
    </row>
    <row r="470">
      <c r="A470" s="1">
        <v>31.0</v>
      </c>
      <c r="B470" s="2" t="s">
        <v>10</v>
      </c>
      <c r="C470" s="3">
        <v>25.8</v>
      </c>
      <c r="D470" s="4">
        <v>2.0</v>
      </c>
      <c r="E470" s="2" t="s">
        <v>8</v>
      </c>
      <c r="F470" s="2" t="s">
        <v>13</v>
      </c>
      <c r="G470" s="5">
        <v>4934.705</v>
      </c>
    </row>
    <row r="471">
      <c r="A471" s="1">
        <v>31.0</v>
      </c>
      <c r="B471" s="2" t="s">
        <v>7</v>
      </c>
      <c r="C471" s="3">
        <v>31.065</v>
      </c>
      <c r="D471" s="4">
        <v>3.0</v>
      </c>
      <c r="E471" s="2" t="s">
        <v>8</v>
      </c>
      <c r="F471" s="2" t="s">
        <v>14</v>
      </c>
      <c r="G471" s="5">
        <v>5425.02335</v>
      </c>
    </row>
    <row r="472">
      <c r="A472" s="1">
        <v>31.0</v>
      </c>
      <c r="B472" s="2" t="s">
        <v>7</v>
      </c>
      <c r="C472" s="3">
        <v>25.935</v>
      </c>
      <c r="D472" s="4">
        <v>1.0</v>
      </c>
      <c r="E472" s="2" t="s">
        <v>8</v>
      </c>
      <c r="F472" s="2" t="s">
        <v>14</v>
      </c>
      <c r="G472" s="5">
        <v>4239.89265</v>
      </c>
    </row>
    <row r="473">
      <c r="A473" s="1">
        <v>32.0</v>
      </c>
      <c r="B473" s="2" t="s">
        <v>7</v>
      </c>
      <c r="C473" s="3">
        <v>28.88</v>
      </c>
      <c r="D473" s="4">
        <v>0.0</v>
      </c>
      <c r="E473" s="2" t="s">
        <v>8</v>
      </c>
      <c r="F473" s="2" t="s">
        <v>14</v>
      </c>
      <c r="G473" s="5">
        <v>3866.8552</v>
      </c>
    </row>
    <row r="474">
      <c r="A474" s="1">
        <v>32.0</v>
      </c>
      <c r="B474" s="2" t="s">
        <v>10</v>
      </c>
      <c r="C474" s="3">
        <v>17.765</v>
      </c>
      <c r="D474" s="4">
        <v>2.0</v>
      </c>
      <c r="E474" s="2" t="s">
        <v>12</v>
      </c>
      <c r="F474" s="2" t="s">
        <v>14</v>
      </c>
      <c r="G474" s="5">
        <v>32734.1863</v>
      </c>
    </row>
    <row r="475">
      <c r="A475" s="1">
        <v>32.0</v>
      </c>
      <c r="B475" s="2" t="s">
        <v>10</v>
      </c>
      <c r="C475" s="3">
        <v>37.145</v>
      </c>
      <c r="D475" s="4">
        <v>3.0</v>
      </c>
      <c r="E475" s="2" t="s">
        <v>8</v>
      </c>
      <c r="F475" s="2" t="s">
        <v>11</v>
      </c>
      <c r="G475" s="5">
        <v>6334.34355</v>
      </c>
    </row>
    <row r="476">
      <c r="A476" s="1">
        <v>32.0</v>
      </c>
      <c r="B476" s="2" t="s">
        <v>10</v>
      </c>
      <c r="C476" s="3">
        <v>29.8</v>
      </c>
      <c r="D476" s="4">
        <v>2.0</v>
      </c>
      <c r="E476" s="2" t="s">
        <v>8</v>
      </c>
      <c r="F476" s="2" t="s">
        <v>13</v>
      </c>
      <c r="G476" s="5">
        <v>5152.134</v>
      </c>
    </row>
    <row r="477">
      <c r="A477" s="1">
        <v>32.0</v>
      </c>
      <c r="B477" s="2" t="s">
        <v>10</v>
      </c>
      <c r="C477" s="3">
        <v>33.155</v>
      </c>
      <c r="D477" s="4">
        <v>3.0</v>
      </c>
      <c r="E477" s="2" t="s">
        <v>8</v>
      </c>
      <c r="F477" s="2" t="s">
        <v>14</v>
      </c>
      <c r="G477" s="5">
        <v>6128.79745</v>
      </c>
    </row>
    <row r="478">
      <c r="A478" s="1">
        <v>32.0</v>
      </c>
      <c r="B478" s="2" t="s">
        <v>7</v>
      </c>
      <c r="C478" s="3">
        <v>30.8</v>
      </c>
      <c r="D478" s="4">
        <v>3.0</v>
      </c>
      <c r="E478" s="2" t="s">
        <v>8</v>
      </c>
      <c r="F478" s="2" t="s">
        <v>13</v>
      </c>
      <c r="G478" s="5">
        <v>5253.524</v>
      </c>
    </row>
    <row r="479">
      <c r="A479" s="1">
        <v>32.0</v>
      </c>
      <c r="B479" s="2" t="s">
        <v>7</v>
      </c>
      <c r="C479" s="3">
        <v>37.335</v>
      </c>
      <c r="D479" s="4">
        <v>1.0</v>
      </c>
      <c r="E479" s="2" t="s">
        <v>8</v>
      </c>
      <c r="F479" s="2" t="s">
        <v>11</v>
      </c>
      <c r="G479" s="5">
        <v>4667.60765</v>
      </c>
    </row>
    <row r="480">
      <c r="A480" s="1">
        <v>32.0</v>
      </c>
      <c r="B480" s="2" t="s">
        <v>7</v>
      </c>
      <c r="C480" s="3">
        <v>30.03</v>
      </c>
      <c r="D480" s="4">
        <v>1.0</v>
      </c>
      <c r="E480" s="2" t="s">
        <v>8</v>
      </c>
      <c r="F480" s="2" t="s">
        <v>9</v>
      </c>
      <c r="G480" s="5">
        <v>4074.4537</v>
      </c>
    </row>
    <row r="481">
      <c r="A481" s="1">
        <v>32.0</v>
      </c>
      <c r="B481" s="2" t="s">
        <v>7</v>
      </c>
      <c r="C481" s="3">
        <v>46.53</v>
      </c>
      <c r="D481" s="4">
        <v>2.0</v>
      </c>
      <c r="E481" s="2" t="s">
        <v>8</v>
      </c>
      <c r="F481" s="2" t="s">
        <v>9</v>
      </c>
      <c r="G481" s="5">
        <v>4686.3887</v>
      </c>
    </row>
    <row r="482">
      <c r="A482" s="1">
        <v>32.0</v>
      </c>
      <c r="B482" s="2" t="s">
        <v>10</v>
      </c>
      <c r="C482" s="3">
        <v>44.22</v>
      </c>
      <c r="D482" s="4">
        <v>0.0</v>
      </c>
      <c r="E482" s="2" t="s">
        <v>8</v>
      </c>
      <c r="F482" s="2" t="s">
        <v>9</v>
      </c>
      <c r="G482" s="5">
        <v>3994.1778</v>
      </c>
    </row>
    <row r="483">
      <c r="A483" s="1">
        <v>32.0</v>
      </c>
      <c r="B483" s="2" t="s">
        <v>10</v>
      </c>
      <c r="C483" s="3">
        <v>28.93</v>
      </c>
      <c r="D483" s="4">
        <v>0.0</v>
      </c>
      <c r="E483" s="2" t="s">
        <v>8</v>
      </c>
      <c r="F483" s="2" t="s">
        <v>9</v>
      </c>
      <c r="G483" s="5">
        <v>3972.9247</v>
      </c>
    </row>
    <row r="484">
      <c r="A484" s="1">
        <v>32.0</v>
      </c>
      <c r="B484" s="2" t="s">
        <v>10</v>
      </c>
      <c r="C484" s="3">
        <v>23.65</v>
      </c>
      <c r="D484" s="4">
        <v>1.0</v>
      </c>
      <c r="E484" s="2" t="s">
        <v>8</v>
      </c>
      <c r="F484" s="2" t="s">
        <v>9</v>
      </c>
      <c r="G484" s="5">
        <v>17626.23951</v>
      </c>
    </row>
    <row r="485">
      <c r="A485" s="1">
        <v>32.0</v>
      </c>
      <c r="B485" s="2" t="s">
        <v>10</v>
      </c>
      <c r="C485" s="3">
        <v>31.54</v>
      </c>
      <c r="D485" s="4">
        <v>1.0</v>
      </c>
      <c r="E485" s="2" t="s">
        <v>8</v>
      </c>
      <c r="F485" s="2" t="s">
        <v>11</v>
      </c>
      <c r="G485" s="5">
        <v>5148.5526</v>
      </c>
    </row>
    <row r="486">
      <c r="A486" s="1">
        <v>32.0</v>
      </c>
      <c r="B486" s="2" t="s">
        <v>7</v>
      </c>
      <c r="C486" s="3">
        <v>28.93</v>
      </c>
      <c r="D486" s="4">
        <v>1.0</v>
      </c>
      <c r="E486" s="2" t="s">
        <v>12</v>
      </c>
      <c r="F486" s="2" t="s">
        <v>9</v>
      </c>
      <c r="G486" s="5">
        <v>19719.6947</v>
      </c>
    </row>
    <row r="487">
      <c r="A487" s="1">
        <v>32.0</v>
      </c>
      <c r="B487" s="2" t="s">
        <v>10</v>
      </c>
      <c r="C487" s="3">
        <v>24.6</v>
      </c>
      <c r="D487" s="4">
        <v>0.0</v>
      </c>
      <c r="E487" s="2" t="s">
        <v>12</v>
      </c>
      <c r="F487" s="2" t="s">
        <v>13</v>
      </c>
      <c r="G487" s="5">
        <v>17496.306</v>
      </c>
    </row>
    <row r="488">
      <c r="A488" s="1">
        <v>32.0</v>
      </c>
      <c r="B488" s="2" t="s">
        <v>7</v>
      </c>
      <c r="C488" s="3">
        <v>37.18</v>
      </c>
      <c r="D488" s="4">
        <v>2.0</v>
      </c>
      <c r="E488" s="2" t="s">
        <v>8</v>
      </c>
      <c r="F488" s="2" t="s">
        <v>9</v>
      </c>
      <c r="G488" s="5">
        <v>4673.3922</v>
      </c>
    </row>
    <row r="489">
      <c r="A489" s="1">
        <v>32.0</v>
      </c>
      <c r="B489" s="2" t="s">
        <v>7</v>
      </c>
      <c r="C489" s="3">
        <v>33.82</v>
      </c>
      <c r="D489" s="4">
        <v>1.0</v>
      </c>
      <c r="E489" s="2" t="s">
        <v>8</v>
      </c>
      <c r="F489" s="2" t="s">
        <v>14</v>
      </c>
      <c r="G489" s="5">
        <v>4462.7218</v>
      </c>
    </row>
    <row r="490">
      <c r="A490" s="1">
        <v>32.0</v>
      </c>
      <c r="B490" s="2" t="s">
        <v>10</v>
      </c>
      <c r="C490" s="3">
        <v>29.59</v>
      </c>
      <c r="D490" s="4">
        <v>1.0</v>
      </c>
      <c r="E490" s="2" t="s">
        <v>8</v>
      </c>
      <c r="F490" s="2" t="s">
        <v>9</v>
      </c>
      <c r="G490" s="5">
        <v>4562.8421</v>
      </c>
    </row>
    <row r="491">
      <c r="A491" s="1">
        <v>32.0</v>
      </c>
      <c r="B491" s="2" t="s">
        <v>7</v>
      </c>
      <c r="C491" s="3">
        <v>27.835</v>
      </c>
      <c r="D491" s="4">
        <v>1.0</v>
      </c>
      <c r="E491" s="2" t="s">
        <v>8</v>
      </c>
      <c r="F491" s="2" t="s">
        <v>14</v>
      </c>
      <c r="G491" s="5">
        <v>4454.40265</v>
      </c>
    </row>
    <row r="492">
      <c r="A492" s="1">
        <v>32.0</v>
      </c>
      <c r="B492" s="2" t="s">
        <v>7</v>
      </c>
      <c r="C492" s="3">
        <v>31.5</v>
      </c>
      <c r="D492" s="4">
        <v>1.0</v>
      </c>
      <c r="E492" s="2" t="s">
        <v>8</v>
      </c>
      <c r="F492" s="2" t="s">
        <v>13</v>
      </c>
      <c r="G492" s="5">
        <v>4076.497</v>
      </c>
    </row>
    <row r="493">
      <c r="A493" s="1">
        <v>32.0</v>
      </c>
      <c r="B493" s="2" t="s">
        <v>10</v>
      </c>
      <c r="C493" s="3">
        <v>41.1</v>
      </c>
      <c r="D493" s="4">
        <v>0.0</v>
      </c>
      <c r="E493" s="2" t="s">
        <v>8</v>
      </c>
      <c r="F493" s="2" t="s">
        <v>13</v>
      </c>
      <c r="G493" s="5">
        <v>3989.841</v>
      </c>
    </row>
    <row r="494">
      <c r="A494" s="1">
        <v>32.0</v>
      </c>
      <c r="B494" s="2" t="s">
        <v>7</v>
      </c>
      <c r="C494" s="3">
        <v>35.2</v>
      </c>
      <c r="D494" s="4">
        <v>2.0</v>
      </c>
      <c r="E494" s="2" t="s">
        <v>8</v>
      </c>
      <c r="F494" s="2" t="s">
        <v>13</v>
      </c>
      <c r="G494" s="5">
        <v>4670.64</v>
      </c>
    </row>
    <row r="495">
      <c r="A495" s="1">
        <v>32.0</v>
      </c>
      <c r="B495" s="2" t="s">
        <v>7</v>
      </c>
      <c r="C495" s="3">
        <v>33.63</v>
      </c>
      <c r="D495" s="4">
        <v>1.0</v>
      </c>
      <c r="E495" s="2" t="s">
        <v>12</v>
      </c>
      <c r="F495" s="2" t="s">
        <v>11</v>
      </c>
      <c r="G495" s="5">
        <v>37607.5277</v>
      </c>
    </row>
    <row r="496">
      <c r="A496" s="1">
        <v>32.0</v>
      </c>
      <c r="B496" s="2" t="s">
        <v>10</v>
      </c>
      <c r="C496" s="3">
        <v>20.52</v>
      </c>
      <c r="D496" s="4">
        <v>0.0</v>
      </c>
      <c r="E496" s="2" t="s">
        <v>8</v>
      </c>
      <c r="F496" s="2" t="s">
        <v>11</v>
      </c>
      <c r="G496" s="5">
        <v>4544.2348</v>
      </c>
    </row>
    <row r="497">
      <c r="A497" s="1">
        <v>32.0</v>
      </c>
      <c r="B497" s="2" t="s">
        <v>10</v>
      </c>
      <c r="C497" s="3">
        <v>29.735</v>
      </c>
      <c r="D497" s="4">
        <v>0.0</v>
      </c>
      <c r="E497" s="2" t="s">
        <v>8</v>
      </c>
      <c r="F497" s="2" t="s">
        <v>14</v>
      </c>
      <c r="G497" s="5">
        <v>4357.04365</v>
      </c>
    </row>
    <row r="498">
      <c r="A498" s="1">
        <v>32.0</v>
      </c>
      <c r="B498" s="2" t="s">
        <v>7</v>
      </c>
      <c r="C498" s="3">
        <v>28.12</v>
      </c>
      <c r="D498" s="4">
        <v>4.0</v>
      </c>
      <c r="E498" s="2" t="s">
        <v>12</v>
      </c>
      <c r="F498" s="2" t="s">
        <v>14</v>
      </c>
      <c r="G498" s="5">
        <v>21472.4788</v>
      </c>
    </row>
    <row r="499">
      <c r="A499" s="1">
        <v>33.0</v>
      </c>
      <c r="B499" s="2" t="s">
        <v>7</v>
      </c>
      <c r="C499" s="3">
        <v>22.705</v>
      </c>
      <c r="D499" s="4">
        <v>0.0</v>
      </c>
      <c r="E499" s="2" t="s">
        <v>8</v>
      </c>
      <c r="F499" s="2" t="s">
        <v>14</v>
      </c>
      <c r="G499" s="5">
        <v>21984.47061</v>
      </c>
    </row>
    <row r="500">
      <c r="A500" s="1">
        <v>33.0</v>
      </c>
      <c r="B500" s="2" t="s">
        <v>10</v>
      </c>
      <c r="C500" s="3">
        <v>22.135</v>
      </c>
      <c r="D500" s="4">
        <v>1.0</v>
      </c>
      <c r="E500" s="2" t="s">
        <v>8</v>
      </c>
      <c r="F500" s="2" t="s">
        <v>11</v>
      </c>
      <c r="G500" s="5">
        <v>5354.07465</v>
      </c>
    </row>
    <row r="501">
      <c r="A501" s="1">
        <v>33.0</v>
      </c>
      <c r="B501" s="2" t="s">
        <v>7</v>
      </c>
      <c r="C501" s="3">
        <v>35.75</v>
      </c>
      <c r="D501" s="4">
        <v>2.0</v>
      </c>
      <c r="E501" s="2" t="s">
        <v>8</v>
      </c>
      <c r="F501" s="2" t="s">
        <v>9</v>
      </c>
      <c r="G501" s="5">
        <v>4889.9995</v>
      </c>
    </row>
    <row r="502">
      <c r="A502" s="1">
        <v>33.0</v>
      </c>
      <c r="B502" s="2" t="s">
        <v>7</v>
      </c>
      <c r="C502" s="3">
        <v>35.245</v>
      </c>
      <c r="D502" s="4">
        <v>0.0</v>
      </c>
      <c r="E502" s="2" t="s">
        <v>8</v>
      </c>
      <c r="F502" s="2" t="s">
        <v>11</v>
      </c>
      <c r="G502" s="5">
        <v>12404.8791</v>
      </c>
    </row>
    <row r="503">
      <c r="A503" s="1">
        <v>33.0</v>
      </c>
      <c r="B503" s="2" t="s">
        <v>10</v>
      </c>
      <c r="C503" s="3">
        <v>24.31</v>
      </c>
      <c r="D503" s="4">
        <v>0.0</v>
      </c>
      <c r="E503" s="2" t="s">
        <v>8</v>
      </c>
      <c r="F503" s="2" t="s">
        <v>9</v>
      </c>
      <c r="G503" s="5">
        <v>4185.0979</v>
      </c>
    </row>
    <row r="504">
      <c r="A504" s="1">
        <v>33.0</v>
      </c>
      <c r="B504" s="2" t="s">
        <v>10</v>
      </c>
      <c r="C504" s="3">
        <v>33.5</v>
      </c>
      <c r="D504" s="4">
        <v>0.0</v>
      </c>
      <c r="E504" s="2" t="s">
        <v>12</v>
      </c>
      <c r="F504" s="2" t="s">
        <v>13</v>
      </c>
      <c r="G504" s="5">
        <v>37079.372</v>
      </c>
    </row>
    <row r="505">
      <c r="A505" s="1">
        <v>33.0</v>
      </c>
      <c r="B505" s="2" t="s">
        <v>10</v>
      </c>
      <c r="C505" s="3">
        <v>38.9</v>
      </c>
      <c r="D505" s="4">
        <v>3.0</v>
      </c>
      <c r="E505" s="2" t="s">
        <v>8</v>
      </c>
      <c r="F505" s="2" t="s">
        <v>13</v>
      </c>
      <c r="G505" s="5">
        <v>5972.378</v>
      </c>
    </row>
    <row r="506">
      <c r="A506" s="1">
        <v>33.0</v>
      </c>
      <c r="B506" s="2" t="s">
        <v>10</v>
      </c>
      <c r="C506" s="3">
        <v>28.27</v>
      </c>
      <c r="D506" s="4">
        <v>1.0</v>
      </c>
      <c r="E506" s="2" t="s">
        <v>8</v>
      </c>
      <c r="F506" s="2" t="s">
        <v>9</v>
      </c>
      <c r="G506" s="5">
        <v>4779.6023</v>
      </c>
    </row>
    <row r="507">
      <c r="A507" s="1">
        <v>33.0</v>
      </c>
      <c r="B507" s="2" t="s">
        <v>7</v>
      </c>
      <c r="C507" s="3">
        <v>42.46</v>
      </c>
      <c r="D507" s="4">
        <v>1.0</v>
      </c>
      <c r="E507" s="2" t="s">
        <v>8</v>
      </c>
      <c r="F507" s="2" t="s">
        <v>9</v>
      </c>
      <c r="G507" s="5">
        <v>11326.71487</v>
      </c>
    </row>
    <row r="508">
      <c r="A508" s="1">
        <v>33.0</v>
      </c>
      <c r="B508" s="2" t="s">
        <v>7</v>
      </c>
      <c r="C508" s="3">
        <v>42.4</v>
      </c>
      <c r="D508" s="4">
        <v>5.0</v>
      </c>
      <c r="E508" s="2" t="s">
        <v>8</v>
      </c>
      <c r="F508" s="2" t="s">
        <v>13</v>
      </c>
      <c r="G508" s="5">
        <v>6666.243</v>
      </c>
    </row>
    <row r="509">
      <c r="A509" s="1">
        <v>33.0</v>
      </c>
      <c r="B509" s="2" t="s">
        <v>10</v>
      </c>
      <c r="C509" s="3">
        <v>18.5</v>
      </c>
      <c r="D509" s="4">
        <v>1.0</v>
      </c>
      <c r="E509" s="2" t="s">
        <v>8</v>
      </c>
      <c r="F509" s="2" t="s">
        <v>13</v>
      </c>
      <c r="G509" s="5">
        <v>4766.022</v>
      </c>
    </row>
    <row r="510">
      <c r="A510" s="1">
        <v>33.0</v>
      </c>
      <c r="B510" s="2" t="s">
        <v>10</v>
      </c>
      <c r="C510" s="3">
        <v>32.9</v>
      </c>
      <c r="D510" s="4">
        <v>2.0</v>
      </c>
      <c r="E510" s="2" t="s">
        <v>8</v>
      </c>
      <c r="F510" s="2" t="s">
        <v>13</v>
      </c>
      <c r="G510" s="5">
        <v>5375.038</v>
      </c>
    </row>
    <row r="511">
      <c r="A511" s="1">
        <v>33.0</v>
      </c>
      <c r="B511" s="2" t="s">
        <v>7</v>
      </c>
      <c r="C511" s="3">
        <v>27.1</v>
      </c>
      <c r="D511" s="4">
        <v>1.0</v>
      </c>
      <c r="E511" s="2" t="s">
        <v>12</v>
      </c>
      <c r="F511" s="2" t="s">
        <v>13</v>
      </c>
      <c r="G511" s="5">
        <v>19040.876</v>
      </c>
    </row>
    <row r="512">
      <c r="A512" s="1">
        <v>33.0</v>
      </c>
      <c r="B512" s="2" t="s">
        <v>7</v>
      </c>
      <c r="C512" s="3">
        <v>24.795</v>
      </c>
      <c r="D512" s="4">
        <v>0.0</v>
      </c>
      <c r="E512" s="2" t="s">
        <v>12</v>
      </c>
      <c r="F512" s="2" t="s">
        <v>11</v>
      </c>
      <c r="G512" s="5">
        <v>17904.52705</v>
      </c>
    </row>
    <row r="513">
      <c r="A513" s="1">
        <v>33.0</v>
      </c>
      <c r="B513" s="2" t="s">
        <v>10</v>
      </c>
      <c r="C513" s="3">
        <v>42.94</v>
      </c>
      <c r="D513" s="4">
        <v>3.0</v>
      </c>
      <c r="E513" s="2" t="s">
        <v>8</v>
      </c>
      <c r="F513" s="2" t="s">
        <v>14</v>
      </c>
      <c r="G513" s="5">
        <v>6360.9936</v>
      </c>
    </row>
    <row r="514">
      <c r="A514" s="1">
        <v>33.0</v>
      </c>
      <c r="B514" s="2" t="s">
        <v>10</v>
      </c>
      <c r="C514" s="3">
        <v>35.53</v>
      </c>
      <c r="D514" s="4">
        <v>0.0</v>
      </c>
      <c r="E514" s="2" t="s">
        <v>12</v>
      </c>
      <c r="F514" s="2" t="s">
        <v>14</v>
      </c>
      <c r="G514" s="5">
        <v>55135.40209</v>
      </c>
    </row>
    <row r="515">
      <c r="A515" s="1">
        <v>33.0</v>
      </c>
      <c r="B515" s="2" t="s">
        <v>7</v>
      </c>
      <c r="C515" s="3">
        <v>33.44</v>
      </c>
      <c r="D515" s="4">
        <v>5.0</v>
      </c>
      <c r="E515" s="2" t="s">
        <v>8</v>
      </c>
      <c r="F515" s="2" t="s">
        <v>9</v>
      </c>
      <c r="G515" s="5">
        <v>6653.7886</v>
      </c>
    </row>
    <row r="516">
      <c r="A516" s="1">
        <v>33.0</v>
      </c>
      <c r="B516" s="2" t="s">
        <v>7</v>
      </c>
      <c r="C516" s="3">
        <v>24.605</v>
      </c>
      <c r="D516" s="4">
        <v>2.0</v>
      </c>
      <c r="E516" s="2" t="s">
        <v>8</v>
      </c>
      <c r="F516" s="2" t="s">
        <v>14</v>
      </c>
      <c r="G516" s="5">
        <v>5257.50795</v>
      </c>
    </row>
    <row r="517">
      <c r="A517" s="1">
        <v>33.0</v>
      </c>
      <c r="B517" s="2" t="s">
        <v>10</v>
      </c>
      <c r="C517" s="3">
        <v>36.29</v>
      </c>
      <c r="D517" s="4">
        <v>3.0</v>
      </c>
      <c r="E517" s="2" t="s">
        <v>8</v>
      </c>
      <c r="F517" s="2" t="s">
        <v>11</v>
      </c>
      <c r="G517" s="5">
        <v>6551.7501</v>
      </c>
    </row>
    <row r="518">
      <c r="A518" s="1">
        <v>33.0</v>
      </c>
      <c r="B518" s="2" t="s">
        <v>10</v>
      </c>
      <c r="C518" s="3">
        <v>19.095</v>
      </c>
      <c r="D518" s="4">
        <v>2.0</v>
      </c>
      <c r="E518" s="2" t="s">
        <v>12</v>
      </c>
      <c r="F518" s="2" t="s">
        <v>11</v>
      </c>
      <c r="G518" s="5">
        <v>16776.30405</v>
      </c>
    </row>
    <row r="519">
      <c r="A519" s="1">
        <v>33.0</v>
      </c>
      <c r="B519" s="2" t="s">
        <v>7</v>
      </c>
      <c r="C519" s="3">
        <v>35.75</v>
      </c>
      <c r="D519" s="4">
        <v>1.0</v>
      </c>
      <c r="E519" s="2" t="s">
        <v>12</v>
      </c>
      <c r="F519" s="2" t="s">
        <v>9</v>
      </c>
      <c r="G519" s="5">
        <v>38282.7495</v>
      </c>
    </row>
    <row r="520">
      <c r="A520" s="1">
        <v>33.0</v>
      </c>
      <c r="B520" s="2" t="s">
        <v>7</v>
      </c>
      <c r="C520" s="3">
        <v>30.25</v>
      </c>
      <c r="D520" s="4">
        <v>0.0</v>
      </c>
      <c r="E520" s="2" t="s">
        <v>8</v>
      </c>
      <c r="F520" s="2" t="s">
        <v>9</v>
      </c>
      <c r="G520" s="5">
        <v>3704.3545</v>
      </c>
    </row>
    <row r="521">
      <c r="A521" s="1">
        <v>33.0</v>
      </c>
      <c r="B521" s="2" t="s">
        <v>10</v>
      </c>
      <c r="C521" s="3">
        <v>39.82</v>
      </c>
      <c r="D521" s="4">
        <v>1.0</v>
      </c>
      <c r="E521" s="2" t="s">
        <v>8</v>
      </c>
      <c r="F521" s="2" t="s">
        <v>9</v>
      </c>
      <c r="G521" s="5">
        <v>4795.6568</v>
      </c>
    </row>
    <row r="522">
      <c r="A522" s="1">
        <v>33.0</v>
      </c>
      <c r="B522" s="2" t="s">
        <v>7</v>
      </c>
      <c r="C522" s="3">
        <v>29.4</v>
      </c>
      <c r="D522" s="4">
        <v>4.0</v>
      </c>
      <c r="E522" s="2" t="s">
        <v>8</v>
      </c>
      <c r="F522" s="2" t="s">
        <v>13</v>
      </c>
      <c r="G522" s="5">
        <v>6059.173</v>
      </c>
    </row>
    <row r="523">
      <c r="A523" s="1">
        <v>33.0</v>
      </c>
      <c r="B523" s="2" t="s">
        <v>7</v>
      </c>
      <c r="C523" s="3">
        <v>27.455</v>
      </c>
      <c r="D523" s="4">
        <v>2.0</v>
      </c>
      <c r="E523" s="2" t="s">
        <v>8</v>
      </c>
      <c r="F523" s="2" t="s">
        <v>14</v>
      </c>
      <c r="G523" s="5">
        <v>5261.46945</v>
      </c>
    </row>
    <row r="524">
      <c r="A524" s="1">
        <v>33.0</v>
      </c>
      <c r="B524" s="2" t="s">
        <v>10</v>
      </c>
      <c r="C524" s="3">
        <v>26.695</v>
      </c>
      <c r="D524" s="4">
        <v>0.0</v>
      </c>
      <c r="E524" s="2" t="s">
        <v>8</v>
      </c>
      <c r="F524" s="2" t="s">
        <v>14</v>
      </c>
      <c r="G524" s="5">
        <v>4571.41305</v>
      </c>
    </row>
    <row r="525">
      <c r="A525" s="1">
        <v>34.0</v>
      </c>
      <c r="B525" s="2" t="s">
        <v>10</v>
      </c>
      <c r="C525" s="3">
        <v>31.92</v>
      </c>
      <c r="D525" s="4">
        <v>1.0</v>
      </c>
      <c r="E525" s="2" t="s">
        <v>12</v>
      </c>
      <c r="F525" s="2" t="s">
        <v>11</v>
      </c>
      <c r="G525" s="5">
        <v>37701.8768</v>
      </c>
    </row>
    <row r="526">
      <c r="A526" s="1">
        <v>34.0</v>
      </c>
      <c r="B526" s="2" t="s">
        <v>10</v>
      </c>
      <c r="C526" s="3">
        <v>37.335</v>
      </c>
      <c r="D526" s="4">
        <v>2.0</v>
      </c>
      <c r="E526" s="2" t="s">
        <v>8</v>
      </c>
      <c r="F526" s="2" t="s">
        <v>14</v>
      </c>
      <c r="G526" s="5">
        <v>5989.52365</v>
      </c>
    </row>
    <row r="527">
      <c r="A527" s="1">
        <v>34.0</v>
      </c>
      <c r="B527" s="2" t="s">
        <v>10</v>
      </c>
      <c r="C527" s="3">
        <v>27.5</v>
      </c>
      <c r="D527" s="4">
        <v>1.0</v>
      </c>
      <c r="E527" s="2" t="s">
        <v>8</v>
      </c>
      <c r="F527" s="2" t="s">
        <v>13</v>
      </c>
      <c r="G527" s="5">
        <v>5003.853</v>
      </c>
    </row>
    <row r="528">
      <c r="A528" s="1">
        <v>34.0</v>
      </c>
      <c r="B528" s="2" t="s">
        <v>7</v>
      </c>
      <c r="C528" s="3">
        <v>22.42</v>
      </c>
      <c r="D528" s="4">
        <v>2.0</v>
      </c>
      <c r="E528" s="2" t="s">
        <v>8</v>
      </c>
      <c r="F528" s="2" t="s">
        <v>11</v>
      </c>
      <c r="G528" s="5">
        <v>27375.90478</v>
      </c>
    </row>
    <row r="529">
      <c r="A529" s="1">
        <v>34.0</v>
      </c>
      <c r="B529" s="2" t="s">
        <v>7</v>
      </c>
      <c r="C529" s="3">
        <v>25.3</v>
      </c>
      <c r="D529" s="4">
        <v>2.0</v>
      </c>
      <c r="E529" s="2" t="s">
        <v>12</v>
      </c>
      <c r="F529" s="2" t="s">
        <v>9</v>
      </c>
      <c r="G529" s="5">
        <v>18972.495</v>
      </c>
    </row>
    <row r="530">
      <c r="A530" s="1">
        <v>34.0</v>
      </c>
      <c r="B530" s="2" t="s">
        <v>10</v>
      </c>
      <c r="C530" s="3">
        <v>26.73</v>
      </c>
      <c r="D530" s="4">
        <v>1.0</v>
      </c>
      <c r="E530" s="2" t="s">
        <v>8</v>
      </c>
      <c r="F530" s="2" t="s">
        <v>9</v>
      </c>
      <c r="G530" s="5">
        <v>5002.7827</v>
      </c>
    </row>
    <row r="531">
      <c r="A531" s="1">
        <v>34.0</v>
      </c>
      <c r="B531" s="2" t="s">
        <v>10</v>
      </c>
      <c r="C531" s="3">
        <v>33.7</v>
      </c>
      <c r="D531" s="4">
        <v>1.0</v>
      </c>
      <c r="E531" s="2" t="s">
        <v>8</v>
      </c>
      <c r="F531" s="2" t="s">
        <v>13</v>
      </c>
      <c r="G531" s="5">
        <v>5012.471</v>
      </c>
    </row>
    <row r="532">
      <c r="A532" s="1">
        <v>34.0</v>
      </c>
      <c r="B532" s="2" t="s">
        <v>7</v>
      </c>
      <c r="C532" s="3">
        <v>25.27</v>
      </c>
      <c r="D532" s="4">
        <v>1.0</v>
      </c>
      <c r="E532" s="2" t="s">
        <v>8</v>
      </c>
      <c r="F532" s="2" t="s">
        <v>14</v>
      </c>
      <c r="G532" s="5">
        <v>4894.7533</v>
      </c>
    </row>
    <row r="533">
      <c r="A533" s="1">
        <v>34.0</v>
      </c>
      <c r="B533" s="2" t="s">
        <v>7</v>
      </c>
      <c r="C533" s="3">
        <v>30.8</v>
      </c>
      <c r="D533" s="4">
        <v>0.0</v>
      </c>
      <c r="E533" s="2" t="s">
        <v>12</v>
      </c>
      <c r="F533" s="2" t="s">
        <v>13</v>
      </c>
      <c r="G533" s="5">
        <v>35491.64</v>
      </c>
    </row>
    <row r="534">
      <c r="A534" s="1">
        <v>34.0</v>
      </c>
      <c r="B534" s="2" t="s">
        <v>10</v>
      </c>
      <c r="C534" s="3">
        <v>29.26</v>
      </c>
      <c r="D534" s="4">
        <v>3.0</v>
      </c>
      <c r="E534" s="2" t="s">
        <v>8</v>
      </c>
      <c r="F534" s="2" t="s">
        <v>9</v>
      </c>
      <c r="G534" s="5">
        <v>6184.2994</v>
      </c>
    </row>
    <row r="535">
      <c r="A535" s="1">
        <v>34.0</v>
      </c>
      <c r="B535" s="2" t="s">
        <v>10</v>
      </c>
      <c r="C535" s="3">
        <v>38.0</v>
      </c>
      <c r="D535" s="4">
        <v>3.0</v>
      </c>
      <c r="E535" s="2" t="s">
        <v>8</v>
      </c>
      <c r="F535" s="2" t="s">
        <v>13</v>
      </c>
      <c r="G535" s="5">
        <v>6196.448</v>
      </c>
    </row>
    <row r="536">
      <c r="A536" s="1">
        <v>34.0</v>
      </c>
      <c r="B536" s="2" t="s">
        <v>7</v>
      </c>
      <c r="C536" s="3">
        <v>34.21</v>
      </c>
      <c r="D536" s="4">
        <v>0.0</v>
      </c>
      <c r="E536" s="2" t="s">
        <v>8</v>
      </c>
      <c r="F536" s="2" t="s">
        <v>9</v>
      </c>
      <c r="G536" s="5">
        <v>3935.1799</v>
      </c>
    </row>
    <row r="537">
      <c r="A537" s="1">
        <v>34.0</v>
      </c>
      <c r="B537" s="2" t="s">
        <v>10</v>
      </c>
      <c r="C537" s="3">
        <v>30.21</v>
      </c>
      <c r="D537" s="4">
        <v>1.0</v>
      </c>
      <c r="E537" s="2" t="s">
        <v>12</v>
      </c>
      <c r="F537" s="2" t="s">
        <v>14</v>
      </c>
      <c r="G537" s="5">
        <v>43943.8761</v>
      </c>
    </row>
    <row r="538">
      <c r="A538" s="1">
        <v>34.0</v>
      </c>
      <c r="B538" s="2" t="s">
        <v>10</v>
      </c>
      <c r="C538" s="3">
        <v>33.25</v>
      </c>
      <c r="D538" s="4">
        <v>1.0</v>
      </c>
      <c r="E538" s="2" t="s">
        <v>8</v>
      </c>
      <c r="F538" s="2" t="s">
        <v>11</v>
      </c>
      <c r="G538" s="5">
        <v>5594.8455</v>
      </c>
    </row>
    <row r="539">
      <c r="A539" s="1">
        <v>34.0</v>
      </c>
      <c r="B539" s="2" t="s">
        <v>10</v>
      </c>
      <c r="C539" s="3">
        <v>19.0</v>
      </c>
      <c r="D539" s="4">
        <v>3.0</v>
      </c>
      <c r="E539" s="2" t="s">
        <v>8</v>
      </c>
      <c r="F539" s="2" t="s">
        <v>11</v>
      </c>
      <c r="G539" s="5">
        <v>6753.038</v>
      </c>
    </row>
    <row r="540">
      <c r="A540" s="1">
        <v>34.0</v>
      </c>
      <c r="B540" s="2" t="s">
        <v>10</v>
      </c>
      <c r="C540" s="3">
        <v>26.41</v>
      </c>
      <c r="D540" s="4">
        <v>1.0</v>
      </c>
      <c r="E540" s="2" t="s">
        <v>8</v>
      </c>
      <c r="F540" s="2" t="s">
        <v>14</v>
      </c>
      <c r="G540" s="5">
        <v>5385.3379</v>
      </c>
    </row>
    <row r="541">
      <c r="A541" s="1">
        <v>34.0</v>
      </c>
      <c r="B541" s="2" t="s">
        <v>7</v>
      </c>
      <c r="C541" s="3">
        <v>27.0</v>
      </c>
      <c r="D541" s="4">
        <v>2.0</v>
      </c>
      <c r="E541" s="2" t="s">
        <v>8</v>
      </c>
      <c r="F541" s="2" t="s">
        <v>13</v>
      </c>
      <c r="G541" s="5">
        <v>11737.84884</v>
      </c>
    </row>
    <row r="542">
      <c r="A542" s="1">
        <v>34.0</v>
      </c>
      <c r="B542" s="2" t="s">
        <v>7</v>
      </c>
      <c r="C542" s="3">
        <v>35.815</v>
      </c>
      <c r="D542" s="4">
        <v>0.0</v>
      </c>
      <c r="E542" s="2" t="s">
        <v>8</v>
      </c>
      <c r="F542" s="2" t="s">
        <v>14</v>
      </c>
      <c r="G542" s="5">
        <v>4320.41085</v>
      </c>
    </row>
    <row r="543">
      <c r="A543" s="1">
        <v>34.0</v>
      </c>
      <c r="B543" s="2" t="s">
        <v>7</v>
      </c>
      <c r="C543" s="3">
        <v>27.835</v>
      </c>
      <c r="D543" s="4">
        <v>1.0</v>
      </c>
      <c r="E543" s="2" t="s">
        <v>12</v>
      </c>
      <c r="F543" s="2" t="s">
        <v>14</v>
      </c>
      <c r="G543" s="5">
        <v>20009.63365</v>
      </c>
    </row>
    <row r="544">
      <c r="A544" s="1">
        <v>34.0</v>
      </c>
      <c r="B544" s="2" t="s">
        <v>10</v>
      </c>
      <c r="C544" s="3">
        <v>23.56</v>
      </c>
      <c r="D544" s="4">
        <v>0.0</v>
      </c>
      <c r="E544" s="2" t="s">
        <v>8</v>
      </c>
      <c r="F544" s="2" t="s">
        <v>11</v>
      </c>
      <c r="G544" s="5">
        <v>4992.3764</v>
      </c>
    </row>
    <row r="545">
      <c r="A545" s="1">
        <v>34.0</v>
      </c>
      <c r="B545" s="2" t="s">
        <v>7</v>
      </c>
      <c r="C545" s="3">
        <v>21.375</v>
      </c>
      <c r="D545" s="4">
        <v>0.0</v>
      </c>
      <c r="E545" s="2" t="s">
        <v>8</v>
      </c>
      <c r="F545" s="2" t="s">
        <v>11</v>
      </c>
      <c r="G545" s="5">
        <v>4500.33925</v>
      </c>
    </row>
    <row r="546">
      <c r="A546" s="1">
        <v>34.0</v>
      </c>
      <c r="B546" s="2" t="s">
        <v>7</v>
      </c>
      <c r="C546" s="3">
        <v>34.675</v>
      </c>
      <c r="D546" s="4">
        <v>0.0</v>
      </c>
      <c r="E546" s="2" t="s">
        <v>8</v>
      </c>
      <c r="F546" s="2" t="s">
        <v>11</v>
      </c>
      <c r="G546" s="5">
        <v>4518.82625</v>
      </c>
    </row>
    <row r="547">
      <c r="A547" s="1">
        <v>34.0</v>
      </c>
      <c r="B547" s="2" t="s">
        <v>7</v>
      </c>
      <c r="C547" s="3">
        <v>32.8</v>
      </c>
      <c r="D547" s="4">
        <v>1.0</v>
      </c>
      <c r="E547" s="2" t="s">
        <v>8</v>
      </c>
      <c r="F547" s="2" t="s">
        <v>13</v>
      </c>
      <c r="G547" s="5">
        <v>14358.36437</v>
      </c>
    </row>
    <row r="548">
      <c r="A548" s="1">
        <v>34.0</v>
      </c>
      <c r="B548" s="2" t="s">
        <v>7</v>
      </c>
      <c r="C548" s="3">
        <v>42.13</v>
      </c>
      <c r="D548" s="4">
        <v>2.0</v>
      </c>
      <c r="E548" s="2" t="s">
        <v>8</v>
      </c>
      <c r="F548" s="2" t="s">
        <v>9</v>
      </c>
      <c r="G548" s="5">
        <v>5124.1887</v>
      </c>
    </row>
    <row r="549">
      <c r="A549" s="1">
        <v>34.0</v>
      </c>
      <c r="B549" s="2" t="s">
        <v>10</v>
      </c>
      <c r="C549" s="3">
        <v>27.72</v>
      </c>
      <c r="D549" s="4">
        <v>0.0</v>
      </c>
      <c r="E549" s="2" t="s">
        <v>8</v>
      </c>
      <c r="F549" s="2" t="s">
        <v>9</v>
      </c>
      <c r="G549" s="5">
        <v>4415.1588</v>
      </c>
    </row>
    <row r="550">
      <c r="A550" s="1">
        <v>34.0</v>
      </c>
      <c r="B550" s="2" t="s">
        <v>7</v>
      </c>
      <c r="C550" s="3">
        <v>42.9</v>
      </c>
      <c r="D550" s="4">
        <v>1.0</v>
      </c>
      <c r="E550" s="2" t="s">
        <v>8</v>
      </c>
      <c r="F550" s="2" t="s">
        <v>13</v>
      </c>
      <c r="G550" s="5">
        <v>4536.259</v>
      </c>
    </row>
    <row r="551">
      <c r="A551" s="1">
        <v>35.0</v>
      </c>
      <c r="B551" s="2" t="s">
        <v>7</v>
      </c>
      <c r="C551" s="3">
        <v>36.67</v>
      </c>
      <c r="D551" s="4">
        <v>1.0</v>
      </c>
      <c r="E551" s="2" t="s">
        <v>12</v>
      </c>
      <c r="F551" s="2" t="s">
        <v>11</v>
      </c>
      <c r="G551" s="5">
        <v>39774.2763</v>
      </c>
    </row>
    <row r="552">
      <c r="A552" s="1">
        <v>35.0</v>
      </c>
      <c r="B552" s="2" t="s">
        <v>7</v>
      </c>
      <c r="C552" s="3">
        <v>34.77</v>
      </c>
      <c r="D552" s="4">
        <v>2.0</v>
      </c>
      <c r="E552" s="2" t="s">
        <v>8</v>
      </c>
      <c r="F552" s="2" t="s">
        <v>14</v>
      </c>
      <c r="G552" s="5">
        <v>5729.0053</v>
      </c>
    </row>
    <row r="553">
      <c r="A553" s="1">
        <v>35.0</v>
      </c>
      <c r="B553" s="2" t="s">
        <v>7</v>
      </c>
      <c r="C553" s="3">
        <v>24.13</v>
      </c>
      <c r="D553" s="4">
        <v>1.0</v>
      </c>
      <c r="E553" s="2" t="s">
        <v>8</v>
      </c>
      <c r="F553" s="2" t="s">
        <v>14</v>
      </c>
      <c r="G553" s="5">
        <v>5125.2157</v>
      </c>
    </row>
    <row r="554">
      <c r="A554" s="1">
        <v>35.0</v>
      </c>
      <c r="B554" s="2" t="s">
        <v>10</v>
      </c>
      <c r="C554" s="3">
        <v>34.8</v>
      </c>
      <c r="D554" s="4">
        <v>1.0</v>
      </c>
      <c r="E554" s="2" t="s">
        <v>8</v>
      </c>
      <c r="F554" s="2" t="s">
        <v>13</v>
      </c>
      <c r="G554" s="5">
        <v>5246.047</v>
      </c>
    </row>
    <row r="555">
      <c r="A555" s="1">
        <v>35.0</v>
      </c>
      <c r="B555" s="2" t="s">
        <v>7</v>
      </c>
      <c r="C555" s="3">
        <v>27.74</v>
      </c>
      <c r="D555" s="4">
        <v>2.0</v>
      </c>
      <c r="E555" s="2" t="s">
        <v>12</v>
      </c>
      <c r="F555" s="2" t="s">
        <v>11</v>
      </c>
      <c r="G555" s="5">
        <v>20984.0936</v>
      </c>
    </row>
    <row r="556">
      <c r="A556" s="1">
        <v>35.0</v>
      </c>
      <c r="B556" s="2" t="s">
        <v>7</v>
      </c>
      <c r="C556" s="3">
        <v>30.5</v>
      </c>
      <c r="D556" s="4">
        <v>1.0</v>
      </c>
      <c r="E556" s="2" t="s">
        <v>8</v>
      </c>
      <c r="F556" s="2" t="s">
        <v>13</v>
      </c>
      <c r="G556" s="5">
        <v>4751.07</v>
      </c>
    </row>
    <row r="557">
      <c r="A557" s="1">
        <v>35.0</v>
      </c>
      <c r="B557" s="2" t="s">
        <v>10</v>
      </c>
      <c r="C557" s="3">
        <v>43.34</v>
      </c>
      <c r="D557" s="4">
        <v>2.0</v>
      </c>
      <c r="E557" s="2" t="s">
        <v>8</v>
      </c>
      <c r="F557" s="2" t="s">
        <v>9</v>
      </c>
      <c r="G557" s="5">
        <v>5846.9176</v>
      </c>
    </row>
    <row r="558">
      <c r="A558" s="1">
        <v>35.0</v>
      </c>
      <c r="B558" s="2" t="s">
        <v>7</v>
      </c>
      <c r="C558" s="3">
        <v>28.9</v>
      </c>
      <c r="D558" s="4">
        <v>3.0</v>
      </c>
      <c r="E558" s="2" t="s">
        <v>8</v>
      </c>
      <c r="F558" s="2" t="s">
        <v>13</v>
      </c>
      <c r="G558" s="5">
        <v>5926.846</v>
      </c>
    </row>
    <row r="559">
      <c r="A559" s="1">
        <v>35.0</v>
      </c>
      <c r="B559" s="2" t="s">
        <v>7</v>
      </c>
      <c r="C559" s="3">
        <v>38.6</v>
      </c>
      <c r="D559" s="4">
        <v>1.0</v>
      </c>
      <c r="E559" s="2" t="s">
        <v>8</v>
      </c>
      <c r="F559" s="2" t="s">
        <v>13</v>
      </c>
      <c r="G559" s="5">
        <v>4762.329</v>
      </c>
    </row>
    <row r="560">
      <c r="A560" s="1">
        <v>35.0</v>
      </c>
      <c r="B560" s="2" t="s">
        <v>10</v>
      </c>
      <c r="C560" s="3">
        <v>31.0</v>
      </c>
      <c r="D560" s="4">
        <v>1.0</v>
      </c>
      <c r="E560" s="2" t="s">
        <v>8</v>
      </c>
      <c r="F560" s="2" t="s">
        <v>13</v>
      </c>
      <c r="G560" s="5">
        <v>5240.765</v>
      </c>
    </row>
    <row r="561">
      <c r="A561" s="1">
        <v>35.0</v>
      </c>
      <c r="B561" s="2" t="s">
        <v>10</v>
      </c>
      <c r="C561" s="3">
        <v>34.105</v>
      </c>
      <c r="D561" s="4">
        <v>3.0</v>
      </c>
      <c r="E561" s="2" t="s">
        <v>12</v>
      </c>
      <c r="F561" s="2" t="s">
        <v>14</v>
      </c>
      <c r="G561" s="5">
        <v>39983.42595</v>
      </c>
    </row>
    <row r="562">
      <c r="A562" s="1">
        <v>35.0</v>
      </c>
      <c r="B562" s="2" t="s">
        <v>10</v>
      </c>
      <c r="C562" s="3">
        <v>38.095</v>
      </c>
      <c r="D562" s="4">
        <v>2.0</v>
      </c>
      <c r="E562" s="2" t="s">
        <v>8</v>
      </c>
      <c r="F562" s="2" t="s">
        <v>11</v>
      </c>
      <c r="G562" s="5">
        <v>24915.04626</v>
      </c>
    </row>
    <row r="563">
      <c r="A563" s="1">
        <v>35.0</v>
      </c>
      <c r="B563" s="2" t="s">
        <v>7</v>
      </c>
      <c r="C563" s="3">
        <v>24.42</v>
      </c>
      <c r="D563" s="4">
        <v>3.0</v>
      </c>
      <c r="E563" s="2" t="s">
        <v>12</v>
      </c>
      <c r="F563" s="2" t="s">
        <v>9</v>
      </c>
      <c r="G563" s="5">
        <v>19361.9988</v>
      </c>
    </row>
    <row r="564">
      <c r="A564" s="1">
        <v>35.0</v>
      </c>
      <c r="B564" s="2" t="s">
        <v>7</v>
      </c>
      <c r="C564" s="3">
        <v>34.32</v>
      </c>
      <c r="D564" s="4">
        <v>3.0</v>
      </c>
      <c r="E564" s="2" t="s">
        <v>8</v>
      </c>
      <c r="F564" s="2" t="s">
        <v>9</v>
      </c>
      <c r="G564" s="5">
        <v>5934.3798</v>
      </c>
    </row>
    <row r="565">
      <c r="A565" s="1">
        <v>35.0</v>
      </c>
      <c r="B565" s="2" t="s">
        <v>10</v>
      </c>
      <c r="C565" s="3">
        <v>27.7</v>
      </c>
      <c r="D565" s="4">
        <v>3.0</v>
      </c>
      <c r="E565" s="2" t="s">
        <v>8</v>
      </c>
      <c r="F565" s="2" t="s">
        <v>13</v>
      </c>
      <c r="G565" s="5">
        <v>6414.178</v>
      </c>
    </row>
    <row r="566">
      <c r="A566" s="1">
        <v>35.0</v>
      </c>
      <c r="B566" s="2" t="s">
        <v>10</v>
      </c>
      <c r="C566" s="3">
        <v>23.465</v>
      </c>
      <c r="D566" s="4">
        <v>2.0</v>
      </c>
      <c r="E566" s="2" t="s">
        <v>8</v>
      </c>
      <c r="F566" s="2" t="s">
        <v>11</v>
      </c>
      <c r="G566" s="5">
        <v>6402.29135</v>
      </c>
    </row>
    <row r="567">
      <c r="A567" s="1">
        <v>35.0</v>
      </c>
      <c r="B567" s="2" t="s">
        <v>10</v>
      </c>
      <c r="C567" s="3">
        <v>34.21</v>
      </c>
      <c r="D567" s="4">
        <v>1.0</v>
      </c>
      <c r="E567" s="2" t="s">
        <v>8</v>
      </c>
      <c r="F567" s="2" t="s">
        <v>9</v>
      </c>
      <c r="G567" s="5">
        <v>5245.2269</v>
      </c>
    </row>
    <row r="568">
      <c r="A568" s="1">
        <v>35.0</v>
      </c>
      <c r="B568" s="2" t="s">
        <v>7</v>
      </c>
      <c r="C568" s="3">
        <v>27.1</v>
      </c>
      <c r="D568" s="4">
        <v>1.0</v>
      </c>
      <c r="E568" s="2" t="s">
        <v>8</v>
      </c>
      <c r="F568" s="2" t="s">
        <v>13</v>
      </c>
      <c r="G568" s="5">
        <v>4746.344</v>
      </c>
    </row>
    <row r="569">
      <c r="A569" s="1">
        <v>35.0</v>
      </c>
      <c r="B569" s="2" t="s">
        <v>10</v>
      </c>
      <c r="C569" s="3">
        <v>28.025</v>
      </c>
      <c r="D569" s="4">
        <v>0.0</v>
      </c>
      <c r="E569" s="2" t="s">
        <v>12</v>
      </c>
      <c r="F569" s="2" t="s">
        <v>14</v>
      </c>
      <c r="G569" s="5">
        <v>20234.85475</v>
      </c>
    </row>
    <row r="570">
      <c r="A570" s="1">
        <v>35.0</v>
      </c>
      <c r="B570" s="2" t="s">
        <v>10</v>
      </c>
      <c r="C570" s="3">
        <v>35.86</v>
      </c>
      <c r="D570" s="4">
        <v>2.0</v>
      </c>
      <c r="E570" s="2" t="s">
        <v>8</v>
      </c>
      <c r="F570" s="2" t="s">
        <v>9</v>
      </c>
      <c r="G570" s="5">
        <v>5836.5204</v>
      </c>
    </row>
    <row r="571">
      <c r="A571" s="1">
        <v>35.0</v>
      </c>
      <c r="B571" s="2" t="s">
        <v>10</v>
      </c>
      <c r="C571" s="3">
        <v>35.815</v>
      </c>
      <c r="D571" s="4">
        <v>1.0</v>
      </c>
      <c r="E571" s="2" t="s">
        <v>8</v>
      </c>
      <c r="F571" s="2" t="s">
        <v>14</v>
      </c>
      <c r="G571" s="5">
        <v>5630.45785</v>
      </c>
    </row>
    <row r="572">
      <c r="A572" s="1">
        <v>35.0</v>
      </c>
      <c r="B572" s="2" t="s">
        <v>10</v>
      </c>
      <c r="C572" s="3">
        <v>26.125</v>
      </c>
      <c r="D572" s="4">
        <v>0.0</v>
      </c>
      <c r="E572" s="2" t="s">
        <v>8</v>
      </c>
      <c r="F572" s="2" t="s">
        <v>11</v>
      </c>
      <c r="G572" s="5">
        <v>5227.98875</v>
      </c>
    </row>
    <row r="573">
      <c r="A573" s="1">
        <v>35.0</v>
      </c>
      <c r="B573" s="2" t="s">
        <v>7</v>
      </c>
      <c r="C573" s="3">
        <v>17.86</v>
      </c>
      <c r="D573" s="4">
        <v>1.0</v>
      </c>
      <c r="E573" s="2" t="s">
        <v>8</v>
      </c>
      <c r="F573" s="2" t="s">
        <v>14</v>
      </c>
      <c r="G573" s="5">
        <v>5116.5004</v>
      </c>
    </row>
    <row r="574">
      <c r="A574" s="1">
        <v>35.0</v>
      </c>
      <c r="B574" s="2" t="s">
        <v>7</v>
      </c>
      <c r="C574" s="3">
        <v>27.61</v>
      </c>
      <c r="D574" s="4">
        <v>1.0</v>
      </c>
      <c r="E574" s="2" t="s">
        <v>8</v>
      </c>
      <c r="F574" s="2" t="s">
        <v>9</v>
      </c>
      <c r="G574" s="5">
        <v>4747.0529</v>
      </c>
    </row>
    <row r="575">
      <c r="A575" s="1">
        <v>35.0</v>
      </c>
      <c r="B575" s="2" t="s">
        <v>7</v>
      </c>
      <c r="C575" s="3">
        <v>39.71</v>
      </c>
      <c r="D575" s="4">
        <v>4.0</v>
      </c>
      <c r="E575" s="2" t="s">
        <v>8</v>
      </c>
      <c r="F575" s="2" t="s">
        <v>11</v>
      </c>
      <c r="G575" s="5">
        <v>19496.71917</v>
      </c>
    </row>
    <row r="576">
      <c r="A576" s="1">
        <v>36.0</v>
      </c>
      <c r="B576" s="2" t="s">
        <v>7</v>
      </c>
      <c r="C576" s="3">
        <v>35.2</v>
      </c>
      <c r="D576" s="4">
        <v>1.0</v>
      </c>
      <c r="E576" s="2" t="s">
        <v>12</v>
      </c>
      <c r="F576" s="2" t="s">
        <v>9</v>
      </c>
      <c r="G576" s="5">
        <v>38709.176</v>
      </c>
    </row>
    <row r="577">
      <c r="A577" s="1">
        <v>36.0</v>
      </c>
      <c r="B577" s="2" t="s">
        <v>7</v>
      </c>
      <c r="C577" s="3">
        <v>34.43</v>
      </c>
      <c r="D577" s="4">
        <v>0.0</v>
      </c>
      <c r="E577" s="2" t="s">
        <v>12</v>
      </c>
      <c r="F577" s="2" t="s">
        <v>9</v>
      </c>
      <c r="G577" s="5">
        <v>37742.5757</v>
      </c>
    </row>
    <row r="578">
      <c r="A578" s="1">
        <v>36.0</v>
      </c>
      <c r="B578" s="2" t="s">
        <v>7</v>
      </c>
      <c r="C578" s="3">
        <v>41.895</v>
      </c>
      <c r="D578" s="4">
        <v>3.0</v>
      </c>
      <c r="E578" s="2" t="s">
        <v>12</v>
      </c>
      <c r="F578" s="2" t="s">
        <v>11</v>
      </c>
      <c r="G578" s="5">
        <v>43753.33705</v>
      </c>
    </row>
    <row r="579">
      <c r="A579" s="1">
        <v>36.0</v>
      </c>
      <c r="B579" s="2" t="s">
        <v>10</v>
      </c>
      <c r="C579" s="3">
        <v>26.2</v>
      </c>
      <c r="D579" s="4">
        <v>0.0</v>
      </c>
      <c r="E579" s="2" t="s">
        <v>8</v>
      </c>
      <c r="F579" s="2" t="s">
        <v>13</v>
      </c>
      <c r="G579" s="5">
        <v>4883.866</v>
      </c>
    </row>
    <row r="580">
      <c r="A580" s="1">
        <v>36.0</v>
      </c>
      <c r="B580" s="2" t="s">
        <v>7</v>
      </c>
      <c r="C580" s="3">
        <v>27.55</v>
      </c>
      <c r="D580" s="4">
        <v>3.0</v>
      </c>
      <c r="E580" s="2" t="s">
        <v>8</v>
      </c>
      <c r="F580" s="2" t="s">
        <v>11</v>
      </c>
      <c r="G580" s="5">
        <v>6746.7425</v>
      </c>
    </row>
    <row r="581">
      <c r="A581" s="1">
        <v>36.0</v>
      </c>
      <c r="B581" s="2" t="s">
        <v>10</v>
      </c>
      <c r="C581" s="3">
        <v>29.92</v>
      </c>
      <c r="D581" s="4">
        <v>1.0</v>
      </c>
      <c r="E581" s="2" t="s">
        <v>8</v>
      </c>
      <c r="F581" s="2" t="s">
        <v>9</v>
      </c>
      <c r="G581" s="5">
        <v>5478.0368</v>
      </c>
    </row>
    <row r="582">
      <c r="A582" s="1">
        <v>36.0</v>
      </c>
      <c r="B582" s="2" t="s">
        <v>10</v>
      </c>
      <c r="C582" s="3">
        <v>22.6</v>
      </c>
      <c r="D582" s="4">
        <v>2.0</v>
      </c>
      <c r="E582" s="2" t="s">
        <v>12</v>
      </c>
      <c r="F582" s="2" t="s">
        <v>13</v>
      </c>
      <c r="G582" s="5">
        <v>18608.262</v>
      </c>
    </row>
    <row r="583">
      <c r="A583" s="1">
        <v>36.0</v>
      </c>
      <c r="B583" s="2" t="s">
        <v>7</v>
      </c>
      <c r="C583" s="3">
        <v>28.88</v>
      </c>
      <c r="D583" s="4">
        <v>3.0</v>
      </c>
      <c r="E583" s="2" t="s">
        <v>8</v>
      </c>
      <c r="F583" s="2" t="s">
        <v>11</v>
      </c>
      <c r="G583" s="5">
        <v>6748.5912</v>
      </c>
    </row>
    <row r="584">
      <c r="A584" s="1">
        <v>36.0</v>
      </c>
      <c r="B584" s="2" t="s">
        <v>7</v>
      </c>
      <c r="C584" s="3">
        <v>29.7</v>
      </c>
      <c r="D584" s="4">
        <v>0.0</v>
      </c>
      <c r="E584" s="2" t="s">
        <v>8</v>
      </c>
      <c r="F584" s="2" t="s">
        <v>9</v>
      </c>
      <c r="G584" s="5">
        <v>4399.731</v>
      </c>
    </row>
    <row r="585">
      <c r="A585" s="1">
        <v>36.0</v>
      </c>
      <c r="B585" s="2" t="s">
        <v>10</v>
      </c>
      <c r="C585" s="3">
        <v>27.74</v>
      </c>
      <c r="D585" s="4">
        <v>0.0</v>
      </c>
      <c r="E585" s="2" t="s">
        <v>8</v>
      </c>
      <c r="F585" s="2" t="s">
        <v>11</v>
      </c>
      <c r="G585" s="5">
        <v>5469.0066</v>
      </c>
    </row>
    <row r="586">
      <c r="A586" s="1">
        <v>36.0</v>
      </c>
      <c r="B586" s="2" t="s">
        <v>7</v>
      </c>
      <c r="C586" s="3">
        <v>34.43</v>
      </c>
      <c r="D586" s="4">
        <v>2.0</v>
      </c>
      <c r="E586" s="2" t="s">
        <v>8</v>
      </c>
      <c r="F586" s="2" t="s">
        <v>9</v>
      </c>
      <c r="G586" s="5">
        <v>5584.3057</v>
      </c>
    </row>
    <row r="587">
      <c r="A587" s="1">
        <v>36.0</v>
      </c>
      <c r="B587" s="2" t="s">
        <v>7</v>
      </c>
      <c r="C587" s="3">
        <v>28.025</v>
      </c>
      <c r="D587" s="4">
        <v>1.0</v>
      </c>
      <c r="E587" s="2" t="s">
        <v>12</v>
      </c>
      <c r="F587" s="2" t="s">
        <v>11</v>
      </c>
      <c r="G587" s="5">
        <v>20773.62775</v>
      </c>
    </row>
    <row r="588">
      <c r="A588" s="1">
        <v>36.0</v>
      </c>
      <c r="B588" s="2" t="s">
        <v>10</v>
      </c>
      <c r="C588" s="3">
        <v>25.84</v>
      </c>
      <c r="D588" s="4">
        <v>0.0</v>
      </c>
      <c r="E588" s="2" t="s">
        <v>8</v>
      </c>
      <c r="F588" s="2" t="s">
        <v>14</v>
      </c>
      <c r="G588" s="5">
        <v>5266.3656</v>
      </c>
    </row>
    <row r="589">
      <c r="A589" s="1">
        <v>36.0</v>
      </c>
      <c r="B589" s="2" t="s">
        <v>7</v>
      </c>
      <c r="C589" s="3">
        <v>33.82</v>
      </c>
      <c r="D589" s="4">
        <v>1.0</v>
      </c>
      <c r="E589" s="2" t="s">
        <v>8</v>
      </c>
      <c r="F589" s="2" t="s">
        <v>14</v>
      </c>
      <c r="G589" s="5">
        <v>5377.4578</v>
      </c>
    </row>
    <row r="590">
      <c r="A590" s="1">
        <v>36.0</v>
      </c>
      <c r="B590" s="2" t="s">
        <v>7</v>
      </c>
      <c r="C590" s="3">
        <v>31.5</v>
      </c>
      <c r="D590" s="4">
        <v>0.0</v>
      </c>
      <c r="E590" s="2" t="s">
        <v>8</v>
      </c>
      <c r="F590" s="2" t="s">
        <v>13</v>
      </c>
      <c r="G590" s="5">
        <v>4402.233</v>
      </c>
    </row>
    <row r="591">
      <c r="A591" s="1">
        <v>36.0</v>
      </c>
      <c r="B591" s="2" t="s">
        <v>10</v>
      </c>
      <c r="C591" s="3">
        <v>19.855</v>
      </c>
      <c r="D591" s="4">
        <v>0.0</v>
      </c>
      <c r="E591" s="2" t="s">
        <v>8</v>
      </c>
      <c r="F591" s="2" t="s">
        <v>11</v>
      </c>
      <c r="G591" s="5">
        <v>5458.04645</v>
      </c>
    </row>
    <row r="592">
      <c r="A592" s="1">
        <v>36.0</v>
      </c>
      <c r="B592" s="2" t="s">
        <v>10</v>
      </c>
      <c r="C592" s="3">
        <v>30.02</v>
      </c>
      <c r="D592" s="4">
        <v>0.0</v>
      </c>
      <c r="E592" s="2" t="s">
        <v>8</v>
      </c>
      <c r="F592" s="2" t="s">
        <v>14</v>
      </c>
      <c r="G592" s="5">
        <v>5272.1758</v>
      </c>
    </row>
    <row r="593">
      <c r="A593" s="1">
        <v>36.0</v>
      </c>
      <c r="B593" s="2" t="s">
        <v>10</v>
      </c>
      <c r="C593" s="3">
        <v>29.04</v>
      </c>
      <c r="D593" s="4">
        <v>4.0</v>
      </c>
      <c r="E593" s="2" t="s">
        <v>8</v>
      </c>
      <c r="F593" s="2" t="s">
        <v>9</v>
      </c>
      <c r="G593" s="5">
        <v>7243.8136</v>
      </c>
    </row>
    <row r="594">
      <c r="A594" s="1">
        <v>36.0</v>
      </c>
      <c r="B594" s="2" t="s">
        <v>10</v>
      </c>
      <c r="C594" s="3">
        <v>29.92</v>
      </c>
      <c r="D594" s="4">
        <v>0.0</v>
      </c>
      <c r="E594" s="2" t="s">
        <v>8</v>
      </c>
      <c r="F594" s="2" t="s">
        <v>9</v>
      </c>
      <c r="G594" s="5">
        <v>4889.0368</v>
      </c>
    </row>
    <row r="595">
      <c r="A595" s="1">
        <v>36.0</v>
      </c>
      <c r="B595" s="2" t="s">
        <v>10</v>
      </c>
      <c r="C595" s="3">
        <v>26.885</v>
      </c>
      <c r="D595" s="4">
        <v>0.0</v>
      </c>
      <c r="E595" s="2" t="s">
        <v>8</v>
      </c>
      <c r="F595" s="2" t="s">
        <v>14</v>
      </c>
      <c r="G595" s="5">
        <v>5267.81815</v>
      </c>
    </row>
    <row r="596">
      <c r="A596" s="1">
        <v>36.0</v>
      </c>
      <c r="B596" s="2" t="s">
        <v>7</v>
      </c>
      <c r="C596" s="3">
        <v>28.595</v>
      </c>
      <c r="D596" s="4">
        <v>3.0</v>
      </c>
      <c r="E596" s="2" t="s">
        <v>8</v>
      </c>
      <c r="F596" s="2" t="s">
        <v>14</v>
      </c>
      <c r="G596" s="5">
        <v>6548.19505</v>
      </c>
    </row>
    <row r="597">
      <c r="A597" s="1">
        <v>36.0</v>
      </c>
      <c r="B597" s="2" t="s">
        <v>10</v>
      </c>
      <c r="C597" s="3">
        <v>22.135</v>
      </c>
      <c r="D597" s="4">
        <v>3.0</v>
      </c>
      <c r="E597" s="2" t="s">
        <v>8</v>
      </c>
      <c r="F597" s="2" t="s">
        <v>11</v>
      </c>
      <c r="G597" s="5">
        <v>7228.21565</v>
      </c>
    </row>
    <row r="598">
      <c r="A598" s="1">
        <v>36.0</v>
      </c>
      <c r="B598" s="2" t="s">
        <v>7</v>
      </c>
      <c r="C598" s="3">
        <v>33.4</v>
      </c>
      <c r="D598" s="4">
        <v>2.0</v>
      </c>
      <c r="E598" s="2" t="s">
        <v>12</v>
      </c>
      <c r="F598" s="2" t="s">
        <v>13</v>
      </c>
      <c r="G598" s="5">
        <v>38415.474</v>
      </c>
    </row>
    <row r="599">
      <c r="A599" s="1">
        <v>36.0</v>
      </c>
      <c r="B599" s="2" t="s">
        <v>7</v>
      </c>
      <c r="C599" s="3">
        <v>30.875</v>
      </c>
      <c r="D599" s="4">
        <v>1.0</v>
      </c>
      <c r="E599" s="2" t="s">
        <v>8</v>
      </c>
      <c r="F599" s="2" t="s">
        <v>14</v>
      </c>
      <c r="G599" s="5">
        <v>5373.36425</v>
      </c>
    </row>
    <row r="600">
      <c r="A600" s="1">
        <v>36.0</v>
      </c>
      <c r="B600" s="2" t="s">
        <v>10</v>
      </c>
      <c r="C600" s="3">
        <v>25.9</v>
      </c>
      <c r="D600" s="4">
        <v>1.0</v>
      </c>
      <c r="E600" s="2" t="s">
        <v>8</v>
      </c>
      <c r="F600" s="2" t="s">
        <v>13</v>
      </c>
      <c r="G600" s="5">
        <v>5472.449</v>
      </c>
    </row>
    <row r="601">
      <c r="A601" s="1">
        <v>37.0</v>
      </c>
      <c r="B601" s="2" t="s">
        <v>10</v>
      </c>
      <c r="C601" s="3">
        <v>27.74</v>
      </c>
      <c r="D601" s="4">
        <v>3.0</v>
      </c>
      <c r="E601" s="2" t="s">
        <v>8</v>
      </c>
      <c r="F601" s="2" t="s">
        <v>14</v>
      </c>
      <c r="G601" s="5">
        <v>7281.5056</v>
      </c>
    </row>
    <row r="602">
      <c r="A602" s="1">
        <v>37.0</v>
      </c>
      <c r="B602" s="2" t="s">
        <v>7</v>
      </c>
      <c r="C602" s="3">
        <v>29.83</v>
      </c>
      <c r="D602" s="4">
        <v>2.0</v>
      </c>
      <c r="E602" s="2" t="s">
        <v>8</v>
      </c>
      <c r="F602" s="2" t="s">
        <v>11</v>
      </c>
      <c r="G602" s="5">
        <v>6406.4107</v>
      </c>
    </row>
    <row r="603">
      <c r="A603" s="1">
        <v>37.0</v>
      </c>
      <c r="B603" s="2" t="s">
        <v>7</v>
      </c>
      <c r="C603" s="3">
        <v>28.025</v>
      </c>
      <c r="D603" s="4">
        <v>2.0</v>
      </c>
      <c r="E603" s="2" t="s">
        <v>8</v>
      </c>
      <c r="F603" s="2" t="s">
        <v>14</v>
      </c>
      <c r="G603" s="5">
        <v>6203.90175</v>
      </c>
    </row>
    <row r="604">
      <c r="A604" s="1">
        <v>37.0</v>
      </c>
      <c r="B604" s="2" t="s">
        <v>10</v>
      </c>
      <c r="C604" s="3">
        <v>30.8</v>
      </c>
      <c r="D604" s="4">
        <v>2.0</v>
      </c>
      <c r="E604" s="2" t="s">
        <v>8</v>
      </c>
      <c r="F604" s="2" t="s">
        <v>9</v>
      </c>
      <c r="G604" s="5">
        <v>6313.759</v>
      </c>
    </row>
    <row r="605">
      <c r="A605" s="1">
        <v>37.0</v>
      </c>
      <c r="B605" s="2" t="s">
        <v>10</v>
      </c>
      <c r="C605" s="3">
        <v>34.8</v>
      </c>
      <c r="D605" s="4">
        <v>2.0</v>
      </c>
      <c r="E605" s="2" t="s">
        <v>12</v>
      </c>
      <c r="F605" s="2" t="s">
        <v>13</v>
      </c>
      <c r="G605" s="5">
        <v>39836.519</v>
      </c>
    </row>
    <row r="606">
      <c r="A606" s="1">
        <v>37.0</v>
      </c>
      <c r="B606" s="2" t="s">
        <v>7</v>
      </c>
      <c r="C606" s="3">
        <v>30.8</v>
      </c>
      <c r="D606" s="4">
        <v>0.0</v>
      </c>
      <c r="E606" s="2" t="s">
        <v>8</v>
      </c>
      <c r="F606" s="2" t="s">
        <v>13</v>
      </c>
      <c r="G606" s="5">
        <v>4646.759</v>
      </c>
    </row>
    <row r="607">
      <c r="A607" s="1">
        <v>37.0</v>
      </c>
      <c r="B607" s="2" t="s">
        <v>10</v>
      </c>
      <c r="C607" s="3">
        <v>23.37</v>
      </c>
      <c r="D607" s="4">
        <v>2.0</v>
      </c>
      <c r="E607" s="2" t="s">
        <v>8</v>
      </c>
      <c r="F607" s="2" t="s">
        <v>14</v>
      </c>
      <c r="G607" s="5">
        <v>6686.4313</v>
      </c>
    </row>
    <row r="608">
      <c r="A608" s="1">
        <v>37.0</v>
      </c>
      <c r="B608" s="2" t="s">
        <v>7</v>
      </c>
      <c r="C608" s="3">
        <v>29.64</v>
      </c>
      <c r="D608" s="4">
        <v>0.0</v>
      </c>
      <c r="E608" s="2" t="s">
        <v>8</v>
      </c>
      <c r="F608" s="2" t="s">
        <v>14</v>
      </c>
      <c r="G608" s="5">
        <v>5028.1466</v>
      </c>
    </row>
    <row r="609">
      <c r="A609" s="1">
        <v>37.0</v>
      </c>
      <c r="B609" s="2" t="s">
        <v>7</v>
      </c>
      <c r="C609" s="3">
        <v>30.875</v>
      </c>
      <c r="D609" s="4">
        <v>3.0</v>
      </c>
      <c r="E609" s="2" t="s">
        <v>8</v>
      </c>
      <c r="F609" s="2" t="s">
        <v>14</v>
      </c>
      <c r="G609" s="5">
        <v>6796.86325</v>
      </c>
    </row>
    <row r="610">
      <c r="A610" s="1">
        <v>37.0</v>
      </c>
      <c r="B610" s="2" t="s">
        <v>7</v>
      </c>
      <c r="C610" s="3">
        <v>36.19</v>
      </c>
      <c r="D610" s="4">
        <v>0.0</v>
      </c>
      <c r="E610" s="2" t="s">
        <v>8</v>
      </c>
      <c r="F610" s="2" t="s">
        <v>9</v>
      </c>
      <c r="G610" s="5">
        <v>19214.70553</v>
      </c>
    </row>
    <row r="611">
      <c r="A611" s="1">
        <v>37.0</v>
      </c>
      <c r="B611" s="2" t="s">
        <v>7</v>
      </c>
      <c r="C611" s="3">
        <v>34.1</v>
      </c>
      <c r="D611" s="4">
        <v>4.0</v>
      </c>
      <c r="E611" s="2" t="s">
        <v>12</v>
      </c>
      <c r="F611" s="2" t="s">
        <v>13</v>
      </c>
      <c r="G611" s="5">
        <v>40182.246</v>
      </c>
    </row>
    <row r="612">
      <c r="A612" s="1">
        <v>37.0</v>
      </c>
      <c r="B612" s="2" t="s">
        <v>7</v>
      </c>
      <c r="C612" s="3">
        <v>46.53</v>
      </c>
      <c r="D612" s="4">
        <v>3.0</v>
      </c>
      <c r="E612" s="2" t="s">
        <v>8</v>
      </c>
      <c r="F612" s="2" t="s">
        <v>9</v>
      </c>
      <c r="G612" s="5">
        <v>6435.6237</v>
      </c>
    </row>
    <row r="613">
      <c r="A613" s="1">
        <v>37.0</v>
      </c>
      <c r="B613" s="2" t="s">
        <v>10</v>
      </c>
      <c r="C613" s="3">
        <v>38.39</v>
      </c>
      <c r="D613" s="4">
        <v>0.0</v>
      </c>
      <c r="E613" s="2" t="s">
        <v>12</v>
      </c>
      <c r="F613" s="2" t="s">
        <v>9</v>
      </c>
      <c r="G613" s="5">
        <v>40419.0191</v>
      </c>
    </row>
    <row r="614">
      <c r="A614" s="1">
        <v>37.0</v>
      </c>
      <c r="B614" s="2" t="s">
        <v>10</v>
      </c>
      <c r="C614" s="3">
        <v>26.4</v>
      </c>
      <c r="D614" s="4">
        <v>0.0</v>
      </c>
      <c r="E614" s="2" t="s">
        <v>12</v>
      </c>
      <c r="F614" s="2" t="s">
        <v>9</v>
      </c>
      <c r="G614" s="5">
        <v>19539.243</v>
      </c>
    </row>
    <row r="615">
      <c r="A615" s="1">
        <v>37.0</v>
      </c>
      <c r="B615" s="2" t="s">
        <v>10</v>
      </c>
      <c r="C615" s="3">
        <v>30.78</v>
      </c>
      <c r="D615" s="4">
        <v>0.0</v>
      </c>
      <c r="E615" s="2" t="s">
        <v>12</v>
      </c>
      <c r="F615" s="2" t="s">
        <v>11</v>
      </c>
      <c r="G615" s="5">
        <v>37270.1512</v>
      </c>
    </row>
    <row r="616">
      <c r="A616" s="1">
        <v>37.0</v>
      </c>
      <c r="B616" s="2" t="s">
        <v>10</v>
      </c>
      <c r="C616" s="3">
        <v>47.6</v>
      </c>
      <c r="D616" s="4">
        <v>2.0</v>
      </c>
      <c r="E616" s="2" t="s">
        <v>12</v>
      </c>
      <c r="F616" s="2" t="s">
        <v>13</v>
      </c>
      <c r="G616" s="5">
        <v>46113.511</v>
      </c>
    </row>
    <row r="617">
      <c r="A617" s="1">
        <v>37.0</v>
      </c>
      <c r="B617" s="2" t="s">
        <v>10</v>
      </c>
      <c r="C617" s="3">
        <v>29.5</v>
      </c>
      <c r="D617" s="4">
        <v>2.0</v>
      </c>
      <c r="E617" s="2" t="s">
        <v>8</v>
      </c>
      <c r="F617" s="2" t="s">
        <v>13</v>
      </c>
      <c r="G617" s="5">
        <v>6311.952</v>
      </c>
    </row>
    <row r="618">
      <c r="A618" s="1">
        <v>37.0</v>
      </c>
      <c r="B618" s="2" t="s">
        <v>7</v>
      </c>
      <c r="C618" s="3">
        <v>34.2</v>
      </c>
      <c r="D618" s="4">
        <v>1.0</v>
      </c>
      <c r="E618" s="2" t="s">
        <v>12</v>
      </c>
      <c r="F618" s="2" t="s">
        <v>11</v>
      </c>
      <c r="G618" s="5">
        <v>39047.285</v>
      </c>
    </row>
    <row r="619">
      <c r="A619" s="1">
        <v>37.0</v>
      </c>
      <c r="B619" s="2" t="s">
        <v>10</v>
      </c>
      <c r="C619" s="3">
        <v>17.29</v>
      </c>
      <c r="D619" s="4">
        <v>2.0</v>
      </c>
      <c r="E619" s="2" t="s">
        <v>8</v>
      </c>
      <c r="F619" s="2" t="s">
        <v>11</v>
      </c>
      <c r="G619" s="5">
        <v>6877.9801</v>
      </c>
    </row>
    <row r="620">
      <c r="A620" s="1">
        <v>37.0</v>
      </c>
      <c r="B620" s="2" t="s">
        <v>7</v>
      </c>
      <c r="C620" s="3">
        <v>37.07</v>
      </c>
      <c r="D620" s="4">
        <v>1.0</v>
      </c>
      <c r="E620" s="2" t="s">
        <v>12</v>
      </c>
      <c r="F620" s="2" t="s">
        <v>9</v>
      </c>
      <c r="G620" s="5">
        <v>39871.7043</v>
      </c>
    </row>
    <row r="621">
      <c r="A621" s="1">
        <v>37.0</v>
      </c>
      <c r="B621" s="2" t="s">
        <v>7</v>
      </c>
      <c r="C621" s="3">
        <v>29.8</v>
      </c>
      <c r="D621" s="4">
        <v>0.0</v>
      </c>
      <c r="E621" s="2" t="s">
        <v>8</v>
      </c>
      <c r="F621" s="2" t="s">
        <v>13</v>
      </c>
      <c r="G621" s="5">
        <v>20420.60465</v>
      </c>
    </row>
    <row r="622">
      <c r="A622" s="1">
        <v>37.0</v>
      </c>
      <c r="B622" s="2" t="s">
        <v>10</v>
      </c>
      <c r="C622" s="3">
        <v>34.105</v>
      </c>
      <c r="D622" s="4">
        <v>1.0</v>
      </c>
      <c r="E622" s="2" t="s">
        <v>8</v>
      </c>
      <c r="F622" s="2" t="s">
        <v>14</v>
      </c>
      <c r="G622" s="5">
        <v>6112.35295</v>
      </c>
    </row>
    <row r="623">
      <c r="A623" s="1">
        <v>37.0</v>
      </c>
      <c r="B623" s="2" t="s">
        <v>7</v>
      </c>
      <c r="C623" s="3">
        <v>24.32</v>
      </c>
      <c r="D623" s="4">
        <v>2.0</v>
      </c>
      <c r="E623" s="2" t="s">
        <v>8</v>
      </c>
      <c r="F623" s="2" t="s">
        <v>14</v>
      </c>
      <c r="G623" s="5">
        <v>6198.7518</v>
      </c>
    </row>
    <row r="624">
      <c r="A624" s="1">
        <v>37.0</v>
      </c>
      <c r="B624" s="2" t="s">
        <v>10</v>
      </c>
      <c r="C624" s="3">
        <v>25.555</v>
      </c>
      <c r="D624" s="4">
        <v>1.0</v>
      </c>
      <c r="E624" s="2" t="s">
        <v>12</v>
      </c>
      <c r="F624" s="2" t="s">
        <v>11</v>
      </c>
      <c r="G624" s="5">
        <v>20296.86345</v>
      </c>
    </row>
    <row r="625">
      <c r="A625" s="1">
        <v>37.0</v>
      </c>
      <c r="B625" s="2" t="s">
        <v>7</v>
      </c>
      <c r="C625" s="3">
        <v>22.705</v>
      </c>
      <c r="D625" s="4">
        <v>3.0</v>
      </c>
      <c r="E625" s="2" t="s">
        <v>8</v>
      </c>
      <c r="F625" s="2" t="s">
        <v>11</v>
      </c>
      <c r="G625" s="5">
        <v>6985.50695</v>
      </c>
    </row>
    <row r="626">
      <c r="A626" s="1">
        <v>38.0</v>
      </c>
      <c r="B626" s="2" t="s">
        <v>7</v>
      </c>
      <c r="C626" s="3">
        <v>37.05</v>
      </c>
      <c r="D626" s="4">
        <v>1.0</v>
      </c>
      <c r="E626" s="2" t="s">
        <v>8</v>
      </c>
      <c r="F626" s="2" t="s">
        <v>11</v>
      </c>
      <c r="G626" s="5">
        <v>6079.6715</v>
      </c>
    </row>
    <row r="627">
      <c r="A627" s="1">
        <v>38.0</v>
      </c>
      <c r="B627" s="2" t="s">
        <v>7</v>
      </c>
      <c r="C627" s="3">
        <v>19.3</v>
      </c>
      <c r="D627" s="4">
        <v>0.0</v>
      </c>
      <c r="E627" s="2" t="s">
        <v>12</v>
      </c>
      <c r="F627" s="2" t="s">
        <v>13</v>
      </c>
      <c r="G627" s="5">
        <v>15820.699</v>
      </c>
    </row>
    <row r="628">
      <c r="A628" s="1">
        <v>38.0</v>
      </c>
      <c r="B628" s="2" t="s">
        <v>7</v>
      </c>
      <c r="C628" s="3">
        <v>34.7</v>
      </c>
      <c r="D628" s="4">
        <v>2.0</v>
      </c>
      <c r="E628" s="2" t="s">
        <v>8</v>
      </c>
      <c r="F628" s="2" t="s">
        <v>13</v>
      </c>
      <c r="G628" s="5">
        <v>6082.405</v>
      </c>
    </row>
    <row r="629">
      <c r="A629" s="1">
        <v>38.0</v>
      </c>
      <c r="B629" s="2" t="s">
        <v>7</v>
      </c>
      <c r="C629" s="3">
        <v>27.835</v>
      </c>
      <c r="D629" s="4">
        <v>2.0</v>
      </c>
      <c r="E629" s="2" t="s">
        <v>8</v>
      </c>
      <c r="F629" s="2" t="s">
        <v>14</v>
      </c>
      <c r="G629" s="5">
        <v>6455.86265</v>
      </c>
    </row>
    <row r="630">
      <c r="A630" s="1">
        <v>38.0</v>
      </c>
      <c r="B630" s="2" t="s">
        <v>10</v>
      </c>
      <c r="C630" s="3">
        <v>40.15</v>
      </c>
      <c r="D630" s="4">
        <v>0.0</v>
      </c>
      <c r="E630" s="2" t="s">
        <v>8</v>
      </c>
      <c r="F630" s="2" t="s">
        <v>9</v>
      </c>
      <c r="G630" s="5">
        <v>5400.9805</v>
      </c>
    </row>
    <row r="631">
      <c r="A631" s="1">
        <v>38.0</v>
      </c>
      <c r="B631" s="2" t="s">
        <v>7</v>
      </c>
      <c r="C631" s="3">
        <v>21.12</v>
      </c>
      <c r="D631" s="4">
        <v>3.0</v>
      </c>
      <c r="E631" s="2" t="s">
        <v>8</v>
      </c>
      <c r="F631" s="2" t="s">
        <v>9</v>
      </c>
      <c r="G631" s="5">
        <v>6652.5288</v>
      </c>
    </row>
    <row r="632">
      <c r="A632" s="1">
        <v>38.0</v>
      </c>
      <c r="B632" s="2" t="s">
        <v>10</v>
      </c>
      <c r="C632" s="3">
        <v>27.265</v>
      </c>
      <c r="D632" s="4">
        <v>1.0</v>
      </c>
      <c r="E632" s="2" t="s">
        <v>8</v>
      </c>
      <c r="F632" s="2" t="s">
        <v>11</v>
      </c>
      <c r="G632" s="5">
        <v>6555.07035</v>
      </c>
    </row>
    <row r="633">
      <c r="A633" s="1">
        <v>38.0</v>
      </c>
      <c r="B633" s="2" t="s">
        <v>10</v>
      </c>
      <c r="C633" s="3">
        <v>28.93</v>
      </c>
      <c r="D633" s="4">
        <v>1.0</v>
      </c>
      <c r="E633" s="2" t="s">
        <v>8</v>
      </c>
      <c r="F633" s="2" t="s">
        <v>9</v>
      </c>
      <c r="G633" s="5">
        <v>5974.3847</v>
      </c>
    </row>
    <row r="634">
      <c r="A634" s="1">
        <v>38.0</v>
      </c>
      <c r="B634" s="2" t="s">
        <v>10</v>
      </c>
      <c r="C634" s="3">
        <v>37.73</v>
      </c>
      <c r="D634" s="4">
        <v>0.0</v>
      </c>
      <c r="E634" s="2" t="s">
        <v>8</v>
      </c>
      <c r="F634" s="2" t="s">
        <v>9</v>
      </c>
      <c r="G634" s="5">
        <v>5397.6167</v>
      </c>
    </row>
    <row r="635">
      <c r="A635" s="1">
        <v>38.0</v>
      </c>
      <c r="B635" s="2" t="s">
        <v>7</v>
      </c>
      <c r="C635" s="3">
        <v>28.025</v>
      </c>
      <c r="D635" s="4">
        <v>1.0</v>
      </c>
      <c r="E635" s="2" t="s">
        <v>8</v>
      </c>
      <c r="F635" s="2" t="s">
        <v>11</v>
      </c>
      <c r="G635" s="5">
        <v>6067.12675</v>
      </c>
    </row>
    <row r="636">
      <c r="A636" s="1">
        <v>38.0</v>
      </c>
      <c r="B636" s="2" t="s">
        <v>10</v>
      </c>
      <c r="C636" s="3">
        <v>40.565</v>
      </c>
      <c r="D636" s="4">
        <v>1.0</v>
      </c>
      <c r="E636" s="2" t="s">
        <v>8</v>
      </c>
      <c r="F636" s="2" t="s">
        <v>14</v>
      </c>
      <c r="G636" s="5">
        <v>6373.55735</v>
      </c>
    </row>
    <row r="637">
      <c r="A637" s="1">
        <v>38.0</v>
      </c>
      <c r="B637" s="2" t="s">
        <v>10</v>
      </c>
      <c r="C637" s="3">
        <v>30.69</v>
      </c>
      <c r="D637" s="4">
        <v>1.0</v>
      </c>
      <c r="E637" s="2" t="s">
        <v>8</v>
      </c>
      <c r="F637" s="2" t="s">
        <v>9</v>
      </c>
      <c r="G637" s="5">
        <v>5976.8311</v>
      </c>
    </row>
    <row r="638">
      <c r="A638" s="1">
        <v>38.0</v>
      </c>
      <c r="B638" s="2" t="s">
        <v>10</v>
      </c>
      <c r="C638" s="3">
        <v>34.8</v>
      </c>
      <c r="D638" s="4">
        <v>2.0</v>
      </c>
      <c r="E638" s="2" t="s">
        <v>8</v>
      </c>
      <c r="F638" s="2" t="s">
        <v>13</v>
      </c>
      <c r="G638" s="5">
        <v>6571.544</v>
      </c>
    </row>
    <row r="639">
      <c r="A639" s="1">
        <v>38.0</v>
      </c>
      <c r="B639" s="2" t="s">
        <v>10</v>
      </c>
      <c r="C639" s="3">
        <v>19.475</v>
      </c>
      <c r="D639" s="4">
        <v>2.0</v>
      </c>
      <c r="E639" s="2" t="s">
        <v>8</v>
      </c>
      <c r="F639" s="2" t="s">
        <v>14</v>
      </c>
      <c r="G639" s="5">
        <v>6933.24225</v>
      </c>
    </row>
    <row r="640">
      <c r="A640" s="1">
        <v>38.0</v>
      </c>
      <c r="B640" s="2" t="s">
        <v>10</v>
      </c>
      <c r="C640" s="3">
        <v>28.0</v>
      </c>
      <c r="D640" s="4">
        <v>3.0</v>
      </c>
      <c r="E640" s="2" t="s">
        <v>8</v>
      </c>
      <c r="F640" s="2" t="s">
        <v>13</v>
      </c>
      <c r="G640" s="5">
        <v>7151.092</v>
      </c>
    </row>
    <row r="641">
      <c r="A641" s="1">
        <v>38.0</v>
      </c>
      <c r="B641" s="2" t="s">
        <v>7</v>
      </c>
      <c r="C641" s="3">
        <v>31.0</v>
      </c>
      <c r="D641" s="4">
        <v>1.0</v>
      </c>
      <c r="E641" s="2" t="s">
        <v>8</v>
      </c>
      <c r="F641" s="2" t="s">
        <v>13</v>
      </c>
      <c r="G641" s="5">
        <v>5488.262</v>
      </c>
    </row>
    <row r="642">
      <c r="A642" s="1">
        <v>38.0</v>
      </c>
      <c r="B642" s="2" t="s">
        <v>10</v>
      </c>
      <c r="C642" s="3">
        <v>27.835</v>
      </c>
      <c r="D642" s="4">
        <v>2.0</v>
      </c>
      <c r="E642" s="2" t="s">
        <v>8</v>
      </c>
      <c r="F642" s="2" t="s">
        <v>11</v>
      </c>
      <c r="G642" s="5">
        <v>7144.86265</v>
      </c>
    </row>
    <row r="643">
      <c r="A643" s="1">
        <v>38.0</v>
      </c>
      <c r="B643" s="2" t="s">
        <v>7</v>
      </c>
      <c r="C643" s="3">
        <v>28.27</v>
      </c>
      <c r="D643" s="4">
        <v>1.0</v>
      </c>
      <c r="E643" s="2" t="s">
        <v>8</v>
      </c>
      <c r="F643" s="2" t="s">
        <v>9</v>
      </c>
      <c r="G643" s="5">
        <v>5484.4673</v>
      </c>
    </row>
    <row r="644">
      <c r="A644" s="1">
        <v>38.0</v>
      </c>
      <c r="B644" s="2" t="s">
        <v>10</v>
      </c>
      <c r="C644" s="3">
        <v>27.6</v>
      </c>
      <c r="D644" s="4">
        <v>0.0</v>
      </c>
      <c r="E644" s="2" t="s">
        <v>8</v>
      </c>
      <c r="F644" s="2" t="s">
        <v>13</v>
      </c>
      <c r="G644" s="5">
        <v>5383.536</v>
      </c>
    </row>
    <row r="645">
      <c r="A645" s="1">
        <v>38.0</v>
      </c>
      <c r="B645" s="2" t="s">
        <v>7</v>
      </c>
      <c r="C645" s="3">
        <v>19.95</v>
      </c>
      <c r="D645" s="4">
        <v>1.0</v>
      </c>
      <c r="E645" s="2" t="s">
        <v>8</v>
      </c>
      <c r="F645" s="2" t="s">
        <v>14</v>
      </c>
      <c r="G645" s="5">
        <v>5855.9025</v>
      </c>
    </row>
    <row r="646">
      <c r="A646" s="1">
        <v>38.0</v>
      </c>
      <c r="B646" s="2" t="s">
        <v>7</v>
      </c>
      <c r="C646" s="3">
        <v>38.39</v>
      </c>
      <c r="D646" s="4">
        <v>3.0</v>
      </c>
      <c r="E646" s="2" t="s">
        <v>12</v>
      </c>
      <c r="F646" s="2" t="s">
        <v>9</v>
      </c>
      <c r="G646" s="5">
        <v>41949.2441</v>
      </c>
    </row>
    <row r="647">
      <c r="A647" s="1">
        <v>38.0</v>
      </c>
      <c r="B647" s="2" t="s">
        <v>7</v>
      </c>
      <c r="C647" s="3">
        <v>29.26</v>
      </c>
      <c r="D647" s="4">
        <v>2.0</v>
      </c>
      <c r="E647" s="2" t="s">
        <v>8</v>
      </c>
      <c r="F647" s="2" t="s">
        <v>14</v>
      </c>
      <c r="G647" s="5">
        <v>6457.8434</v>
      </c>
    </row>
    <row r="648">
      <c r="A648" s="1">
        <v>38.0</v>
      </c>
      <c r="B648" s="2" t="s">
        <v>10</v>
      </c>
      <c r="C648" s="3">
        <v>30.21</v>
      </c>
      <c r="D648" s="4">
        <v>3.0</v>
      </c>
      <c r="E648" s="2" t="s">
        <v>8</v>
      </c>
      <c r="F648" s="2" t="s">
        <v>14</v>
      </c>
      <c r="G648" s="5">
        <v>7537.1639</v>
      </c>
    </row>
    <row r="649">
      <c r="A649" s="1">
        <v>38.0</v>
      </c>
      <c r="B649" s="2" t="s">
        <v>7</v>
      </c>
      <c r="C649" s="3">
        <v>16.815</v>
      </c>
      <c r="D649" s="4">
        <v>2.0</v>
      </c>
      <c r="E649" s="2" t="s">
        <v>8</v>
      </c>
      <c r="F649" s="2" t="s">
        <v>11</v>
      </c>
      <c r="G649" s="5">
        <v>6640.54485</v>
      </c>
    </row>
    <row r="650">
      <c r="A650" s="1">
        <v>38.0</v>
      </c>
      <c r="B650" s="2" t="s">
        <v>10</v>
      </c>
      <c r="C650" s="3">
        <v>19.95</v>
      </c>
      <c r="D650" s="4">
        <v>2.0</v>
      </c>
      <c r="E650" s="2" t="s">
        <v>8</v>
      </c>
      <c r="F650" s="2" t="s">
        <v>11</v>
      </c>
      <c r="G650" s="5">
        <v>7133.9025</v>
      </c>
    </row>
    <row r="651">
      <c r="A651" s="1">
        <v>39.0</v>
      </c>
      <c r="B651" s="2" t="s">
        <v>10</v>
      </c>
      <c r="C651" s="3">
        <v>32.8</v>
      </c>
      <c r="D651" s="4">
        <v>0.0</v>
      </c>
      <c r="E651" s="2" t="s">
        <v>8</v>
      </c>
      <c r="F651" s="2" t="s">
        <v>13</v>
      </c>
      <c r="G651" s="5">
        <v>5649.715</v>
      </c>
    </row>
    <row r="652">
      <c r="A652" s="1">
        <v>39.0</v>
      </c>
      <c r="B652" s="2" t="s">
        <v>7</v>
      </c>
      <c r="C652" s="3">
        <v>24.51</v>
      </c>
      <c r="D652" s="4">
        <v>2.0</v>
      </c>
      <c r="E652" s="2" t="s">
        <v>8</v>
      </c>
      <c r="F652" s="2" t="s">
        <v>14</v>
      </c>
      <c r="G652" s="5">
        <v>6710.1919</v>
      </c>
    </row>
    <row r="653">
      <c r="A653" s="1">
        <v>39.0</v>
      </c>
      <c r="B653" s="2" t="s">
        <v>10</v>
      </c>
      <c r="C653" s="3">
        <v>24.89</v>
      </c>
      <c r="D653" s="4">
        <v>3.0</v>
      </c>
      <c r="E653" s="2" t="s">
        <v>12</v>
      </c>
      <c r="F653" s="2" t="s">
        <v>11</v>
      </c>
      <c r="G653" s="5">
        <v>21659.9301</v>
      </c>
    </row>
    <row r="654">
      <c r="A654" s="1">
        <v>39.0</v>
      </c>
      <c r="B654" s="2" t="s">
        <v>7</v>
      </c>
      <c r="C654" s="3">
        <v>29.6</v>
      </c>
      <c r="D654" s="4">
        <v>4.0</v>
      </c>
      <c r="E654" s="2" t="s">
        <v>8</v>
      </c>
      <c r="F654" s="2" t="s">
        <v>13</v>
      </c>
      <c r="G654" s="5">
        <v>7512.267</v>
      </c>
    </row>
    <row r="655">
      <c r="A655" s="1">
        <v>39.0</v>
      </c>
      <c r="B655" s="2" t="s">
        <v>7</v>
      </c>
      <c r="C655" s="3">
        <v>28.3</v>
      </c>
      <c r="D655" s="4">
        <v>1.0</v>
      </c>
      <c r="E655" s="2" t="s">
        <v>12</v>
      </c>
      <c r="F655" s="2" t="s">
        <v>13</v>
      </c>
      <c r="G655" s="5">
        <v>21082.16</v>
      </c>
    </row>
    <row r="656">
      <c r="A656" s="1">
        <v>39.0</v>
      </c>
      <c r="B656" s="2" t="s">
        <v>7</v>
      </c>
      <c r="C656" s="3">
        <v>45.43</v>
      </c>
      <c r="D656" s="4">
        <v>2.0</v>
      </c>
      <c r="E656" s="2" t="s">
        <v>8</v>
      </c>
      <c r="F656" s="2" t="s">
        <v>9</v>
      </c>
      <c r="G656" s="5">
        <v>6356.2707</v>
      </c>
    </row>
    <row r="657">
      <c r="A657" s="1">
        <v>39.0</v>
      </c>
      <c r="B657" s="2" t="s">
        <v>7</v>
      </c>
      <c r="C657" s="3">
        <v>26.41</v>
      </c>
      <c r="D657" s="4">
        <v>0.0</v>
      </c>
      <c r="E657" s="2" t="s">
        <v>12</v>
      </c>
      <c r="F657" s="2" t="s">
        <v>11</v>
      </c>
      <c r="G657" s="5">
        <v>20149.3229</v>
      </c>
    </row>
    <row r="658">
      <c r="A658" s="1">
        <v>39.0</v>
      </c>
      <c r="B658" s="2" t="s">
        <v>7</v>
      </c>
      <c r="C658" s="3">
        <v>26.22</v>
      </c>
      <c r="D658" s="4">
        <v>1.0</v>
      </c>
      <c r="E658" s="2" t="s">
        <v>8</v>
      </c>
      <c r="F658" s="2" t="s">
        <v>14</v>
      </c>
      <c r="G658" s="5">
        <v>6123.5688</v>
      </c>
    </row>
    <row r="659">
      <c r="A659" s="1">
        <v>39.0</v>
      </c>
      <c r="B659" s="2" t="s">
        <v>7</v>
      </c>
      <c r="C659" s="3">
        <v>35.3</v>
      </c>
      <c r="D659" s="4">
        <v>2.0</v>
      </c>
      <c r="E659" s="2" t="s">
        <v>12</v>
      </c>
      <c r="F659" s="2" t="s">
        <v>13</v>
      </c>
      <c r="G659" s="5">
        <v>40103.89</v>
      </c>
    </row>
    <row r="660">
      <c r="A660" s="1">
        <v>39.0</v>
      </c>
      <c r="B660" s="2" t="s">
        <v>10</v>
      </c>
      <c r="C660" s="3">
        <v>22.8</v>
      </c>
      <c r="D660" s="4">
        <v>3.0</v>
      </c>
      <c r="E660" s="2" t="s">
        <v>8</v>
      </c>
      <c r="F660" s="2" t="s">
        <v>11</v>
      </c>
      <c r="G660" s="5">
        <v>7985.815</v>
      </c>
    </row>
    <row r="661">
      <c r="A661" s="1">
        <v>39.0</v>
      </c>
      <c r="B661" s="2" t="s">
        <v>10</v>
      </c>
      <c r="C661" s="3">
        <v>41.8</v>
      </c>
      <c r="D661" s="4">
        <v>0.0</v>
      </c>
      <c r="E661" s="2" t="s">
        <v>8</v>
      </c>
      <c r="F661" s="2" t="s">
        <v>9</v>
      </c>
      <c r="G661" s="5">
        <v>5662.225</v>
      </c>
    </row>
    <row r="662">
      <c r="A662" s="1">
        <v>39.0</v>
      </c>
      <c r="B662" s="2" t="s">
        <v>10</v>
      </c>
      <c r="C662" s="3">
        <v>31.92</v>
      </c>
      <c r="D662" s="4">
        <v>2.0</v>
      </c>
      <c r="E662" s="2" t="s">
        <v>8</v>
      </c>
      <c r="F662" s="2" t="s">
        <v>14</v>
      </c>
      <c r="G662" s="5">
        <v>7209.4918</v>
      </c>
    </row>
    <row r="663">
      <c r="A663" s="1">
        <v>39.0</v>
      </c>
      <c r="B663" s="2" t="s">
        <v>7</v>
      </c>
      <c r="C663" s="3">
        <v>21.85</v>
      </c>
      <c r="D663" s="4">
        <v>1.0</v>
      </c>
      <c r="E663" s="2" t="s">
        <v>8</v>
      </c>
      <c r="F663" s="2" t="s">
        <v>14</v>
      </c>
      <c r="G663" s="5">
        <v>6117.4945</v>
      </c>
    </row>
    <row r="664">
      <c r="A664" s="1">
        <v>39.0</v>
      </c>
      <c r="B664" s="2" t="s">
        <v>10</v>
      </c>
      <c r="C664" s="3">
        <v>32.5</v>
      </c>
      <c r="D664" s="4">
        <v>1.0</v>
      </c>
      <c r="E664" s="2" t="s">
        <v>8</v>
      </c>
      <c r="F664" s="2" t="s">
        <v>13</v>
      </c>
      <c r="G664" s="5">
        <v>6238.298</v>
      </c>
    </row>
    <row r="665">
      <c r="A665" s="1">
        <v>39.0</v>
      </c>
      <c r="B665" s="2" t="s">
        <v>10</v>
      </c>
      <c r="C665" s="3">
        <v>24.225</v>
      </c>
      <c r="D665" s="4">
        <v>5.0</v>
      </c>
      <c r="E665" s="2" t="s">
        <v>8</v>
      </c>
      <c r="F665" s="2" t="s">
        <v>14</v>
      </c>
      <c r="G665" s="5">
        <v>8965.79575</v>
      </c>
    </row>
    <row r="666">
      <c r="A666" s="1">
        <v>39.0</v>
      </c>
      <c r="B666" s="2" t="s">
        <v>10</v>
      </c>
      <c r="C666" s="3">
        <v>34.32</v>
      </c>
      <c r="D666" s="4">
        <v>5.0</v>
      </c>
      <c r="E666" s="2" t="s">
        <v>8</v>
      </c>
      <c r="F666" s="2" t="s">
        <v>9</v>
      </c>
      <c r="G666" s="5">
        <v>8596.8278</v>
      </c>
    </row>
    <row r="667">
      <c r="A667" s="1">
        <v>39.0</v>
      </c>
      <c r="B667" s="2" t="s">
        <v>10</v>
      </c>
      <c r="C667" s="3">
        <v>23.275</v>
      </c>
      <c r="D667" s="4">
        <v>3.0</v>
      </c>
      <c r="E667" s="2" t="s">
        <v>8</v>
      </c>
      <c r="F667" s="2" t="s">
        <v>11</v>
      </c>
      <c r="G667" s="5">
        <v>7986.47525</v>
      </c>
    </row>
    <row r="668">
      <c r="A668" s="1">
        <v>39.0</v>
      </c>
      <c r="B668" s="2" t="s">
        <v>10</v>
      </c>
      <c r="C668" s="3">
        <v>34.1</v>
      </c>
      <c r="D668" s="4">
        <v>3.0</v>
      </c>
      <c r="E668" s="2" t="s">
        <v>8</v>
      </c>
      <c r="F668" s="2" t="s">
        <v>13</v>
      </c>
      <c r="G668" s="5">
        <v>7418.522</v>
      </c>
    </row>
    <row r="669">
      <c r="A669" s="1">
        <v>39.0</v>
      </c>
      <c r="B669" s="2" t="s">
        <v>7</v>
      </c>
      <c r="C669" s="3">
        <v>42.655</v>
      </c>
      <c r="D669" s="4">
        <v>0.0</v>
      </c>
      <c r="E669" s="2" t="s">
        <v>8</v>
      </c>
      <c r="F669" s="2" t="s">
        <v>11</v>
      </c>
      <c r="G669" s="5">
        <v>5757.41345</v>
      </c>
    </row>
    <row r="670">
      <c r="A670" s="1">
        <v>39.0</v>
      </c>
      <c r="B670" s="2" t="s">
        <v>10</v>
      </c>
      <c r="C670" s="3">
        <v>18.3</v>
      </c>
      <c r="D670" s="4">
        <v>5.0</v>
      </c>
      <c r="E670" s="2" t="s">
        <v>12</v>
      </c>
      <c r="F670" s="2" t="s">
        <v>13</v>
      </c>
      <c r="G670" s="5">
        <v>19023.26</v>
      </c>
    </row>
    <row r="671">
      <c r="A671" s="1">
        <v>39.0</v>
      </c>
      <c r="B671" s="2" t="s">
        <v>10</v>
      </c>
      <c r="C671" s="3">
        <v>23.87</v>
      </c>
      <c r="D671" s="4">
        <v>5.0</v>
      </c>
      <c r="E671" s="2" t="s">
        <v>8</v>
      </c>
      <c r="F671" s="2" t="s">
        <v>9</v>
      </c>
      <c r="G671" s="5">
        <v>8582.3023</v>
      </c>
    </row>
    <row r="672">
      <c r="A672" s="1">
        <v>39.0</v>
      </c>
      <c r="B672" s="2" t="s">
        <v>7</v>
      </c>
      <c r="C672" s="3">
        <v>32.34</v>
      </c>
      <c r="D672" s="4">
        <v>2.0</v>
      </c>
      <c r="E672" s="2" t="s">
        <v>8</v>
      </c>
      <c r="F672" s="2" t="s">
        <v>9</v>
      </c>
      <c r="G672" s="5">
        <v>6338.0756</v>
      </c>
    </row>
    <row r="673">
      <c r="A673" s="1">
        <v>39.0</v>
      </c>
      <c r="B673" s="2" t="s">
        <v>7</v>
      </c>
      <c r="C673" s="3">
        <v>34.1</v>
      </c>
      <c r="D673" s="4">
        <v>2.0</v>
      </c>
      <c r="E673" s="2" t="s">
        <v>8</v>
      </c>
      <c r="F673" s="2" t="s">
        <v>9</v>
      </c>
      <c r="G673" s="5">
        <v>23563.01618</v>
      </c>
    </row>
    <row r="674">
      <c r="A674" s="1">
        <v>39.0</v>
      </c>
      <c r="B674" s="2" t="s">
        <v>7</v>
      </c>
      <c r="C674" s="3">
        <v>29.925</v>
      </c>
      <c r="D674" s="4">
        <v>1.0</v>
      </c>
      <c r="E674" s="2" t="s">
        <v>12</v>
      </c>
      <c r="F674" s="2" t="s">
        <v>11</v>
      </c>
      <c r="G674" s="5">
        <v>22462.04375</v>
      </c>
    </row>
    <row r="675">
      <c r="A675" s="1">
        <v>39.0</v>
      </c>
      <c r="B675" s="2" t="s">
        <v>10</v>
      </c>
      <c r="C675" s="3">
        <v>26.315</v>
      </c>
      <c r="D675" s="4">
        <v>2.0</v>
      </c>
      <c r="E675" s="2" t="s">
        <v>8</v>
      </c>
      <c r="F675" s="2" t="s">
        <v>14</v>
      </c>
      <c r="G675" s="5">
        <v>7201.70085</v>
      </c>
    </row>
    <row r="676">
      <c r="A676" s="1">
        <v>40.0</v>
      </c>
      <c r="B676" s="2" t="s">
        <v>10</v>
      </c>
      <c r="C676" s="3">
        <v>28.69</v>
      </c>
      <c r="D676" s="4">
        <v>3.0</v>
      </c>
      <c r="E676" s="2" t="s">
        <v>8</v>
      </c>
      <c r="F676" s="2" t="s">
        <v>14</v>
      </c>
      <c r="G676" s="5">
        <v>8059.6791</v>
      </c>
    </row>
    <row r="677">
      <c r="A677" s="1">
        <v>40.0</v>
      </c>
      <c r="B677" s="2" t="s">
        <v>7</v>
      </c>
      <c r="C677" s="3">
        <v>26.315</v>
      </c>
      <c r="D677" s="4">
        <v>1.0</v>
      </c>
      <c r="E677" s="2" t="s">
        <v>8</v>
      </c>
      <c r="F677" s="2" t="s">
        <v>14</v>
      </c>
      <c r="G677" s="5">
        <v>6389.37785</v>
      </c>
    </row>
    <row r="678">
      <c r="A678" s="1">
        <v>40.0</v>
      </c>
      <c r="B678" s="2" t="s">
        <v>10</v>
      </c>
      <c r="C678" s="3">
        <v>36.19</v>
      </c>
      <c r="D678" s="4">
        <v>0.0</v>
      </c>
      <c r="E678" s="2" t="s">
        <v>8</v>
      </c>
      <c r="F678" s="2" t="s">
        <v>9</v>
      </c>
      <c r="G678" s="5">
        <v>5920.1041</v>
      </c>
    </row>
    <row r="679">
      <c r="A679" s="1">
        <v>40.0</v>
      </c>
      <c r="B679" s="2" t="s">
        <v>10</v>
      </c>
      <c r="C679" s="3">
        <v>25.46</v>
      </c>
      <c r="D679" s="4">
        <v>1.0</v>
      </c>
      <c r="E679" s="2" t="s">
        <v>8</v>
      </c>
      <c r="F679" s="2" t="s">
        <v>11</v>
      </c>
      <c r="G679" s="5">
        <v>7077.1894</v>
      </c>
    </row>
    <row r="680">
      <c r="A680" s="1">
        <v>40.0</v>
      </c>
      <c r="B680" s="2" t="s">
        <v>7</v>
      </c>
      <c r="C680" s="3">
        <v>41.23</v>
      </c>
      <c r="D680" s="4">
        <v>1.0</v>
      </c>
      <c r="E680" s="2" t="s">
        <v>8</v>
      </c>
      <c r="F680" s="2" t="s">
        <v>11</v>
      </c>
      <c r="G680" s="5">
        <v>6610.1097</v>
      </c>
    </row>
    <row r="681">
      <c r="A681" s="1">
        <v>40.0</v>
      </c>
      <c r="B681" s="2" t="s">
        <v>7</v>
      </c>
      <c r="C681" s="3">
        <v>30.875</v>
      </c>
      <c r="D681" s="4">
        <v>4.0</v>
      </c>
      <c r="E681" s="2" t="s">
        <v>8</v>
      </c>
      <c r="F681" s="2" t="s">
        <v>14</v>
      </c>
      <c r="G681" s="5">
        <v>8162.71625</v>
      </c>
    </row>
    <row r="682">
      <c r="A682" s="1">
        <v>40.0</v>
      </c>
      <c r="B682" s="2" t="s">
        <v>10</v>
      </c>
      <c r="C682" s="3">
        <v>22.22</v>
      </c>
      <c r="D682" s="4">
        <v>2.0</v>
      </c>
      <c r="E682" s="2" t="s">
        <v>12</v>
      </c>
      <c r="F682" s="2" t="s">
        <v>9</v>
      </c>
      <c r="G682" s="5">
        <v>19444.2658</v>
      </c>
    </row>
    <row r="683">
      <c r="A683" s="1">
        <v>40.0</v>
      </c>
      <c r="B683" s="2" t="s">
        <v>7</v>
      </c>
      <c r="C683" s="3">
        <v>35.3</v>
      </c>
      <c r="D683" s="4">
        <v>3.0</v>
      </c>
      <c r="E683" s="2" t="s">
        <v>8</v>
      </c>
      <c r="F683" s="2" t="s">
        <v>13</v>
      </c>
      <c r="G683" s="5">
        <v>7196.867</v>
      </c>
    </row>
    <row r="684">
      <c r="A684" s="1">
        <v>40.0</v>
      </c>
      <c r="B684" s="2" t="s">
        <v>7</v>
      </c>
      <c r="C684" s="3">
        <v>19.8</v>
      </c>
      <c r="D684" s="4">
        <v>1.0</v>
      </c>
      <c r="E684" s="2" t="s">
        <v>12</v>
      </c>
      <c r="F684" s="2" t="s">
        <v>9</v>
      </c>
      <c r="G684" s="5">
        <v>17179.522</v>
      </c>
    </row>
    <row r="685">
      <c r="A685" s="1">
        <v>40.0</v>
      </c>
      <c r="B685" s="2" t="s">
        <v>10</v>
      </c>
      <c r="C685" s="3">
        <v>28.12</v>
      </c>
      <c r="D685" s="4">
        <v>1.0</v>
      </c>
      <c r="E685" s="2" t="s">
        <v>12</v>
      </c>
      <c r="F685" s="2" t="s">
        <v>11</v>
      </c>
      <c r="G685" s="5">
        <v>22331.5668</v>
      </c>
    </row>
    <row r="686">
      <c r="A686" s="1">
        <v>40.0</v>
      </c>
      <c r="B686" s="2" t="s">
        <v>7</v>
      </c>
      <c r="C686" s="3">
        <v>34.105</v>
      </c>
      <c r="D686" s="4">
        <v>1.0</v>
      </c>
      <c r="E686" s="2" t="s">
        <v>8</v>
      </c>
      <c r="F686" s="2" t="s">
        <v>11</v>
      </c>
      <c r="G686" s="5">
        <v>6600.20595</v>
      </c>
    </row>
    <row r="687">
      <c r="A687" s="1">
        <v>40.0</v>
      </c>
      <c r="B687" s="2" t="s">
        <v>7</v>
      </c>
      <c r="C687" s="3">
        <v>32.775</v>
      </c>
      <c r="D687" s="4">
        <v>1.0</v>
      </c>
      <c r="E687" s="2" t="s">
        <v>12</v>
      </c>
      <c r="F687" s="2" t="s">
        <v>11</v>
      </c>
      <c r="G687" s="5">
        <v>39125.33225</v>
      </c>
    </row>
    <row r="688">
      <c r="A688" s="1">
        <v>40.0</v>
      </c>
      <c r="B688" s="2" t="s">
        <v>10</v>
      </c>
      <c r="C688" s="3">
        <v>29.6</v>
      </c>
      <c r="D688" s="4">
        <v>0.0</v>
      </c>
      <c r="E688" s="2" t="s">
        <v>8</v>
      </c>
      <c r="F688" s="2" t="s">
        <v>13</v>
      </c>
      <c r="G688" s="5">
        <v>5910.944</v>
      </c>
    </row>
    <row r="689">
      <c r="A689" s="1">
        <v>40.0</v>
      </c>
      <c r="B689" s="2" t="s">
        <v>10</v>
      </c>
      <c r="C689" s="3">
        <v>33.0</v>
      </c>
      <c r="D689" s="4">
        <v>3.0</v>
      </c>
      <c r="E689" s="2" t="s">
        <v>8</v>
      </c>
      <c r="F689" s="2" t="s">
        <v>9</v>
      </c>
      <c r="G689" s="5">
        <v>7682.67</v>
      </c>
    </row>
    <row r="690">
      <c r="A690" s="1">
        <v>40.0</v>
      </c>
      <c r="B690" s="2" t="s">
        <v>7</v>
      </c>
      <c r="C690" s="3">
        <v>22.705</v>
      </c>
      <c r="D690" s="4">
        <v>2.0</v>
      </c>
      <c r="E690" s="2" t="s">
        <v>8</v>
      </c>
      <c r="F690" s="2" t="s">
        <v>11</v>
      </c>
      <c r="G690" s="5">
        <v>7173.35995</v>
      </c>
    </row>
    <row r="691">
      <c r="A691" s="1">
        <v>40.0</v>
      </c>
      <c r="B691" s="2" t="s">
        <v>10</v>
      </c>
      <c r="C691" s="3">
        <v>23.37</v>
      </c>
      <c r="D691" s="4">
        <v>3.0</v>
      </c>
      <c r="E691" s="2" t="s">
        <v>8</v>
      </c>
      <c r="F691" s="2" t="s">
        <v>11</v>
      </c>
      <c r="G691" s="5">
        <v>8252.2843</v>
      </c>
    </row>
    <row r="692">
      <c r="A692" s="1">
        <v>40.0</v>
      </c>
      <c r="B692" s="2" t="s">
        <v>10</v>
      </c>
      <c r="C692" s="3">
        <v>32.775</v>
      </c>
      <c r="D692" s="4">
        <v>2.0</v>
      </c>
      <c r="E692" s="2" t="s">
        <v>12</v>
      </c>
      <c r="F692" s="2" t="s">
        <v>14</v>
      </c>
      <c r="G692" s="5">
        <v>40003.33225</v>
      </c>
    </row>
    <row r="693">
      <c r="A693" s="1">
        <v>40.0</v>
      </c>
      <c r="B693" s="2" t="s">
        <v>10</v>
      </c>
      <c r="C693" s="3">
        <v>29.81</v>
      </c>
      <c r="D693" s="4">
        <v>1.0</v>
      </c>
      <c r="E693" s="2" t="s">
        <v>8</v>
      </c>
      <c r="F693" s="2" t="s">
        <v>9</v>
      </c>
      <c r="G693" s="5">
        <v>6500.2359</v>
      </c>
    </row>
    <row r="694">
      <c r="A694" s="1">
        <v>40.0</v>
      </c>
      <c r="B694" s="2" t="s">
        <v>7</v>
      </c>
      <c r="C694" s="3">
        <v>41.69</v>
      </c>
      <c r="D694" s="4">
        <v>0.0</v>
      </c>
      <c r="E694" s="2" t="s">
        <v>8</v>
      </c>
      <c r="F694" s="2" t="s">
        <v>9</v>
      </c>
      <c r="G694" s="5">
        <v>5438.7491</v>
      </c>
    </row>
    <row r="695">
      <c r="A695" s="1">
        <v>40.0</v>
      </c>
      <c r="B695" s="2" t="s">
        <v>7</v>
      </c>
      <c r="C695" s="3">
        <v>32.3</v>
      </c>
      <c r="D695" s="4">
        <v>2.0</v>
      </c>
      <c r="E695" s="2" t="s">
        <v>8</v>
      </c>
      <c r="F695" s="2" t="s">
        <v>14</v>
      </c>
      <c r="G695" s="5">
        <v>6986.697</v>
      </c>
    </row>
    <row r="696">
      <c r="A696" s="1">
        <v>40.0</v>
      </c>
      <c r="B696" s="2" t="s">
        <v>10</v>
      </c>
      <c r="C696" s="3">
        <v>41.42</v>
      </c>
      <c r="D696" s="4">
        <v>1.0</v>
      </c>
      <c r="E696" s="2" t="s">
        <v>8</v>
      </c>
      <c r="F696" s="2" t="s">
        <v>14</v>
      </c>
      <c r="G696" s="5">
        <v>28476.73499</v>
      </c>
    </row>
    <row r="697">
      <c r="A697" s="1">
        <v>40.0</v>
      </c>
      <c r="B697" s="2" t="s">
        <v>7</v>
      </c>
      <c r="C697" s="3">
        <v>29.9</v>
      </c>
      <c r="D697" s="4">
        <v>2.0</v>
      </c>
      <c r="E697" s="2" t="s">
        <v>8</v>
      </c>
      <c r="F697" s="2" t="s">
        <v>13</v>
      </c>
      <c r="G697" s="5">
        <v>6600.361</v>
      </c>
    </row>
    <row r="698">
      <c r="A698" s="1">
        <v>40.0</v>
      </c>
      <c r="B698" s="2" t="s">
        <v>10</v>
      </c>
      <c r="C698" s="3">
        <v>27.4</v>
      </c>
      <c r="D698" s="4">
        <v>1.0</v>
      </c>
      <c r="E698" s="2" t="s">
        <v>8</v>
      </c>
      <c r="F698" s="2" t="s">
        <v>13</v>
      </c>
      <c r="G698" s="5">
        <v>6496.886</v>
      </c>
    </row>
    <row r="699">
      <c r="A699" s="1">
        <v>40.0</v>
      </c>
      <c r="B699" s="2" t="s">
        <v>7</v>
      </c>
      <c r="C699" s="3">
        <v>29.355</v>
      </c>
      <c r="D699" s="4">
        <v>1.0</v>
      </c>
      <c r="E699" s="2" t="s">
        <v>8</v>
      </c>
      <c r="F699" s="2" t="s">
        <v>14</v>
      </c>
      <c r="G699" s="5">
        <v>6393.60345</v>
      </c>
    </row>
    <row r="700">
      <c r="A700" s="1">
        <v>40.0</v>
      </c>
      <c r="B700" s="2" t="s">
        <v>7</v>
      </c>
      <c r="C700" s="3">
        <v>25.08</v>
      </c>
      <c r="D700" s="4">
        <v>0.0</v>
      </c>
      <c r="E700" s="2" t="s">
        <v>8</v>
      </c>
      <c r="F700" s="2" t="s">
        <v>9</v>
      </c>
      <c r="G700" s="5">
        <v>5415.6612</v>
      </c>
    </row>
    <row r="701">
      <c r="A701" s="1">
        <v>40.0</v>
      </c>
      <c r="B701" s="2" t="s">
        <v>7</v>
      </c>
      <c r="C701" s="3">
        <v>24.97</v>
      </c>
      <c r="D701" s="4">
        <v>2.0</v>
      </c>
      <c r="E701" s="2" t="s">
        <v>8</v>
      </c>
      <c r="F701" s="2" t="s">
        <v>9</v>
      </c>
      <c r="G701" s="5">
        <v>6593.5083</v>
      </c>
    </row>
    <row r="702">
      <c r="A702" s="1">
        <v>40.0</v>
      </c>
      <c r="B702" s="2" t="s">
        <v>10</v>
      </c>
      <c r="C702" s="3">
        <v>29.3</v>
      </c>
      <c r="D702" s="4">
        <v>4.0</v>
      </c>
      <c r="E702" s="2" t="s">
        <v>8</v>
      </c>
      <c r="F702" s="2" t="s">
        <v>13</v>
      </c>
      <c r="G702" s="5">
        <v>15828.82173</v>
      </c>
    </row>
    <row r="703">
      <c r="A703" s="1">
        <v>41.0</v>
      </c>
      <c r="B703" s="2" t="s">
        <v>7</v>
      </c>
      <c r="C703" s="3">
        <v>21.78</v>
      </c>
      <c r="D703" s="4">
        <v>1.0</v>
      </c>
      <c r="E703" s="2" t="s">
        <v>8</v>
      </c>
      <c r="F703" s="2" t="s">
        <v>9</v>
      </c>
      <c r="G703" s="5">
        <v>6272.4772</v>
      </c>
    </row>
    <row r="704">
      <c r="A704" s="1">
        <v>41.0</v>
      </c>
      <c r="B704" s="2" t="s">
        <v>10</v>
      </c>
      <c r="C704" s="3">
        <v>32.965</v>
      </c>
      <c r="D704" s="4">
        <v>0.0</v>
      </c>
      <c r="E704" s="2" t="s">
        <v>8</v>
      </c>
      <c r="F704" s="2" t="s">
        <v>14</v>
      </c>
      <c r="G704" s="5">
        <v>6571.02435</v>
      </c>
    </row>
    <row r="705">
      <c r="A705" s="1">
        <v>41.0</v>
      </c>
      <c r="B705" s="2" t="s">
        <v>10</v>
      </c>
      <c r="C705" s="3">
        <v>31.6</v>
      </c>
      <c r="D705" s="4">
        <v>0.0</v>
      </c>
      <c r="E705" s="2" t="s">
        <v>8</v>
      </c>
      <c r="F705" s="2" t="s">
        <v>13</v>
      </c>
      <c r="G705" s="5">
        <v>6186.127</v>
      </c>
    </row>
    <row r="706">
      <c r="A706" s="1">
        <v>41.0</v>
      </c>
      <c r="B706" s="2" t="s">
        <v>10</v>
      </c>
      <c r="C706" s="3">
        <v>33.155</v>
      </c>
      <c r="D706" s="4">
        <v>3.0</v>
      </c>
      <c r="E706" s="2" t="s">
        <v>8</v>
      </c>
      <c r="F706" s="2" t="s">
        <v>11</v>
      </c>
      <c r="G706" s="5">
        <v>8538.28845</v>
      </c>
    </row>
    <row r="707">
      <c r="A707" s="1">
        <v>41.0</v>
      </c>
      <c r="B707" s="2" t="s">
        <v>10</v>
      </c>
      <c r="C707" s="3">
        <v>32.2</v>
      </c>
      <c r="D707" s="4">
        <v>1.0</v>
      </c>
      <c r="E707" s="2" t="s">
        <v>8</v>
      </c>
      <c r="F707" s="2" t="s">
        <v>13</v>
      </c>
      <c r="G707" s="5">
        <v>6775.961</v>
      </c>
    </row>
    <row r="708">
      <c r="A708" s="1">
        <v>41.0</v>
      </c>
      <c r="B708" s="2" t="s">
        <v>10</v>
      </c>
      <c r="C708" s="3">
        <v>37.1</v>
      </c>
      <c r="D708" s="4">
        <v>2.0</v>
      </c>
      <c r="E708" s="2" t="s">
        <v>8</v>
      </c>
      <c r="F708" s="2" t="s">
        <v>13</v>
      </c>
      <c r="G708" s="5">
        <v>7371.772</v>
      </c>
    </row>
    <row r="709">
      <c r="A709" s="1">
        <v>41.0</v>
      </c>
      <c r="B709" s="2" t="s">
        <v>10</v>
      </c>
      <c r="C709" s="3">
        <v>31.635</v>
      </c>
      <c r="D709" s="4">
        <v>1.0</v>
      </c>
      <c r="E709" s="2" t="s">
        <v>8</v>
      </c>
      <c r="F709" s="2" t="s">
        <v>11</v>
      </c>
      <c r="G709" s="5">
        <v>7358.17565</v>
      </c>
    </row>
    <row r="710">
      <c r="A710" s="1">
        <v>41.0</v>
      </c>
      <c r="B710" s="2" t="s">
        <v>7</v>
      </c>
      <c r="C710" s="3">
        <v>37.05</v>
      </c>
      <c r="D710" s="4">
        <v>2.0</v>
      </c>
      <c r="E710" s="2" t="s">
        <v>8</v>
      </c>
      <c r="F710" s="2" t="s">
        <v>14</v>
      </c>
      <c r="G710" s="5">
        <v>7265.7025</v>
      </c>
    </row>
    <row r="711">
      <c r="A711" s="1">
        <v>41.0</v>
      </c>
      <c r="B711" s="2" t="s">
        <v>10</v>
      </c>
      <c r="C711" s="3">
        <v>33.06</v>
      </c>
      <c r="D711" s="4">
        <v>2.0</v>
      </c>
      <c r="E711" s="2" t="s">
        <v>8</v>
      </c>
      <c r="F711" s="2" t="s">
        <v>14</v>
      </c>
      <c r="G711" s="5">
        <v>7749.1564</v>
      </c>
    </row>
    <row r="712">
      <c r="A712" s="1">
        <v>41.0</v>
      </c>
      <c r="B712" s="2" t="s">
        <v>7</v>
      </c>
      <c r="C712" s="3">
        <v>30.59</v>
      </c>
      <c r="D712" s="4">
        <v>2.0</v>
      </c>
      <c r="E712" s="2" t="s">
        <v>8</v>
      </c>
      <c r="F712" s="2" t="s">
        <v>14</v>
      </c>
      <c r="G712" s="5">
        <v>7256.7231</v>
      </c>
    </row>
    <row r="713">
      <c r="A713" s="1">
        <v>41.0</v>
      </c>
      <c r="B713" s="2" t="s">
        <v>7</v>
      </c>
      <c r="C713" s="3">
        <v>40.26</v>
      </c>
      <c r="D713" s="4">
        <v>0.0</v>
      </c>
      <c r="E713" s="2" t="s">
        <v>8</v>
      </c>
      <c r="F713" s="2" t="s">
        <v>9</v>
      </c>
      <c r="G713" s="5">
        <v>5709.1644</v>
      </c>
    </row>
    <row r="714">
      <c r="A714" s="1">
        <v>41.0</v>
      </c>
      <c r="B714" s="2" t="s">
        <v>10</v>
      </c>
      <c r="C714" s="3">
        <v>31.02</v>
      </c>
      <c r="D714" s="4">
        <v>0.0</v>
      </c>
      <c r="E714" s="2" t="s">
        <v>8</v>
      </c>
      <c r="F714" s="2" t="s">
        <v>9</v>
      </c>
      <c r="G714" s="5">
        <v>6185.3208</v>
      </c>
    </row>
    <row r="715">
      <c r="A715" s="1">
        <v>41.0</v>
      </c>
      <c r="B715" s="2" t="s">
        <v>7</v>
      </c>
      <c r="C715" s="3">
        <v>35.75</v>
      </c>
      <c r="D715" s="4">
        <v>1.0</v>
      </c>
      <c r="E715" s="2" t="s">
        <v>12</v>
      </c>
      <c r="F715" s="2" t="s">
        <v>9</v>
      </c>
      <c r="G715" s="5">
        <v>40273.6455</v>
      </c>
    </row>
    <row r="716">
      <c r="A716" s="1">
        <v>41.0</v>
      </c>
      <c r="B716" s="2" t="s">
        <v>7</v>
      </c>
      <c r="C716" s="3">
        <v>28.405</v>
      </c>
      <c r="D716" s="4">
        <v>1.0</v>
      </c>
      <c r="E716" s="2" t="s">
        <v>8</v>
      </c>
      <c r="F716" s="2" t="s">
        <v>14</v>
      </c>
      <c r="G716" s="5">
        <v>6664.68595</v>
      </c>
    </row>
    <row r="717">
      <c r="A717" s="1">
        <v>41.0</v>
      </c>
      <c r="B717" s="2" t="s">
        <v>10</v>
      </c>
      <c r="C717" s="3">
        <v>36.08</v>
      </c>
      <c r="D717" s="4">
        <v>1.0</v>
      </c>
      <c r="E717" s="2" t="s">
        <v>8</v>
      </c>
      <c r="F717" s="2" t="s">
        <v>9</v>
      </c>
      <c r="G717" s="5">
        <v>6781.3542</v>
      </c>
    </row>
    <row r="718">
      <c r="A718" s="1">
        <v>41.0</v>
      </c>
      <c r="B718" s="2" t="s">
        <v>7</v>
      </c>
      <c r="C718" s="3">
        <v>34.2</v>
      </c>
      <c r="D718" s="4">
        <v>2.0</v>
      </c>
      <c r="E718" s="2" t="s">
        <v>8</v>
      </c>
      <c r="F718" s="2" t="s">
        <v>14</v>
      </c>
      <c r="G718" s="5">
        <v>7261.741</v>
      </c>
    </row>
    <row r="719">
      <c r="A719" s="1">
        <v>41.0</v>
      </c>
      <c r="B719" s="2" t="s">
        <v>7</v>
      </c>
      <c r="C719" s="3">
        <v>30.78</v>
      </c>
      <c r="D719" s="4">
        <v>3.0</v>
      </c>
      <c r="E719" s="2" t="s">
        <v>12</v>
      </c>
      <c r="F719" s="2" t="s">
        <v>11</v>
      </c>
      <c r="G719" s="5">
        <v>39597.4072</v>
      </c>
    </row>
    <row r="720">
      <c r="A720" s="1">
        <v>41.0</v>
      </c>
      <c r="B720" s="2" t="s">
        <v>7</v>
      </c>
      <c r="C720" s="3">
        <v>28.8</v>
      </c>
      <c r="D720" s="4">
        <v>1.0</v>
      </c>
      <c r="E720" s="2" t="s">
        <v>8</v>
      </c>
      <c r="F720" s="2" t="s">
        <v>13</v>
      </c>
      <c r="G720" s="5">
        <v>6282.235</v>
      </c>
    </row>
    <row r="721">
      <c r="A721" s="1">
        <v>41.0</v>
      </c>
      <c r="B721" s="2" t="s">
        <v>7</v>
      </c>
      <c r="C721" s="3">
        <v>34.21</v>
      </c>
      <c r="D721" s="4">
        <v>1.0</v>
      </c>
      <c r="E721" s="2" t="s">
        <v>8</v>
      </c>
      <c r="F721" s="2" t="s">
        <v>9</v>
      </c>
      <c r="G721" s="5">
        <v>6289.7549</v>
      </c>
    </row>
    <row r="722">
      <c r="A722" s="1">
        <v>41.0</v>
      </c>
      <c r="B722" s="2" t="s">
        <v>7</v>
      </c>
      <c r="C722" s="3">
        <v>29.64</v>
      </c>
      <c r="D722" s="4">
        <v>5.0</v>
      </c>
      <c r="E722" s="2" t="s">
        <v>8</v>
      </c>
      <c r="F722" s="2" t="s">
        <v>11</v>
      </c>
      <c r="G722" s="5">
        <v>9222.4026</v>
      </c>
    </row>
    <row r="723">
      <c r="A723" s="1">
        <v>41.0</v>
      </c>
      <c r="B723" s="2" t="s">
        <v>10</v>
      </c>
      <c r="C723" s="3">
        <v>32.6</v>
      </c>
      <c r="D723" s="4">
        <v>3.0</v>
      </c>
      <c r="E723" s="2" t="s">
        <v>8</v>
      </c>
      <c r="F723" s="2" t="s">
        <v>13</v>
      </c>
      <c r="G723" s="5">
        <v>7954.517</v>
      </c>
    </row>
    <row r="724">
      <c r="A724" s="1">
        <v>41.0</v>
      </c>
      <c r="B724" s="2" t="s">
        <v>10</v>
      </c>
      <c r="C724" s="3">
        <v>28.31</v>
      </c>
      <c r="D724" s="4">
        <v>1.0</v>
      </c>
      <c r="E724" s="2" t="s">
        <v>8</v>
      </c>
      <c r="F724" s="2" t="s">
        <v>14</v>
      </c>
      <c r="G724" s="5">
        <v>7153.5539</v>
      </c>
    </row>
    <row r="725">
      <c r="A725" s="1">
        <v>41.0</v>
      </c>
      <c r="B725" s="2" t="s">
        <v>10</v>
      </c>
      <c r="C725" s="3">
        <v>21.755</v>
      </c>
      <c r="D725" s="4">
        <v>1.0</v>
      </c>
      <c r="E725" s="2" t="s">
        <v>8</v>
      </c>
      <c r="F725" s="2" t="s">
        <v>11</v>
      </c>
      <c r="G725" s="5">
        <v>13725.47184</v>
      </c>
    </row>
    <row r="726">
      <c r="A726" s="1">
        <v>41.0</v>
      </c>
      <c r="B726" s="2" t="s">
        <v>7</v>
      </c>
      <c r="C726" s="3">
        <v>33.55</v>
      </c>
      <c r="D726" s="4">
        <v>0.0</v>
      </c>
      <c r="E726" s="2" t="s">
        <v>8</v>
      </c>
      <c r="F726" s="2" t="s">
        <v>9</v>
      </c>
      <c r="G726" s="5">
        <v>5699.8375</v>
      </c>
    </row>
    <row r="727">
      <c r="A727" s="1">
        <v>41.0</v>
      </c>
      <c r="B727" s="2" t="s">
        <v>7</v>
      </c>
      <c r="C727" s="3">
        <v>23.94</v>
      </c>
      <c r="D727" s="4">
        <v>1.0</v>
      </c>
      <c r="E727" s="2" t="s">
        <v>8</v>
      </c>
      <c r="F727" s="2" t="s">
        <v>11</v>
      </c>
      <c r="G727" s="5">
        <v>6858.4796</v>
      </c>
    </row>
    <row r="728">
      <c r="A728" s="1">
        <v>41.0</v>
      </c>
      <c r="B728" s="2" t="s">
        <v>10</v>
      </c>
      <c r="C728" s="3">
        <v>28.05</v>
      </c>
      <c r="D728" s="4">
        <v>1.0</v>
      </c>
      <c r="E728" s="2" t="s">
        <v>8</v>
      </c>
      <c r="F728" s="2" t="s">
        <v>9</v>
      </c>
      <c r="G728" s="5">
        <v>6770.1925</v>
      </c>
    </row>
    <row r="729">
      <c r="A729" s="1">
        <v>41.0</v>
      </c>
      <c r="B729" s="2" t="s">
        <v>7</v>
      </c>
      <c r="C729" s="3">
        <v>32.2</v>
      </c>
      <c r="D729" s="4">
        <v>2.0</v>
      </c>
      <c r="E729" s="2" t="s">
        <v>8</v>
      </c>
      <c r="F729" s="2" t="s">
        <v>13</v>
      </c>
      <c r="G729" s="5">
        <v>6875.961</v>
      </c>
    </row>
    <row r="730">
      <c r="A730" s="1">
        <v>42.0</v>
      </c>
      <c r="B730" s="2" t="s">
        <v>10</v>
      </c>
      <c r="C730" s="3">
        <v>23.37</v>
      </c>
      <c r="D730" s="4">
        <v>0.0</v>
      </c>
      <c r="E730" s="2" t="s">
        <v>12</v>
      </c>
      <c r="F730" s="2" t="s">
        <v>11</v>
      </c>
      <c r="G730" s="5">
        <v>19964.7463</v>
      </c>
    </row>
    <row r="731">
      <c r="A731" s="1">
        <v>42.0</v>
      </c>
      <c r="B731" s="2" t="s">
        <v>10</v>
      </c>
      <c r="C731" s="3">
        <v>26.6</v>
      </c>
      <c r="D731" s="4">
        <v>0.0</v>
      </c>
      <c r="E731" s="2" t="s">
        <v>12</v>
      </c>
      <c r="F731" s="2" t="s">
        <v>14</v>
      </c>
      <c r="G731" s="5">
        <v>21348.706</v>
      </c>
    </row>
    <row r="732">
      <c r="A732" s="1">
        <v>42.0</v>
      </c>
      <c r="B732" s="2" t="s">
        <v>7</v>
      </c>
      <c r="C732" s="3">
        <v>24.64</v>
      </c>
      <c r="D732" s="4">
        <v>0.0</v>
      </c>
      <c r="E732" s="2" t="s">
        <v>12</v>
      </c>
      <c r="F732" s="2" t="s">
        <v>9</v>
      </c>
      <c r="G732" s="5">
        <v>19515.5416</v>
      </c>
    </row>
    <row r="733">
      <c r="A733" s="1">
        <v>42.0</v>
      </c>
      <c r="B733" s="2" t="s">
        <v>10</v>
      </c>
      <c r="C733" s="3">
        <v>36.195</v>
      </c>
      <c r="D733" s="4">
        <v>1.0</v>
      </c>
      <c r="E733" s="2" t="s">
        <v>8</v>
      </c>
      <c r="F733" s="2" t="s">
        <v>14</v>
      </c>
      <c r="G733" s="5">
        <v>7443.64305</v>
      </c>
    </row>
    <row r="734">
      <c r="A734" s="1">
        <v>42.0</v>
      </c>
      <c r="B734" s="2" t="s">
        <v>10</v>
      </c>
      <c r="C734" s="3">
        <v>24.985</v>
      </c>
      <c r="D734" s="4">
        <v>2.0</v>
      </c>
      <c r="E734" s="2" t="s">
        <v>8</v>
      </c>
      <c r="F734" s="2" t="s">
        <v>14</v>
      </c>
      <c r="G734" s="5">
        <v>8017.06115</v>
      </c>
    </row>
    <row r="735">
      <c r="A735" s="1">
        <v>42.0</v>
      </c>
      <c r="B735" s="2" t="s">
        <v>10</v>
      </c>
      <c r="C735" s="3">
        <v>33.155</v>
      </c>
      <c r="D735" s="4">
        <v>1.0</v>
      </c>
      <c r="E735" s="2" t="s">
        <v>8</v>
      </c>
      <c r="F735" s="2" t="s">
        <v>11</v>
      </c>
      <c r="G735" s="5">
        <v>7639.41745</v>
      </c>
    </row>
    <row r="736">
      <c r="A736" s="1">
        <v>42.0</v>
      </c>
      <c r="B736" s="2" t="s">
        <v>7</v>
      </c>
      <c r="C736" s="3">
        <v>26.9</v>
      </c>
      <c r="D736" s="4">
        <v>0.0</v>
      </c>
      <c r="E736" s="2" t="s">
        <v>8</v>
      </c>
      <c r="F736" s="2" t="s">
        <v>13</v>
      </c>
      <c r="G736" s="5">
        <v>5969.723</v>
      </c>
    </row>
    <row r="737">
      <c r="A737" s="1">
        <v>42.0</v>
      </c>
      <c r="B737" s="2" t="s">
        <v>7</v>
      </c>
      <c r="C737" s="3">
        <v>30.0</v>
      </c>
      <c r="D737" s="4">
        <v>0.0</v>
      </c>
      <c r="E737" s="2" t="s">
        <v>12</v>
      </c>
      <c r="F737" s="2" t="s">
        <v>13</v>
      </c>
      <c r="G737" s="5">
        <v>22144.032</v>
      </c>
    </row>
    <row r="738">
      <c r="A738" s="1">
        <v>42.0</v>
      </c>
      <c r="B738" s="2" t="s">
        <v>7</v>
      </c>
      <c r="C738" s="3">
        <v>26.07</v>
      </c>
      <c r="D738" s="4">
        <v>1.0</v>
      </c>
      <c r="E738" s="2" t="s">
        <v>12</v>
      </c>
      <c r="F738" s="2" t="s">
        <v>9</v>
      </c>
      <c r="G738" s="5">
        <v>38245.59327</v>
      </c>
    </row>
    <row r="739">
      <c r="A739" s="1">
        <v>42.0</v>
      </c>
      <c r="B739" s="2" t="s">
        <v>10</v>
      </c>
      <c r="C739" s="3">
        <v>29.48</v>
      </c>
      <c r="D739" s="4">
        <v>2.0</v>
      </c>
      <c r="E739" s="2" t="s">
        <v>8</v>
      </c>
      <c r="F739" s="2" t="s">
        <v>9</v>
      </c>
      <c r="G739" s="5">
        <v>7640.3092</v>
      </c>
    </row>
    <row r="740">
      <c r="A740" s="1">
        <v>42.0</v>
      </c>
      <c r="B740" s="2" t="s">
        <v>7</v>
      </c>
      <c r="C740" s="3">
        <v>28.31</v>
      </c>
      <c r="D740" s="4">
        <v>3.0</v>
      </c>
      <c r="E740" s="2" t="s">
        <v>12</v>
      </c>
      <c r="F740" s="2" t="s">
        <v>14</v>
      </c>
      <c r="G740" s="5">
        <v>32787.45859</v>
      </c>
    </row>
    <row r="741">
      <c r="A741" s="1">
        <v>42.0</v>
      </c>
      <c r="B741" s="2" t="s">
        <v>7</v>
      </c>
      <c r="C741" s="3">
        <v>26.125</v>
      </c>
      <c r="D741" s="4">
        <v>2.0</v>
      </c>
      <c r="E741" s="2" t="s">
        <v>8</v>
      </c>
      <c r="F741" s="2" t="s">
        <v>11</v>
      </c>
      <c r="G741" s="5">
        <v>7729.64575</v>
      </c>
    </row>
    <row r="742">
      <c r="A742" s="1">
        <v>42.0</v>
      </c>
      <c r="B742" s="2" t="s">
        <v>10</v>
      </c>
      <c r="C742" s="3">
        <v>29.0</v>
      </c>
      <c r="D742" s="4">
        <v>1.0</v>
      </c>
      <c r="E742" s="2" t="s">
        <v>8</v>
      </c>
      <c r="F742" s="2" t="s">
        <v>13</v>
      </c>
      <c r="G742" s="5">
        <v>7050.642</v>
      </c>
    </row>
    <row r="743">
      <c r="A743" s="1">
        <v>42.0</v>
      </c>
      <c r="B743" s="2" t="s">
        <v>10</v>
      </c>
      <c r="C743" s="3">
        <v>26.18</v>
      </c>
      <c r="D743" s="4">
        <v>1.0</v>
      </c>
      <c r="E743" s="2" t="s">
        <v>8</v>
      </c>
      <c r="F743" s="2" t="s">
        <v>9</v>
      </c>
      <c r="G743" s="5">
        <v>7046.7222</v>
      </c>
    </row>
    <row r="744">
      <c r="A744" s="1">
        <v>42.0</v>
      </c>
      <c r="B744" s="2" t="s">
        <v>7</v>
      </c>
      <c r="C744" s="3">
        <v>35.97</v>
      </c>
      <c r="D744" s="4">
        <v>2.0</v>
      </c>
      <c r="E744" s="2" t="s">
        <v>8</v>
      </c>
      <c r="F744" s="2" t="s">
        <v>9</v>
      </c>
      <c r="G744" s="5">
        <v>7160.3303</v>
      </c>
    </row>
    <row r="745">
      <c r="A745" s="1">
        <v>42.0</v>
      </c>
      <c r="B745" s="2" t="s">
        <v>7</v>
      </c>
      <c r="C745" s="3">
        <v>24.86</v>
      </c>
      <c r="D745" s="4">
        <v>0.0</v>
      </c>
      <c r="E745" s="2" t="s">
        <v>8</v>
      </c>
      <c r="F745" s="2" t="s">
        <v>9</v>
      </c>
      <c r="G745" s="5">
        <v>5966.8874</v>
      </c>
    </row>
    <row r="746">
      <c r="A746" s="1">
        <v>42.0</v>
      </c>
      <c r="B746" s="2" t="s">
        <v>7</v>
      </c>
      <c r="C746" s="3">
        <v>35.8</v>
      </c>
      <c r="D746" s="4">
        <v>2.0</v>
      </c>
      <c r="E746" s="2" t="s">
        <v>8</v>
      </c>
      <c r="F746" s="2" t="s">
        <v>13</v>
      </c>
      <c r="G746" s="5">
        <v>7160.094</v>
      </c>
    </row>
    <row r="747">
      <c r="A747" s="1">
        <v>42.0</v>
      </c>
      <c r="B747" s="2" t="s">
        <v>7</v>
      </c>
      <c r="C747" s="3">
        <v>31.255</v>
      </c>
      <c r="D747" s="4">
        <v>0.0</v>
      </c>
      <c r="E747" s="2" t="s">
        <v>8</v>
      </c>
      <c r="F747" s="2" t="s">
        <v>14</v>
      </c>
      <c r="G747" s="5">
        <v>6358.77645</v>
      </c>
    </row>
    <row r="748">
      <c r="A748" s="1">
        <v>42.0</v>
      </c>
      <c r="B748" s="2" t="s">
        <v>10</v>
      </c>
      <c r="C748" s="3">
        <v>25.3</v>
      </c>
      <c r="D748" s="4">
        <v>1.0</v>
      </c>
      <c r="E748" s="2" t="s">
        <v>8</v>
      </c>
      <c r="F748" s="2" t="s">
        <v>13</v>
      </c>
      <c r="G748" s="5">
        <v>7045.499</v>
      </c>
    </row>
    <row r="749">
      <c r="A749" s="1">
        <v>42.0</v>
      </c>
      <c r="B749" s="2" t="s">
        <v>7</v>
      </c>
      <c r="C749" s="3">
        <v>34.1</v>
      </c>
      <c r="D749" s="4">
        <v>0.0</v>
      </c>
      <c r="E749" s="2" t="s">
        <v>8</v>
      </c>
      <c r="F749" s="2" t="s">
        <v>13</v>
      </c>
      <c r="G749" s="5">
        <v>5979.731</v>
      </c>
    </row>
    <row r="750">
      <c r="A750" s="1">
        <v>42.0</v>
      </c>
      <c r="B750" s="2" t="s">
        <v>10</v>
      </c>
      <c r="C750" s="3">
        <v>41.325</v>
      </c>
      <c r="D750" s="4">
        <v>1.0</v>
      </c>
      <c r="E750" s="2" t="s">
        <v>8</v>
      </c>
      <c r="F750" s="2" t="s">
        <v>11</v>
      </c>
      <c r="G750" s="5">
        <v>7650.77375</v>
      </c>
    </row>
    <row r="751">
      <c r="A751" s="1">
        <v>42.0</v>
      </c>
      <c r="B751" s="2" t="s">
        <v>7</v>
      </c>
      <c r="C751" s="3">
        <v>37.18</v>
      </c>
      <c r="D751" s="4">
        <v>2.0</v>
      </c>
      <c r="E751" s="2" t="s">
        <v>8</v>
      </c>
      <c r="F751" s="2" t="s">
        <v>9</v>
      </c>
      <c r="G751" s="5">
        <v>7162.0122</v>
      </c>
    </row>
    <row r="752">
      <c r="A752" s="1">
        <v>42.0</v>
      </c>
      <c r="B752" s="2" t="s">
        <v>10</v>
      </c>
      <c r="C752" s="3">
        <v>37.9</v>
      </c>
      <c r="D752" s="4">
        <v>0.0</v>
      </c>
      <c r="E752" s="2" t="s">
        <v>8</v>
      </c>
      <c r="F752" s="2" t="s">
        <v>13</v>
      </c>
      <c r="G752" s="5">
        <v>6474.013</v>
      </c>
    </row>
    <row r="753">
      <c r="A753" s="1">
        <v>42.0</v>
      </c>
      <c r="B753" s="2" t="s">
        <v>7</v>
      </c>
      <c r="C753" s="3">
        <v>24.605</v>
      </c>
      <c r="D753" s="4">
        <v>2.0</v>
      </c>
      <c r="E753" s="2" t="s">
        <v>12</v>
      </c>
      <c r="F753" s="2" t="s">
        <v>11</v>
      </c>
      <c r="G753" s="5">
        <v>21259.37795</v>
      </c>
    </row>
    <row r="754">
      <c r="A754" s="1">
        <v>42.0</v>
      </c>
      <c r="B754" s="2" t="s">
        <v>7</v>
      </c>
      <c r="C754" s="3">
        <v>26.315</v>
      </c>
      <c r="D754" s="4">
        <v>1.0</v>
      </c>
      <c r="E754" s="2" t="s">
        <v>8</v>
      </c>
      <c r="F754" s="2" t="s">
        <v>14</v>
      </c>
      <c r="G754" s="5">
        <v>6940.90985</v>
      </c>
    </row>
    <row r="755">
      <c r="A755" s="1">
        <v>42.0</v>
      </c>
      <c r="B755" s="2" t="s">
        <v>10</v>
      </c>
      <c r="C755" s="3">
        <v>40.37</v>
      </c>
      <c r="D755" s="4">
        <v>2.0</v>
      </c>
      <c r="E755" s="2" t="s">
        <v>12</v>
      </c>
      <c r="F755" s="2" t="s">
        <v>9</v>
      </c>
      <c r="G755" s="5">
        <v>43896.3763</v>
      </c>
    </row>
    <row r="756">
      <c r="A756" s="1">
        <v>42.0</v>
      </c>
      <c r="B756" s="2" t="s">
        <v>10</v>
      </c>
      <c r="C756" s="3">
        <v>32.87</v>
      </c>
      <c r="D756" s="4">
        <v>0.0</v>
      </c>
      <c r="E756" s="2" t="s">
        <v>8</v>
      </c>
      <c r="F756" s="2" t="s">
        <v>11</v>
      </c>
      <c r="G756" s="5">
        <v>7050.0213</v>
      </c>
    </row>
    <row r="757">
      <c r="A757" s="1">
        <v>43.0</v>
      </c>
      <c r="B757" s="2" t="s">
        <v>7</v>
      </c>
      <c r="C757" s="3">
        <v>27.36</v>
      </c>
      <c r="D757" s="4">
        <v>3.0</v>
      </c>
      <c r="E757" s="2" t="s">
        <v>8</v>
      </c>
      <c r="F757" s="2" t="s">
        <v>11</v>
      </c>
      <c r="G757" s="5">
        <v>8606.2174</v>
      </c>
    </row>
    <row r="758">
      <c r="A758" s="1">
        <v>43.0</v>
      </c>
      <c r="B758" s="2" t="s">
        <v>7</v>
      </c>
      <c r="C758" s="3">
        <v>35.97</v>
      </c>
      <c r="D758" s="4">
        <v>3.0</v>
      </c>
      <c r="E758" s="2" t="s">
        <v>12</v>
      </c>
      <c r="F758" s="2" t="s">
        <v>9</v>
      </c>
      <c r="G758" s="5">
        <v>42124.5153</v>
      </c>
    </row>
    <row r="759">
      <c r="A759" s="1">
        <v>43.0</v>
      </c>
      <c r="B759" s="2" t="s">
        <v>10</v>
      </c>
      <c r="C759" s="3">
        <v>35.72</v>
      </c>
      <c r="D759" s="4">
        <v>2.0</v>
      </c>
      <c r="E759" s="2" t="s">
        <v>8</v>
      </c>
      <c r="F759" s="2" t="s">
        <v>11</v>
      </c>
      <c r="G759" s="5">
        <v>19144.57652</v>
      </c>
    </row>
    <row r="760">
      <c r="A760" s="1">
        <v>43.0</v>
      </c>
      <c r="B760" s="2" t="s">
        <v>10</v>
      </c>
      <c r="C760" s="3">
        <v>34.4</v>
      </c>
      <c r="D760" s="4">
        <v>3.0</v>
      </c>
      <c r="E760" s="2" t="s">
        <v>8</v>
      </c>
      <c r="F760" s="2" t="s">
        <v>13</v>
      </c>
      <c r="G760" s="5">
        <v>8522.003</v>
      </c>
    </row>
    <row r="761">
      <c r="A761" s="1">
        <v>43.0</v>
      </c>
      <c r="B761" s="2" t="s">
        <v>10</v>
      </c>
      <c r="C761" s="3">
        <v>35.64</v>
      </c>
      <c r="D761" s="4">
        <v>1.0</v>
      </c>
      <c r="E761" s="2" t="s">
        <v>8</v>
      </c>
      <c r="F761" s="2" t="s">
        <v>9</v>
      </c>
      <c r="G761" s="5">
        <v>7345.7266</v>
      </c>
    </row>
    <row r="762">
      <c r="A762" s="1">
        <v>43.0</v>
      </c>
      <c r="B762" s="2" t="s">
        <v>7</v>
      </c>
      <c r="C762" s="3">
        <v>26.03</v>
      </c>
      <c r="D762" s="4">
        <v>0.0</v>
      </c>
      <c r="E762" s="2" t="s">
        <v>8</v>
      </c>
      <c r="F762" s="2" t="s">
        <v>11</v>
      </c>
      <c r="G762" s="5">
        <v>6837.3687</v>
      </c>
    </row>
    <row r="763">
      <c r="A763" s="1">
        <v>43.0</v>
      </c>
      <c r="B763" s="2" t="s">
        <v>10</v>
      </c>
      <c r="C763" s="3">
        <v>46.2</v>
      </c>
      <c r="D763" s="4">
        <v>0.0</v>
      </c>
      <c r="E763" s="2" t="s">
        <v>12</v>
      </c>
      <c r="F763" s="2" t="s">
        <v>9</v>
      </c>
      <c r="G763" s="5">
        <v>45863.205</v>
      </c>
    </row>
    <row r="764">
      <c r="A764" s="1">
        <v>43.0</v>
      </c>
      <c r="B764" s="2" t="s">
        <v>7</v>
      </c>
      <c r="C764" s="3">
        <v>32.6</v>
      </c>
      <c r="D764" s="4">
        <v>2.0</v>
      </c>
      <c r="E764" s="2" t="s">
        <v>8</v>
      </c>
      <c r="F764" s="2" t="s">
        <v>13</v>
      </c>
      <c r="G764" s="5">
        <v>7441.501</v>
      </c>
    </row>
    <row r="765">
      <c r="A765" s="1">
        <v>43.0</v>
      </c>
      <c r="B765" s="2" t="s">
        <v>7</v>
      </c>
      <c r="C765" s="3">
        <v>35.31</v>
      </c>
      <c r="D765" s="4">
        <v>2.0</v>
      </c>
      <c r="E765" s="2" t="s">
        <v>8</v>
      </c>
      <c r="F765" s="2" t="s">
        <v>9</v>
      </c>
      <c r="G765" s="5">
        <v>18806.14547</v>
      </c>
    </row>
    <row r="766">
      <c r="A766" s="1">
        <v>43.0</v>
      </c>
      <c r="B766" s="2" t="s">
        <v>7</v>
      </c>
      <c r="C766" s="3">
        <v>38.06</v>
      </c>
      <c r="D766" s="4">
        <v>2.0</v>
      </c>
      <c r="E766" s="2" t="s">
        <v>12</v>
      </c>
      <c r="F766" s="2" t="s">
        <v>9</v>
      </c>
      <c r="G766" s="5">
        <v>42560.4304</v>
      </c>
    </row>
    <row r="767">
      <c r="A767" s="1">
        <v>43.0</v>
      </c>
      <c r="B767" s="2" t="s">
        <v>10</v>
      </c>
      <c r="C767" s="3">
        <v>30.685</v>
      </c>
      <c r="D767" s="4">
        <v>2.0</v>
      </c>
      <c r="E767" s="2" t="s">
        <v>8</v>
      </c>
      <c r="F767" s="2" t="s">
        <v>14</v>
      </c>
      <c r="G767" s="5">
        <v>8310.83915</v>
      </c>
    </row>
    <row r="768">
      <c r="A768" s="1">
        <v>43.0</v>
      </c>
      <c r="B768" s="2" t="s">
        <v>7</v>
      </c>
      <c r="C768" s="3">
        <v>30.1</v>
      </c>
      <c r="D768" s="4">
        <v>1.0</v>
      </c>
      <c r="E768" s="2" t="s">
        <v>8</v>
      </c>
      <c r="F768" s="2" t="s">
        <v>13</v>
      </c>
      <c r="G768" s="5">
        <v>6849.026</v>
      </c>
    </row>
    <row r="769">
      <c r="A769" s="1">
        <v>43.0</v>
      </c>
      <c r="B769" s="2" t="s">
        <v>10</v>
      </c>
      <c r="C769" s="3">
        <v>20.045</v>
      </c>
      <c r="D769" s="4">
        <v>2.0</v>
      </c>
      <c r="E769" s="2" t="s">
        <v>12</v>
      </c>
      <c r="F769" s="2" t="s">
        <v>11</v>
      </c>
      <c r="G769" s="5">
        <v>19798.05455</v>
      </c>
    </row>
    <row r="770">
      <c r="A770" s="1">
        <v>43.0</v>
      </c>
      <c r="B770" s="2" t="s">
        <v>10</v>
      </c>
      <c r="C770" s="3">
        <v>26.885</v>
      </c>
      <c r="D770" s="4">
        <v>0.0</v>
      </c>
      <c r="E770" s="2" t="s">
        <v>12</v>
      </c>
      <c r="F770" s="2" t="s">
        <v>14</v>
      </c>
      <c r="G770" s="5">
        <v>21774.32215</v>
      </c>
    </row>
    <row r="771">
      <c r="A771" s="1">
        <v>43.0</v>
      </c>
      <c r="B771" s="2" t="s">
        <v>7</v>
      </c>
      <c r="C771" s="3">
        <v>23.2</v>
      </c>
      <c r="D771" s="4">
        <v>0.0</v>
      </c>
      <c r="E771" s="2" t="s">
        <v>8</v>
      </c>
      <c r="F771" s="2" t="s">
        <v>13</v>
      </c>
      <c r="G771" s="5">
        <v>6250.435</v>
      </c>
    </row>
    <row r="772">
      <c r="A772" s="1">
        <v>43.0</v>
      </c>
      <c r="B772" s="2" t="s">
        <v>7</v>
      </c>
      <c r="C772" s="3">
        <v>34.96</v>
      </c>
      <c r="D772" s="4">
        <v>1.0</v>
      </c>
      <c r="E772" s="2" t="s">
        <v>12</v>
      </c>
      <c r="F772" s="2" t="s">
        <v>11</v>
      </c>
      <c r="G772" s="5">
        <v>41034.2214</v>
      </c>
    </row>
    <row r="773">
      <c r="A773" s="1">
        <v>43.0</v>
      </c>
      <c r="B773" s="2" t="s">
        <v>7</v>
      </c>
      <c r="C773" s="3">
        <v>30.115</v>
      </c>
      <c r="D773" s="4">
        <v>3.0</v>
      </c>
      <c r="E773" s="2" t="s">
        <v>8</v>
      </c>
      <c r="F773" s="2" t="s">
        <v>14</v>
      </c>
      <c r="G773" s="5">
        <v>8410.04685</v>
      </c>
    </row>
    <row r="774">
      <c r="A774" s="1">
        <v>43.0</v>
      </c>
      <c r="B774" s="2" t="s">
        <v>7</v>
      </c>
      <c r="C774" s="3">
        <v>20.13</v>
      </c>
      <c r="D774" s="4">
        <v>2.0</v>
      </c>
      <c r="E774" s="2" t="s">
        <v>12</v>
      </c>
      <c r="F774" s="2" t="s">
        <v>9</v>
      </c>
      <c r="G774" s="5">
        <v>18767.7377</v>
      </c>
    </row>
    <row r="775">
      <c r="A775" s="1">
        <v>43.0</v>
      </c>
      <c r="B775" s="2" t="s">
        <v>10</v>
      </c>
      <c r="C775" s="3">
        <v>24.7</v>
      </c>
      <c r="D775" s="4">
        <v>2.0</v>
      </c>
      <c r="E775" s="2" t="s">
        <v>12</v>
      </c>
      <c r="F775" s="2" t="s">
        <v>14</v>
      </c>
      <c r="G775" s="5">
        <v>21880.82</v>
      </c>
    </row>
    <row r="776">
      <c r="A776" s="1">
        <v>43.0</v>
      </c>
      <c r="B776" s="2" t="s">
        <v>10</v>
      </c>
      <c r="C776" s="3">
        <v>25.08</v>
      </c>
      <c r="D776" s="4">
        <v>0.0</v>
      </c>
      <c r="E776" s="2" t="s">
        <v>8</v>
      </c>
      <c r="F776" s="2" t="s">
        <v>11</v>
      </c>
      <c r="G776" s="5">
        <v>7325.0482</v>
      </c>
    </row>
    <row r="777">
      <c r="A777" s="1">
        <v>43.0</v>
      </c>
      <c r="B777" s="2" t="s">
        <v>10</v>
      </c>
      <c r="C777" s="3">
        <v>32.56</v>
      </c>
      <c r="D777" s="4">
        <v>3.0</v>
      </c>
      <c r="E777" s="2" t="s">
        <v>12</v>
      </c>
      <c r="F777" s="2" t="s">
        <v>9</v>
      </c>
      <c r="G777" s="5">
        <v>40941.2854</v>
      </c>
    </row>
    <row r="778">
      <c r="A778" s="1">
        <v>43.0</v>
      </c>
      <c r="B778" s="2" t="s">
        <v>10</v>
      </c>
      <c r="C778" s="3">
        <v>34.58</v>
      </c>
      <c r="D778" s="4">
        <v>1.0</v>
      </c>
      <c r="E778" s="2" t="s">
        <v>8</v>
      </c>
      <c r="F778" s="2" t="s">
        <v>14</v>
      </c>
      <c r="G778" s="5">
        <v>7727.2532</v>
      </c>
    </row>
    <row r="779">
      <c r="A779" s="1">
        <v>43.0</v>
      </c>
      <c r="B779" s="2" t="s">
        <v>10</v>
      </c>
      <c r="C779" s="3">
        <v>26.7</v>
      </c>
      <c r="D779" s="4">
        <v>2.0</v>
      </c>
      <c r="E779" s="2" t="s">
        <v>12</v>
      </c>
      <c r="F779" s="2" t="s">
        <v>13</v>
      </c>
      <c r="G779" s="5">
        <v>22478.6</v>
      </c>
    </row>
    <row r="780">
      <c r="A780" s="1">
        <v>43.0</v>
      </c>
      <c r="B780" s="2" t="s">
        <v>10</v>
      </c>
      <c r="C780" s="3">
        <v>25.27</v>
      </c>
      <c r="D780" s="4">
        <v>1.0</v>
      </c>
      <c r="E780" s="2" t="s">
        <v>12</v>
      </c>
      <c r="F780" s="2" t="s">
        <v>11</v>
      </c>
      <c r="G780" s="5">
        <v>21771.3423</v>
      </c>
    </row>
    <row r="781">
      <c r="A781" s="1">
        <v>43.0</v>
      </c>
      <c r="B781" s="2" t="s">
        <v>10</v>
      </c>
      <c r="C781" s="3">
        <v>29.9</v>
      </c>
      <c r="D781" s="4">
        <v>1.0</v>
      </c>
      <c r="E781" s="2" t="s">
        <v>8</v>
      </c>
      <c r="F781" s="2" t="s">
        <v>13</v>
      </c>
      <c r="G781" s="5">
        <v>7337.748</v>
      </c>
    </row>
    <row r="782">
      <c r="A782" s="1">
        <v>43.0</v>
      </c>
      <c r="B782" s="2" t="s">
        <v>7</v>
      </c>
      <c r="C782" s="3">
        <v>25.52</v>
      </c>
      <c r="D782" s="4">
        <v>5.0</v>
      </c>
      <c r="E782" s="2" t="s">
        <v>8</v>
      </c>
      <c r="F782" s="2" t="s">
        <v>9</v>
      </c>
      <c r="G782" s="5">
        <v>14478.33015</v>
      </c>
    </row>
    <row r="783">
      <c r="A783" s="1">
        <v>43.0</v>
      </c>
      <c r="B783" s="2" t="s">
        <v>7</v>
      </c>
      <c r="C783" s="3">
        <v>27.8</v>
      </c>
      <c r="D783" s="4">
        <v>0.0</v>
      </c>
      <c r="E783" s="2" t="s">
        <v>12</v>
      </c>
      <c r="F783" s="2" t="s">
        <v>13</v>
      </c>
      <c r="G783" s="5">
        <v>37829.7242</v>
      </c>
    </row>
    <row r="784">
      <c r="A784" s="1">
        <v>44.0</v>
      </c>
      <c r="B784" s="2" t="s">
        <v>7</v>
      </c>
      <c r="C784" s="3">
        <v>27.4</v>
      </c>
      <c r="D784" s="4">
        <v>2.0</v>
      </c>
      <c r="E784" s="2" t="s">
        <v>8</v>
      </c>
      <c r="F784" s="2" t="s">
        <v>13</v>
      </c>
      <c r="G784" s="5">
        <v>7726.854</v>
      </c>
    </row>
    <row r="785">
      <c r="A785" s="1">
        <v>44.0</v>
      </c>
      <c r="B785" s="2" t="s">
        <v>7</v>
      </c>
      <c r="C785" s="3">
        <v>37.1</v>
      </c>
      <c r="D785" s="4">
        <v>2.0</v>
      </c>
      <c r="E785" s="2" t="s">
        <v>8</v>
      </c>
      <c r="F785" s="2" t="s">
        <v>13</v>
      </c>
      <c r="G785" s="5">
        <v>7740.337</v>
      </c>
    </row>
    <row r="786">
      <c r="A786" s="1">
        <v>44.0</v>
      </c>
      <c r="B786" s="2" t="s">
        <v>7</v>
      </c>
      <c r="C786" s="3">
        <v>31.35</v>
      </c>
      <c r="D786" s="4">
        <v>1.0</v>
      </c>
      <c r="E786" s="2" t="s">
        <v>12</v>
      </c>
      <c r="F786" s="2" t="s">
        <v>11</v>
      </c>
      <c r="G786" s="5">
        <v>39556.4945</v>
      </c>
    </row>
    <row r="787">
      <c r="A787" s="1">
        <v>44.0</v>
      </c>
      <c r="B787" s="2" t="s">
        <v>7</v>
      </c>
      <c r="C787" s="3">
        <v>39.52</v>
      </c>
      <c r="D787" s="4">
        <v>0.0</v>
      </c>
      <c r="E787" s="2" t="s">
        <v>8</v>
      </c>
      <c r="F787" s="2" t="s">
        <v>14</v>
      </c>
      <c r="G787" s="5">
        <v>6948.7008</v>
      </c>
    </row>
    <row r="788">
      <c r="A788" s="1">
        <v>44.0</v>
      </c>
      <c r="B788" s="2" t="s">
        <v>10</v>
      </c>
      <c r="C788" s="3">
        <v>26.41</v>
      </c>
      <c r="D788" s="4">
        <v>0.0</v>
      </c>
      <c r="E788" s="2" t="s">
        <v>8</v>
      </c>
      <c r="F788" s="2" t="s">
        <v>14</v>
      </c>
      <c r="G788" s="5">
        <v>7419.4779</v>
      </c>
    </row>
    <row r="789">
      <c r="A789" s="1">
        <v>44.0</v>
      </c>
      <c r="B789" s="2" t="s">
        <v>7</v>
      </c>
      <c r="C789" s="3">
        <v>30.69</v>
      </c>
      <c r="D789" s="4">
        <v>2.0</v>
      </c>
      <c r="E789" s="2" t="s">
        <v>8</v>
      </c>
      <c r="F789" s="2" t="s">
        <v>9</v>
      </c>
      <c r="G789" s="5">
        <v>7731.4271</v>
      </c>
    </row>
    <row r="790">
      <c r="A790" s="1">
        <v>44.0</v>
      </c>
      <c r="B790" s="2" t="s">
        <v>7</v>
      </c>
      <c r="C790" s="3">
        <v>38.06</v>
      </c>
      <c r="D790" s="4">
        <v>1.0</v>
      </c>
      <c r="E790" s="2" t="s">
        <v>8</v>
      </c>
      <c r="F790" s="2" t="s">
        <v>9</v>
      </c>
      <c r="G790" s="5">
        <v>7152.6714</v>
      </c>
    </row>
    <row r="791">
      <c r="A791" s="1">
        <v>44.0</v>
      </c>
      <c r="B791" s="2" t="s">
        <v>10</v>
      </c>
      <c r="C791" s="3">
        <v>27.645</v>
      </c>
      <c r="D791" s="4">
        <v>0.0</v>
      </c>
      <c r="E791" s="2" t="s">
        <v>8</v>
      </c>
      <c r="F791" s="2" t="s">
        <v>14</v>
      </c>
      <c r="G791" s="5">
        <v>7421.19455</v>
      </c>
    </row>
    <row r="792">
      <c r="A792" s="1">
        <v>44.0</v>
      </c>
      <c r="B792" s="2" t="s">
        <v>7</v>
      </c>
      <c r="C792" s="3">
        <v>32.015</v>
      </c>
      <c r="D792" s="4">
        <v>2.0</v>
      </c>
      <c r="E792" s="2" t="s">
        <v>8</v>
      </c>
      <c r="F792" s="2" t="s">
        <v>14</v>
      </c>
      <c r="G792" s="5">
        <v>8116.26885</v>
      </c>
    </row>
    <row r="793">
      <c r="A793" s="1">
        <v>44.0</v>
      </c>
      <c r="B793" s="2" t="s">
        <v>7</v>
      </c>
      <c r="C793" s="3">
        <v>22.135</v>
      </c>
      <c r="D793" s="4">
        <v>2.0</v>
      </c>
      <c r="E793" s="2" t="s">
        <v>8</v>
      </c>
      <c r="F793" s="2" t="s">
        <v>11</v>
      </c>
      <c r="G793" s="5">
        <v>8302.53565</v>
      </c>
    </row>
    <row r="794">
      <c r="A794" s="1">
        <v>44.0</v>
      </c>
      <c r="B794" s="2" t="s">
        <v>10</v>
      </c>
      <c r="C794" s="3">
        <v>20.235</v>
      </c>
      <c r="D794" s="4">
        <v>1.0</v>
      </c>
      <c r="E794" s="2" t="s">
        <v>12</v>
      </c>
      <c r="F794" s="2" t="s">
        <v>11</v>
      </c>
      <c r="G794" s="5">
        <v>19594.80965</v>
      </c>
    </row>
    <row r="795">
      <c r="A795" s="1">
        <v>44.0</v>
      </c>
      <c r="B795" s="2" t="s">
        <v>10</v>
      </c>
      <c r="C795" s="3">
        <v>38.06</v>
      </c>
      <c r="D795" s="4">
        <v>0.0</v>
      </c>
      <c r="E795" s="2" t="s">
        <v>12</v>
      </c>
      <c r="F795" s="2" t="s">
        <v>9</v>
      </c>
      <c r="G795" s="5">
        <v>48885.13561</v>
      </c>
    </row>
    <row r="796">
      <c r="A796" s="1">
        <v>44.0</v>
      </c>
      <c r="B796" s="2" t="s">
        <v>10</v>
      </c>
      <c r="C796" s="3">
        <v>23.98</v>
      </c>
      <c r="D796" s="4">
        <v>2.0</v>
      </c>
      <c r="E796" s="2" t="s">
        <v>8</v>
      </c>
      <c r="F796" s="2" t="s">
        <v>9</v>
      </c>
      <c r="G796" s="5">
        <v>8211.1002</v>
      </c>
    </row>
    <row r="797">
      <c r="A797" s="1">
        <v>44.0</v>
      </c>
      <c r="B797" s="2" t="s">
        <v>10</v>
      </c>
      <c r="C797" s="3">
        <v>38.95</v>
      </c>
      <c r="D797" s="4">
        <v>0.0</v>
      </c>
      <c r="E797" s="2" t="s">
        <v>12</v>
      </c>
      <c r="F797" s="2" t="s">
        <v>14</v>
      </c>
      <c r="G797" s="5">
        <v>42983.4585</v>
      </c>
    </row>
    <row r="798">
      <c r="A798" s="1">
        <v>44.0</v>
      </c>
      <c r="B798" s="2" t="s">
        <v>10</v>
      </c>
      <c r="C798" s="3">
        <v>43.89</v>
      </c>
      <c r="D798" s="4">
        <v>2.0</v>
      </c>
      <c r="E798" s="2" t="s">
        <v>12</v>
      </c>
      <c r="F798" s="2" t="s">
        <v>9</v>
      </c>
      <c r="G798" s="5">
        <v>46200.9851</v>
      </c>
    </row>
    <row r="799">
      <c r="A799" s="1">
        <v>44.0</v>
      </c>
      <c r="B799" s="2" t="s">
        <v>10</v>
      </c>
      <c r="C799" s="3">
        <v>36.48</v>
      </c>
      <c r="D799" s="4">
        <v>0.0</v>
      </c>
      <c r="E799" s="2" t="s">
        <v>8</v>
      </c>
      <c r="F799" s="2" t="s">
        <v>11</v>
      </c>
      <c r="G799" s="5">
        <v>12797.20962</v>
      </c>
    </row>
    <row r="800">
      <c r="A800" s="1">
        <v>44.0</v>
      </c>
      <c r="B800" s="2" t="s">
        <v>10</v>
      </c>
      <c r="C800" s="3">
        <v>29.81</v>
      </c>
      <c r="D800" s="4">
        <v>2.0</v>
      </c>
      <c r="E800" s="2" t="s">
        <v>8</v>
      </c>
      <c r="F800" s="2" t="s">
        <v>9</v>
      </c>
      <c r="G800" s="5">
        <v>8219.2039</v>
      </c>
    </row>
    <row r="801">
      <c r="A801" s="1">
        <v>44.0</v>
      </c>
      <c r="B801" s="2" t="s">
        <v>7</v>
      </c>
      <c r="C801" s="3">
        <v>21.85</v>
      </c>
      <c r="D801" s="4">
        <v>3.0</v>
      </c>
      <c r="E801" s="2" t="s">
        <v>8</v>
      </c>
      <c r="F801" s="2" t="s">
        <v>11</v>
      </c>
      <c r="G801" s="5">
        <v>8891.1395</v>
      </c>
    </row>
    <row r="802">
      <c r="A802" s="1">
        <v>44.0</v>
      </c>
      <c r="B802" s="2" t="s">
        <v>10</v>
      </c>
      <c r="C802" s="3">
        <v>32.34</v>
      </c>
      <c r="D802" s="4">
        <v>1.0</v>
      </c>
      <c r="E802" s="2" t="s">
        <v>8</v>
      </c>
      <c r="F802" s="2" t="s">
        <v>9</v>
      </c>
      <c r="G802" s="5">
        <v>7633.7206</v>
      </c>
    </row>
    <row r="803">
      <c r="A803" s="1">
        <v>44.0</v>
      </c>
      <c r="B803" s="2" t="s">
        <v>10</v>
      </c>
      <c r="C803" s="3">
        <v>27.5</v>
      </c>
      <c r="D803" s="4">
        <v>1.0</v>
      </c>
      <c r="E803" s="2" t="s">
        <v>8</v>
      </c>
      <c r="F803" s="2" t="s">
        <v>13</v>
      </c>
      <c r="G803" s="5">
        <v>7626.993</v>
      </c>
    </row>
    <row r="804">
      <c r="A804" s="1">
        <v>44.0</v>
      </c>
      <c r="B804" s="2" t="s">
        <v>7</v>
      </c>
      <c r="C804" s="3">
        <v>29.735</v>
      </c>
      <c r="D804" s="4">
        <v>2.0</v>
      </c>
      <c r="E804" s="2" t="s">
        <v>8</v>
      </c>
      <c r="F804" s="2" t="s">
        <v>11</v>
      </c>
      <c r="G804" s="5">
        <v>32108.66282</v>
      </c>
    </row>
    <row r="805">
      <c r="A805" s="1">
        <v>44.0</v>
      </c>
      <c r="B805" s="2" t="s">
        <v>7</v>
      </c>
      <c r="C805" s="3">
        <v>30.2</v>
      </c>
      <c r="D805" s="4">
        <v>2.0</v>
      </c>
      <c r="E805" s="2" t="s">
        <v>12</v>
      </c>
      <c r="F805" s="2" t="s">
        <v>13</v>
      </c>
      <c r="G805" s="5">
        <v>38998.546</v>
      </c>
    </row>
    <row r="806">
      <c r="A806" s="1">
        <v>44.0</v>
      </c>
      <c r="B806" s="2" t="s">
        <v>7</v>
      </c>
      <c r="C806" s="3">
        <v>25.365</v>
      </c>
      <c r="D806" s="4">
        <v>1.0</v>
      </c>
      <c r="E806" s="2" t="s">
        <v>8</v>
      </c>
      <c r="F806" s="2" t="s">
        <v>14</v>
      </c>
      <c r="G806" s="5">
        <v>7518.02535</v>
      </c>
    </row>
    <row r="807">
      <c r="A807" s="1">
        <v>44.0</v>
      </c>
      <c r="B807" s="2" t="s">
        <v>10</v>
      </c>
      <c r="C807" s="3">
        <v>25.8</v>
      </c>
      <c r="D807" s="4">
        <v>1.0</v>
      </c>
      <c r="E807" s="2" t="s">
        <v>8</v>
      </c>
      <c r="F807" s="2" t="s">
        <v>13</v>
      </c>
      <c r="G807" s="5">
        <v>7624.63</v>
      </c>
    </row>
    <row r="808">
      <c r="A808" s="1">
        <v>44.0</v>
      </c>
      <c r="B808" s="2" t="s">
        <v>10</v>
      </c>
      <c r="C808" s="3">
        <v>36.955</v>
      </c>
      <c r="D808" s="4">
        <v>1.0</v>
      </c>
      <c r="E808" s="2" t="s">
        <v>8</v>
      </c>
      <c r="F808" s="2" t="s">
        <v>14</v>
      </c>
      <c r="G808" s="5">
        <v>8023.13545</v>
      </c>
    </row>
    <row r="809">
      <c r="A809" s="1">
        <v>44.0</v>
      </c>
      <c r="B809" s="2" t="s">
        <v>10</v>
      </c>
      <c r="C809" s="3">
        <v>25.0</v>
      </c>
      <c r="D809" s="4">
        <v>1.0</v>
      </c>
      <c r="E809" s="2" t="s">
        <v>8</v>
      </c>
      <c r="F809" s="2" t="s">
        <v>13</v>
      </c>
      <c r="G809" s="5">
        <v>7623.518</v>
      </c>
    </row>
    <row r="810">
      <c r="A810" s="1">
        <v>44.0</v>
      </c>
      <c r="B810" s="2" t="s">
        <v>7</v>
      </c>
      <c r="C810" s="3">
        <v>34.32</v>
      </c>
      <c r="D810" s="4">
        <v>1.0</v>
      </c>
      <c r="E810" s="2" t="s">
        <v>8</v>
      </c>
      <c r="F810" s="2" t="s">
        <v>9</v>
      </c>
      <c r="G810" s="5">
        <v>7147.4728</v>
      </c>
    </row>
    <row r="811">
      <c r="A811" s="1">
        <v>45.0</v>
      </c>
      <c r="B811" s="2" t="s">
        <v>10</v>
      </c>
      <c r="C811" s="3">
        <v>38.285</v>
      </c>
      <c r="D811" s="4">
        <v>0.0</v>
      </c>
      <c r="E811" s="2" t="s">
        <v>8</v>
      </c>
      <c r="F811" s="2" t="s">
        <v>11</v>
      </c>
      <c r="G811" s="5">
        <v>7935.29115</v>
      </c>
    </row>
    <row r="812">
      <c r="A812" s="1">
        <v>45.0</v>
      </c>
      <c r="B812" s="2" t="s">
        <v>7</v>
      </c>
      <c r="C812" s="3">
        <v>22.895</v>
      </c>
      <c r="D812" s="4">
        <v>2.0</v>
      </c>
      <c r="E812" s="2" t="s">
        <v>12</v>
      </c>
      <c r="F812" s="2" t="s">
        <v>14</v>
      </c>
      <c r="G812" s="5">
        <v>21098.55405</v>
      </c>
    </row>
    <row r="813">
      <c r="A813" s="1">
        <v>45.0</v>
      </c>
      <c r="B813" s="2" t="s">
        <v>10</v>
      </c>
      <c r="C813" s="3">
        <v>28.6</v>
      </c>
      <c r="D813" s="4">
        <v>2.0</v>
      </c>
      <c r="E813" s="2" t="s">
        <v>8</v>
      </c>
      <c r="F813" s="2" t="s">
        <v>9</v>
      </c>
      <c r="G813" s="5">
        <v>8516.829</v>
      </c>
    </row>
    <row r="814">
      <c r="A814" s="1">
        <v>45.0</v>
      </c>
      <c r="B814" s="2" t="s">
        <v>10</v>
      </c>
      <c r="C814" s="3">
        <v>30.9</v>
      </c>
      <c r="D814" s="4">
        <v>2.0</v>
      </c>
      <c r="E814" s="2" t="s">
        <v>8</v>
      </c>
      <c r="F814" s="2" t="s">
        <v>13</v>
      </c>
      <c r="G814" s="5">
        <v>8520.026</v>
      </c>
    </row>
    <row r="815">
      <c r="A815" s="1">
        <v>45.0</v>
      </c>
      <c r="B815" s="2" t="s">
        <v>7</v>
      </c>
      <c r="C815" s="3">
        <v>30.2</v>
      </c>
      <c r="D815" s="4">
        <v>1.0</v>
      </c>
      <c r="E815" s="2" t="s">
        <v>8</v>
      </c>
      <c r="F815" s="2" t="s">
        <v>13</v>
      </c>
      <c r="G815" s="5">
        <v>7441.053</v>
      </c>
    </row>
    <row r="816">
      <c r="A816" s="1">
        <v>45.0</v>
      </c>
      <c r="B816" s="2" t="s">
        <v>7</v>
      </c>
      <c r="C816" s="3">
        <v>36.48</v>
      </c>
      <c r="D816" s="4">
        <v>2.0</v>
      </c>
      <c r="E816" s="2" t="s">
        <v>12</v>
      </c>
      <c r="F816" s="2" t="s">
        <v>14</v>
      </c>
      <c r="G816" s="5">
        <v>42760.5022</v>
      </c>
    </row>
    <row r="817">
      <c r="A817" s="1">
        <v>45.0</v>
      </c>
      <c r="B817" s="2" t="s">
        <v>7</v>
      </c>
      <c r="C817" s="3">
        <v>24.31</v>
      </c>
      <c r="D817" s="4">
        <v>5.0</v>
      </c>
      <c r="E817" s="2" t="s">
        <v>8</v>
      </c>
      <c r="F817" s="2" t="s">
        <v>9</v>
      </c>
      <c r="G817" s="5">
        <v>9788.8659</v>
      </c>
    </row>
    <row r="818">
      <c r="A818" s="1">
        <v>45.0</v>
      </c>
      <c r="B818" s="2" t="s">
        <v>10</v>
      </c>
      <c r="C818" s="3">
        <v>33.1</v>
      </c>
      <c r="D818" s="4">
        <v>0.0</v>
      </c>
      <c r="E818" s="2" t="s">
        <v>8</v>
      </c>
      <c r="F818" s="2" t="s">
        <v>13</v>
      </c>
      <c r="G818" s="5">
        <v>7345.084</v>
      </c>
    </row>
    <row r="819">
      <c r="A819" s="1">
        <v>45.0</v>
      </c>
      <c r="B819" s="2" t="s">
        <v>7</v>
      </c>
      <c r="C819" s="3">
        <v>28.7</v>
      </c>
      <c r="D819" s="4">
        <v>2.0</v>
      </c>
      <c r="E819" s="2" t="s">
        <v>8</v>
      </c>
      <c r="F819" s="2" t="s">
        <v>13</v>
      </c>
      <c r="G819" s="5">
        <v>8027.968</v>
      </c>
    </row>
    <row r="820">
      <c r="A820" s="1">
        <v>45.0</v>
      </c>
      <c r="B820" s="2" t="s">
        <v>7</v>
      </c>
      <c r="C820" s="3">
        <v>30.495</v>
      </c>
      <c r="D820" s="4">
        <v>2.0</v>
      </c>
      <c r="E820" s="2" t="s">
        <v>8</v>
      </c>
      <c r="F820" s="2" t="s">
        <v>14</v>
      </c>
      <c r="G820" s="5">
        <v>8413.46305</v>
      </c>
    </row>
    <row r="821">
      <c r="A821" s="1">
        <v>45.0</v>
      </c>
      <c r="B821" s="2" t="s">
        <v>10</v>
      </c>
      <c r="C821" s="3">
        <v>36.3</v>
      </c>
      <c r="D821" s="4">
        <v>2.0</v>
      </c>
      <c r="E821" s="2" t="s">
        <v>8</v>
      </c>
      <c r="F821" s="2" t="s">
        <v>9</v>
      </c>
      <c r="G821" s="5">
        <v>8527.532</v>
      </c>
    </row>
    <row r="822">
      <c r="A822" s="1">
        <v>45.0</v>
      </c>
      <c r="B822" s="2" t="s">
        <v>7</v>
      </c>
      <c r="C822" s="3">
        <v>21.375</v>
      </c>
      <c r="D822" s="4">
        <v>0.0</v>
      </c>
      <c r="E822" s="2" t="s">
        <v>8</v>
      </c>
      <c r="F822" s="2" t="s">
        <v>14</v>
      </c>
      <c r="G822" s="5">
        <v>7222.78625</v>
      </c>
    </row>
    <row r="823">
      <c r="A823" s="1">
        <v>45.0</v>
      </c>
      <c r="B823" s="2" t="s">
        <v>7</v>
      </c>
      <c r="C823" s="3">
        <v>24.035</v>
      </c>
      <c r="D823" s="4">
        <v>2.0</v>
      </c>
      <c r="E823" s="2" t="s">
        <v>8</v>
      </c>
      <c r="F823" s="2" t="s">
        <v>11</v>
      </c>
      <c r="G823" s="5">
        <v>8604.48365</v>
      </c>
    </row>
    <row r="824">
      <c r="A824" s="1">
        <v>45.0</v>
      </c>
      <c r="B824" s="2" t="s">
        <v>10</v>
      </c>
      <c r="C824" s="3">
        <v>25.175</v>
      </c>
      <c r="D824" s="4">
        <v>2.0</v>
      </c>
      <c r="E824" s="2" t="s">
        <v>8</v>
      </c>
      <c r="F824" s="2" t="s">
        <v>11</v>
      </c>
      <c r="G824" s="5">
        <v>9095.06825</v>
      </c>
    </row>
    <row r="825">
      <c r="A825" s="1">
        <v>45.0</v>
      </c>
      <c r="B825" s="2" t="s">
        <v>7</v>
      </c>
      <c r="C825" s="3">
        <v>39.805</v>
      </c>
      <c r="D825" s="4">
        <v>0.0</v>
      </c>
      <c r="E825" s="2" t="s">
        <v>8</v>
      </c>
      <c r="F825" s="2" t="s">
        <v>11</v>
      </c>
      <c r="G825" s="5">
        <v>7448.40395</v>
      </c>
    </row>
    <row r="826">
      <c r="A826" s="1">
        <v>45.0</v>
      </c>
      <c r="B826" s="2" t="s">
        <v>10</v>
      </c>
      <c r="C826" s="3">
        <v>35.815</v>
      </c>
      <c r="D826" s="4">
        <v>0.0</v>
      </c>
      <c r="E826" s="2" t="s">
        <v>8</v>
      </c>
      <c r="F826" s="2" t="s">
        <v>14</v>
      </c>
      <c r="G826" s="5">
        <v>7731.85785</v>
      </c>
    </row>
    <row r="827">
      <c r="A827" s="1">
        <v>45.0</v>
      </c>
      <c r="B827" s="2" t="s">
        <v>7</v>
      </c>
      <c r="C827" s="3">
        <v>33.7</v>
      </c>
      <c r="D827" s="4">
        <v>1.0</v>
      </c>
      <c r="E827" s="2" t="s">
        <v>8</v>
      </c>
      <c r="F827" s="2" t="s">
        <v>13</v>
      </c>
      <c r="G827" s="5">
        <v>7445.918</v>
      </c>
    </row>
    <row r="828">
      <c r="A828" s="1">
        <v>45.0</v>
      </c>
      <c r="B828" s="2" t="s">
        <v>7</v>
      </c>
      <c r="C828" s="3">
        <v>22.895</v>
      </c>
      <c r="D828" s="4">
        <v>0.0</v>
      </c>
      <c r="E828" s="2" t="s">
        <v>12</v>
      </c>
      <c r="F828" s="2" t="s">
        <v>11</v>
      </c>
      <c r="G828" s="5">
        <v>35069.37452</v>
      </c>
    </row>
    <row r="829">
      <c r="A829" s="1">
        <v>45.0</v>
      </c>
      <c r="B829" s="2" t="s">
        <v>10</v>
      </c>
      <c r="C829" s="3">
        <v>35.3</v>
      </c>
      <c r="D829" s="4">
        <v>0.0</v>
      </c>
      <c r="E829" s="2" t="s">
        <v>8</v>
      </c>
      <c r="F829" s="2" t="s">
        <v>13</v>
      </c>
      <c r="G829" s="5">
        <v>7348.142</v>
      </c>
    </row>
    <row r="830">
      <c r="A830" s="1">
        <v>45.0</v>
      </c>
      <c r="B830" s="2" t="s">
        <v>10</v>
      </c>
      <c r="C830" s="3">
        <v>39.995</v>
      </c>
      <c r="D830" s="4">
        <v>3.0</v>
      </c>
      <c r="E830" s="2" t="s">
        <v>8</v>
      </c>
      <c r="F830" s="2" t="s">
        <v>11</v>
      </c>
      <c r="G830" s="5">
        <v>9704.66805</v>
      </c>
    </row>
    <row r="831">
      <c r="A831" s="1">
        <v>45.0</v>
      </c>
      <c r="B831" s="2" t="s">
        <v>10</v>
      </c>
      <c r="C831" s="3">
        <v>27.645</v>
      </c>
      <c r="D831" s="4">
        <v>1.0</v>
      </c>
      <c r="E831" s="2" t="s">
        <v>8</v>
      </c>
      <c r="F831" s="2" t="s">
        <v>14</v>
      </c>
      <c r="G831" s="5">
        <v>28340.18885</v>
      </c>
    </row>
    <row r="832">
      <c r="A832" s="1">
        <v>45.0</v>
      </c>
      <c r="B832" s="2" t="s">
        <v>10</v>
      </c>
      <c r="C832" s="3">
        <v>30.495</v>
      </c>
      <c r="D832" s="4">
        <v>1.0</v>
      </c>
      <c r="E832" s="2" t="s">
        <v>12</v>
      </c>
      <c r="F832" s="2" t="s">
        <v>14</v>
      </c>
      <c r="G832" s="5">
        <v>39725.51805</v>
      </c>
    </row>
    <row r="833">
      <c r="A833" s="1">
        <v>45.0</v>
      </c>
      <c r="B833" s="2" t="s">
        <v>10</v>
      </c>
      <c r="C833" s="3">
        <v>31.79</v>
      </c>
      <c r="D833" s="4">
        <v>0.0</v>
      </c>
      <c r="E833" s="2" t="s">
        <v>8</v>
      </c>
      <c r="F833" s="2" t="s">
        <v>9</v>
      </c>
      <c r="G833" s="5">
        <v>17929.30337</v>
      </c>
    </row>
    <row r="834">
      <c r="A834" s="1">
        <v>45.0</v>
      </c>
      <c r="B834" s="2" t="s">
        <v>7</v>
      </c>
      <c r="C834" s="3">
        <v>20.35</v>
      </c>
      <c r="D834" s="4">
        <v>3.0</v>
      </c>
      <c r="E834" s="2" t="s">
        <v>8</v>
      </c>
      <c r="F834" s="2" t="s">
        <v>9</v>
      </c>
      <c r="G834" s="5">
        <v>8605.3615</v>
      </c>
    </row>
    <row r="835">
      <c r="A835" s="1">
        <v>45.0</v>
      </c>
      <c r="B835" s="2" t="s">
        <v>7</v>
      </c>
      <c r="C835" s="3">
        <v>23.56</v>
      </c>
      <c r="D835" s="4">
        <v>2.0</v>
      </c>
      <c r="E835" s="2" t="s">
        <v>8</v>
      </c>
      <c r="F835" s="2" t="s">
        <v>11</v>
      </c>
      <c r="G835" s="5">
        <v>8603.8234</v>
      </c>
    </row>
    <row r="836">
      <c r="A836" s="1">
        <v>45.0</v>
      </c>
      <c r="B836" s="2" t="s">
        <v>10</v>
      </c>
      <c r="C836" s="3">
        <v>27.83</v>
      </c>
      <c r="D836" s="4">
        <v>2.0</v>
      </c>
      <c r="E836" s="2" t="s">
        <v>8</v>
      </c>
      <c r="F836" s="2" t="s">
        <v>9</v>
      </c>
      <c r="G836" s="5">
        <v>8515.7587</v>
      </c>
    </row>
    <row r="837">
      <c r="A837" s="1">
        <v>45.0</v>
      </c>
      <c r="B837" s="2" t="s">
        <v>10</v>
      </c>
      <c r="C837" s="3">
        <v>25.7</v>
      </c>
      <c r="D837" s="4">
        <v>3.0</v>
      </c>
      <c r="E837" s="2" t="s">
        <v>8</v>
      </c>
      <c r="F837" s="2" t="s">
        <v>13</v>
      </c>
      <c r="G837" s="5">
        <v>9101.798</v>
      </c>
    </row>
    <row r="838">
      <c r="A838" s="1">
        <v>45.0</v>
      </c>
      <c r="B838" s="2" t="s">
        <v>7</v>
      </c>
      <c r="C838" s="3">
        <v>27.5</v>
      </c>
      <c r="D838" s="4">
        <v>3.0</v>
      </c>
      <c r="E838" s="2" t="s">
        <v>8</v>
      </c>
      <c r="F838" s="2" t="s">
        <v>13</v>
      </c>
      <c r="G838" s="5">
        <v>8615.3</v>
      </c>
    </row>
    <row r="839">
      <c r="A839" s="1">
        <v>45.0</v>
      </c>
      <c r="B839" s="2" t="s">
        <v>7</v>
      </c>
      <c r="C839" s="3">
        <v>30.36</v>
      </c>
      <c r="D839" s="4">
        <v>0.0</v>
      </c>
      <c r="E839" s="2" t="s">
        <v>12</v>
      </c>
      <c r="F839" s="2" t="s">
        <v>9</v>
      </c>
      <c r="G839" s="5">
        <v>62592.87309</v>
      </c>
    </row>
    <row r="840">
      <c r="A840" s="1">
        <v>46.0</v>
      </c>
      <c r="B840" s="2" t="s">
        <v>10</v>
      </c>
      <c r="C840" s="3">
        <v>33.44</v>
      </c>
      <c r="D840" s="4">
        <v>1.0</v>
      </c>
      <c r="E840" s="2" t="s">
        <v>8</v>
      </c>
      <c r="F840" s="2" t="s">
        <v>9</v>
      </c>
      <c r="G840" s="5">
        <v>8240.5896</v>
      </c>
    </row>
    <row r="841">
      <c r="A841" s="1">
        <v>46.0</v>
      </c>
      <c r="B841" s="2" t="s">
        <v>10</v>
      </c>
      <c r="C841" s="3">
        <v>27.74</v>
      </c>
      <c r="D841" s="4">
        <v>0.0</v>
      </c>
      <c r="E841" s="2" t="s">
        <v>8</v>
      </c>
      <c r="F841" s="2" t="s">
        <v>14</v>
      </c>
      <c r="G841" s="5">
        <v>8026.6666</v>
      </c>
    </row>
    <row r="842">
      <c r="A842" s="1">
        <v>46.0</v>
      </c>
      <c r="B842" s="2" t="s">
        <v>7</v>
      </c>
      <c r="C842" s="3">
        <v>30.495</v>
      </c>
      <c r="D842" s="4">
        <v>3.0</v>
      </c>
      <c r="E842" s="2" t="s">
        <v>12</v>
      </c>
      <c r="F842" s="2" t="s">
        <v>14</v>
      </c>
      <c r="G842" s="5">
        <v>40720.55105</v>
      </c>
    </row>
    <row r="843">
      <c r="A843" s="1">
        <v>46.0</v>
      </c>
      <c r="B843" s="2" t="s">
        <v>10</v>
      </c>
      <c r="C843" s="3">
        <v>28.9</v>
      </c>
      <c r="D843" s="4">
        <v>2.0</v>
      </c>
      <c r="E843" s="2" t="s">
        <v>8</v>
      </c>
      <c r="F843" s="2" t="s">
        <v>13</v>
      </c>
      <c r="G843" s="5">
        <v>8823.279</v>
      </c>
    </row>
    <row r="844">
      <c r="A844" s="1">
        <v>46.0</v>
      </c>
      <c r="B844" s="2" t="s">
        <v>7</v>
      </c>
      <c r="C844" s="3">
        <v>22.3</v>
      </c>
      <c r="D844" s="4">
        <v>0.0</v>
      </c>
      <c r="E844" s="2" t="s">
        <v>8</v>
      </c>
      <c r="F844" s="2" t="s">
        <v>13</v>
      </c>
      <c r="G844" s="5">
        <v>7147.105</v>
      </c>
    </row>
    <row r="845">
      <c r="A845" s="1">
        <v>46.0</v>
      </c>
      <c r="B845" s="2" t="s">
        <v>7</v>
      </c>
      <c r="C845" s="3">
        <v>42.35</v>
      </c>
      <c r="D845" s="4">
        <v>3.0</v>
      </c>
      <c r="E845" s="2" t="s">
        <v>12</v>
      </c>
      <c r="F845" s="2" t="s">
        <v>9</v>
      </c>
      <c r="G845" s="5">
        <v>46151.1245</v>
      </c>
    </row>
    <row r="846">
      <c r="A846" s="1">
        <v>46.0</v>
      </c>
      <c r="B846" s="2" t="s">
        <v>7</v>
      </c>
      <c r="C846" s="3">
        <v>26.62</v>
      </c>
      <c r="D846" s="4">
        <v>1.0</v>
      </c>
      <c r="E846" s="2" t="s">
        <v>8</v>
      </c>
      <c r="F846" s="2" t="s">
        <v>9</v>
      </c>
      <c r="G846" s="5">
        <v>7742.1098</v>
      </c>
    </row>
    <row r="847">
      <c r="A847" s="1">
        <v>46.0</v>
      </c>
      <c r="B847" s="2" t="s">
        <v>10</v>
      </c>
      <c r="C847" s="3">
        <v>48.07</v>
      </c>
      <c r="D847" s="4">
        <v>2.0</v>
      </c>
      <c r="E847" s="2" t="s">
        <v>8</v>
      </c>
      <c r="F847" s="2" t="s">
        <v>11</v>
      </c>
      <c r="G847" s="5">
        <v>9432.9253</v>
      </c>
    </row>
    <row r="848">
      <c r="A848" s="1">
        <v>46.0</v>
      </c>
      <c r="B848" s="2" t="s">
        <v>10</v>
      </c>
      <c r="C848" s="3">
        <v>27.72</v>
      </c>
      <c r="D848" s="4">
        <v>1.0</v>
      </c>
      <c r="E848" s="2" t="s">
        <v>8</v>
      </c>
      <c r="F848" s="2" t="s">
        <v>9</v>
      </c>
      <c r="G848" s="5">
        <v>8232.6388</v>
      </c>
    </row>
    <row r="849">
      <c r="A849" s="1">
        <v>46.0</v>
      </c>
      <c r="B849" s="2" t="s">
        <v>7</v>
      </c>
      <c r="C849" s="3">
        <v>33.345</v>
      </c>
      <c r="D849" s="4">
        <v>1.0</v>
      </c>
      <c r="E849" s="2" t="s">
        <v>8</v>
      </c>
      <c r="F849" s="2" t="s">
        <v>11</v>
      </c>
      <c r="G849" s="5">
        <v>8334.45755</v>
      </c>
    </row>
    <row r="850">
      <c r="A850" s="1">
        <v>46.0</v>
      </c>
      <c r="B850" s="2" t="s">
        <v>7</v>
      </c>
      <c r="C850" s="3">
        <v>27.6</v>
      </c>
      <c r="D850" s="4">
        <v>0.0</v>
      </c>
      <c r="E850" s="2" t="s">
        <v>8</v>
      </c>
      <c r="F850" s="2" t="s">
        <v>13</v>
      </c>
      <c r="G850" s="5">
        <v>24603.04837</v>
      </c>
    </row>
    <row r="851">
      <c r="A851" s="1">
        <v>46.0</v>
      </c>
      <c r="B851" s="2" t="s">
        <v>7</v>
      </c>
      <c r="C851" s="3">
        <v>43.89</v>
      </c>
      <c r="D851" s="4">
        <v>3.0</v>
      </c>
      <c r="E851" s="2" t="s">
        <v>8</v>
      </c>
      <c r="F851" s="2" t="s">
        <v>9</v>
      </c>
      <c r="G851" s="5">
        <v>8944.1151</v>
      </c>
    </row>
    <row r="852">
      <c r="A852" s="1">
        <v>46.0</v>
      </c>
      <c r="B852" s="2" t="s">
        <v>10</v>
      </c>
      <c r="C852" s="3">
        <v>32.3</v>
      </c>
      <c r="D852" s="4">
        <v>2.0</v>
      </c>
      <c r="E852" s="2" t="s">
        <v>8</v>
      </c>
      <c r="F852" s="2" t="s">
        <v>11</v>
      </c>
      <c r="G852" s="5">
        <v>9411.005</v>
      </c>
    </row>
    <row r="853">
      <c r="A853" s="1">
        <v>46.0</v>
      </c>
      <c r="B853" s="2" t="s">
        <v>7</v>
      </c>
      <c r="C853" s="3">
        <v>19.855</v>
      </c>
      <c r="D853" s="4">
        <v>0.0</v>
      </c>
      <c r="E853" s="2" t="s">
        <v>8</v>
      </c>
      <c r="F853" s="2" t="s">
        <v>14</v>
      </c>
      <c r="G853" s="5">
        <v>7526.70645</v>
      </c>
    </row>
    <row r="854">
      <c r="A854" s="1">
        <v>46.0</v>
      </c>
      <c r="B854" s="2" t="s">
        <v>7</v>
      </c>
      <c r="C854" s="3">
        <v>39.425</v>
      </c>
      <c r="D854" s="4">
        <v>1.0</v>
      </c>
      <c r="E854" s="2" t="s">
        <v>8</v>
      </c>
      <c r="F854" s="2" t="s">
        <v>11</v>
      </c>
      <c r="G854" s="5">
        <v>8342.90875</v>
      </c>
    </row>
    <row r="855">
      <c r="A855" s="1">
        <v>46.0</v>
      </c>
      <c r="B855" s="2" t="s">
        <v>10</v>
      </c>
      <c r="C855" s="3">
        <v>30.2</v>
      </c>
      <c r="D855" s="4">
        <v>2.0</v>
      </c>
      <c r="E855" s="2" t="s">
        <v>8</v>
      </c>
      <c r="F855" s="2" t="s">
        <v>13</v>
      </c>
      <c r="G855" s="5">
        <v>8825.086</v>
      </c>
    </row>
    <row r="856">
      <c r="A856" s="1">
        <v>46.0</v>
      </c>
      <c r="B856" s="2" t="s">
        <v>10</v>
      </c>
      <c r="C856" s="3">
        <v>28.05</v>
      </c>
      <c r="D856" s="4">
        <v>1.0</v>
      </c>
      <c r="E856" s="2" t="s">
        <v>8</v>
      </c>
      <c r="F856" s="2" t="s">
        <v>9</v>
      </c>
      <c r="G856" s="5">
        <v>8233.0975</v>
      </c>
    </row>
    <row r="857">
      <c r="A857" s="1">
        <v>46.0</v>
      </c>
      <c r="B857" s="2" t="s">
        <v>7</v>
      </c>
      <c r="C857" s="3">
        <v>33.44</v>
      </c>
      <c r="D857" s="4">
        <v>1.0</v>
      </c>
      <c r="E857" s="2" t="s">
        <v>8</v>
      </c>
      <c r="F857" s="2" t="s">
        <v>11</v>
      </c>
      <c r="G857" s="5">
        <v>8334.5896</v>
      </c>
    </row>
    <row r="858">
      <c r="A858" s="1">
        <v>46.0</v>
      </c>
      <c r="B858" s="2" t="s">
        <v>10</v>
      </c>
      <c r="C858" s="3">
        <v>19.95</v>
      </c>
      <c r="D858" s="4">
        <v>2.0</v>
      </c>
      <c r="E858" s="2" t="s">
        <v>8</v>
      </c>
      <c r="F858" s="2" t="s">
        <v>14</v>
      </c>
      <c r="G858" s="5">
        <v>9193.8385</v>
      </c>
    </row>
    <row r="859">
      <c r="A859" s="1">
        <v>46.0</v>
      </c>
      <c r="B859" s="2" t="s">
        <v>10</v>
      </c>
      <c r="C859" s="3">
        <v>33.725</v>
      </c>
      <c r="D859" s="4">
        <v>1.0</v>
      </c>
      <c r="E859" s="2" t="s">
        <v>8</v>
      </c>
      <c r="F859" s="2" t="s">
        <v>11</v>
      </c>
      <c r="G859" s="5">
        <v>8823.98575</v>
      </c>
    </row>
    <row r="860">
      <c r="A860" s="1">
        <v>46.0</v>
      </c>
      <c r="B860" s="2" t="s">
        <v>10</v>
      </c>
      <c r="C860" s="3">
        <v>30.8</v>
      </c>
      <c r="D860" s="4">
        <v>3.0</v>
      </c>
      <c r="E860" s="2" t="s">
        <v>8</v>
      </c>
      <c r="F860" s="2" t="s">
        <v>13</v>
      </c>
      <c r="G860" s="5">
        <v>9414.92</v>
      </c>
    </row>
    <row r="861">
      <c r="A861" s="1">
        <v>46.0</v>
      </c>
      <c r="B861" s="2" t="s">
        <v>10</v>
      </c>
      <c r="C861" s="3">
        <v>35.53</v>
      </c>
      <c r="D861" s="4">
        <v>0.0</v>
      </c>
      <c r="E861" s="2" t="s">
        <v>12</v>
      </c>
      <c r="F861" s="2" t="s">
        <v>11</v>
      </c>
      <c r="G861" s="5">
        <v>42111.6647</v>
      </c>
    </row>
    <row r="862">
      <c r="A862" s="1">
        <v>46.0</v>
      </c>
      <c r="B862" s="2" t="s">
        <v>7</v>
      </c>
      <c r="C862" s="3">
        <v>25.8</v>
      </c>
      <c r="D862" s="4">
        <v>5.0</v>
      </c>
      <c r="E862" s="2" t="s">
        <v>8</v>
      </c>
      <c r="F862" s="2" t="s">
        <v>13</v>
      </c>
      <c r="G862" s="5">
        <v>10096.97</v>
      </c>
    </row>
    <row r="863">
      <c r="A863" s="1">
        <v>46.0</v>
      </c>
      <c r="B863" s="2" t="s">
        <v>7</v>
      </c>
      <c r="C863" s="3">
        <v>24.795</v>
      </c>
      <c r="D863" s="4">
        <v>3.0</v>
      </c>
      <c r="E863" s="2" t="s">
        <v>8</v>
      </c>
      <c r="F863" s="2" t="s">
        <v>11</v>
      </c>
      <c r="G863" s="5">
        <v>9500.57305</v>
      </c>
    </row>
    <row r="864">
      <c r="A864" s="1">
        <v>46.0</v>
      </c>
      <c r="B864" s="2" t="s">
        <v>10</v>
      </c>
      <c r="C864" s="3">
        <v>23.655</v>
      </c>
      <c r="D864" s="4">
        <v>1.0</v>
      </c>
      <c r="E864" s="2" t="s">
        <v>12</v>
      </c>
      <c r="F864" s="2" t="s">
        <v>14</v>
      </c>
      <c r="G864" s="5">
        <v>21677.28345</v>
      </c>
    </row>
    <row r="865">
      <c r="A865" s="1">
        <v>46.0</v>
      </c>
      <c r="B865" s="2" t="s">
        <v>7</v>
      </c>
      <c r="C865" s="3">
        <v>38.17</v>
      </c>
      <c r="D865" s="4">
        <v>2.0</v>
      </c>
      <c r="E865" s="2" t="s">
        <v>8</v>
      </c>
      <c r="F865" s="2" t="s">
        <v>9</v>
      </c>
      <c r="G865" s="5">
        <v>8347.1643</v>
      </c>
    </row>
    <row r="866">
      <c r="A866" s="1">
        <v>46.0</v>
      </c>
      <c r="B866" s="2" t="s">
        <v>7</v>
      </c>
      <c r="C866" s="3">
        <v>40.375</v>
      </c>
      <c r="D866" s="4">
        <v>2.0</v>
      </c>
      <c r="E866" s="2" t="s">
        <v>8</v>
      </c>
      <c r="F866" s="2" t="s">
        <v>14</v>
      </c>
      <c r="G866" s="5">
        <v>8733.22925</v>
      </c>
    </row>
    <row r="867">
      <c r="A867" s="1">
        <v>46.0</v>
      </c>
      <c r="B867" s="2" t="s">
        <v>10</v>
      </c>
      <c r="C867" s="3">
        <v>34.6</v>
      </c>
      <c r="D867" s="4">
        <v>1.0</v>
      </c>
      <c r="E867" s="2" t="s">
        <v>12</v>
      </c>
      <c r="F867" s="2" t="s">
        <v>13</v>
      </c>
      <c r="G867" s="5">
        <v>41661.602</v>
      </c>
    </row>
    <row r="868">
      <c r="A868" s="1">
        <v>46.0</v>
      </c>
      <c r="B868" s="2" t="s">
        <v>7</v>
      </c>
      <c r="C868" s="3">
        <v>25.745</v>
      </c>
      <c r="D868" s="4">
        <v>3.0</v>
      </c>
      <c r="E868" s="2" t="s">
        <v>8</v>
      </c>
      <c r="F868" s="2" t="s">
        <v>14</v>
      </c>
      <c r="G868" s="5">
        <v>9301.89355</v>
      </c>
    </row>
    <row r="869">
      <c r="A869" s="1">
        <v>47.0</v>
      </c>
      <c r="B869" s="2" t="s">
        <v>10</v>
      </c>
      <c r="C869" s="3">
        <v>33.915</v>
      </c>
      <c r="D869" s="4">
        <v>3.0</v>
      </c>
      <c r="E869" s="2" t="s">
        <v>8</v>
      </c>
      <c r="F869" s="2" t="s">
        <v>14</v>
      </c>
      <c r="G869" s="5">
        <v>10115.00885</v>
      </c>
    </row>
    <row r="870">
      <c r="A870" s="1">
        <v>47.0</v>
      </c>
      <c r="B870" s="2" t="s">
        <v>7</v>
      </c>
      <c r="C870" s="3">
        <v>28.215</v>
      </c>
      <c r="D870" s="4">
        <v>4.0</v>
      </c>
      <c r="E870" s="2" t="s">
        <v>8</v>
      </c>
      <c r="F870" s="2" t="s">
        <v>11</v>
      </c>
      <c r="G870" s="5">
        <v>10407.08585</v>
      </c>
    </row>
    <row r="871">
      <c r="A871" s="1">
        <v>47.0</v>
      </c>
      <c r="B871" s="2" t="s">
        <v>7</v>
      </c>
      <c r="C871" s="3">
        <v>25.46</v>
      </c>
      <c r="D871" s="4">
        <v>2.0</v>
      </c>
      <c r="E871" s="2" t="s">
        <v>8</v>
      </c>
      <c r="F871" s="2" t="s">
        <v>11</v>
      </c>
      <c r="G871" s="5">
        <v>9225.2564</v>
      </c>
    </row>
    <row r="872">
      <c r="A872" s="1">
        <v>47.0</v>
      </c>
      <c r="B872" s="2" t="s">
        <v>10</v>
      </c>
      <c r="C872" s="3">
        <v>26.6</v>
      </c>
      <c r="D872" s="4">
        <v>2.0</v>
      </c>
      <c r="E872" s="2" t="s">
        <v>8</v>
      </c>
      <c r="F872" s="2" t="s">
        <v>11</v>
      </c>
      <c r="G872" s="5">
        <v>9715.841</v>
      </c>
    </row>
    <row r="873">
      <c r="A873" s="1">
        <v>47.0</v>
      </c>
      <c r="B873" s="2" t="s">
        <v>7</v>
      </c>
      <c r="C873" s="3">
        <v>25.41</v>
      </c>
      <c r="D873" s="4">
        <v>1.0</v>
      </c>
      <c r="E873" s="2" t="s">
        <v>12</v>
      </c>
      <c r="F873" s="2" t="s">
        <v>9</v>
      </c>
      <c r="G873" s="5">
        <v>21978.6769</v>
      </c>
    </row>
    <row r="874">
      <c r="A874" s="1">
        <v>47.0</v>
      </c>
      <c r="B874" s="2" t="s">
        <v>7</v>
      </c>
      <c r="C874" s="3">
        <v>29.83</v>
      </c>
      <c r="D874" s="4">
        <v>3.0</v>
      </c>
      <c r="E874" s="2" t="s">
        <v>8</v>
      </c>
      <c r="F874" s="2" t="s">
        <v>14</v>
      </c>
      <c r="G874" s="5">
        <v>9620.3307</v>
      </c>
    </row>
    <row r="875">
      <c r="A875" s="1">
        <v>47.0</v>
      </c>
      <c r="B875" s="2" t="s">
        <v>7</v>
      </c>
      <c r="C875" s="3">
        <v>47.52</v>
      </c>
      <c r="D875" s="4">
        <v>1.0</v>
      </c>
      <c r="E875" s="2" t="s">
        <v>8</v>
      </c>
      <c r="F875" s="2" t="s">
        <v>9</v>
      </c>
      <c r="G875" s="5">
        <v>8083.9198</v>
      </c>
    </row>
    <row r="876">
      <c r="A876" s="1">
        <v>47.0</v>
      </c>
      <c r="B876" s="2" t="s">
        <v>10</v>
      </c>
      <c r="C876" s="3">
        <v>23.6</v>
      </c>
      <c r="D876" s="4">
        <v>1.0</v>
      </c>
      <c r="E876" s="2" t="s">
        <v>8</v>
      </c>
      <c r="F876" s="2" t="s">
        <v>13</v>
      </c>
      <c r="G876" s="5">
        <v>8539.671</v>
      </c>
    </row>
    <row r="877">
      <c r="A877" s="1">
        <v>47.0</v>
      </c>
      <c r="B877" s="2" t="s">
        <v>10</v>
      </c>
      <c r="C877" s="3">
        <v>33.345</v>
      </c>
      <c r="D877" s="4">
        <v>0.0</v>
      </c>
      <c r="E877" s="2" t="s">
        <v>8</v>
      </c>
      <c r="F877" s="2" t="s">
        <v>11</v>
      </c>
      <c r="G877" s="5">
        <v>20878.78443</v>
      </c>
    </row>
    <row r="878">
      <c r="A878" s="1">
        <v>47.0</v>
      </c>
      <c r="B878" s="2" t="s">
        <v>7</v>
      </c>
      <c r="C878" s="3">
        <v>19.57</v>
      </c>
      <c r="D878" s="4">
        <v>1.0</v>
      </c>
      <c r="E878" s="2" t="s">
        <v>8</v>
      </c>
      <c r="F878" s="2" t="s">
        <v>14</v>
      </c>
      <c r="G878" s="5">
        <v>8428.0693</v>
      </c>
    </row>
    <row r="879">
      <c r="A879" s="1">
        <v>47.0</v>
      </c>
      <c r="B879" s="2" t="s">
        <v>10</v>
      </c>
      <c r="C879" s="3">
        <v>29.37</v>
      </c>
      <c r="D879" s="4">
        <v>1.0</v>
      </c>
      <c r="E879" s="2" t="s">
        <v>8</v>
      </c>
      <c r="F879" s="2" t="s">
        <v>9</v>
      </c>
      <c r="G879" s="5">
        <v>8547.6913</v>
      </c>
    </row>
    <row r="880">
      <c r="A880" s="1">
        <v>47.0</v>
      </c>
      <c r="B880" s="2" t="s">
        <v>10</v>
      </c>
      <c r="C880" s="3">
        <v>36.63</v>
      </c>
      <c r="D880" s="4">
        <v>1.0</v>
      </c>
      <c r="E880" s="2" t="s">
        <v>12</v>
      </c>
      <c r="F880" s="2" t="s">
        <v>9</v>
      </c>
      <c r="G880" s="5">
        <v>42969.8527</v>
      </c>
    </row>
    <row r="881">
      <c r="A881" s="1">
        <v>47.0</v>
      </c>
      <c r="B881" s="2" t="s">
        <v>10</v>
      </c>
      <c r="C881" s="3">
        <v>24.1</v>
      </c>
      <c r="D881" s="4">
        <v>1.0</v>
      </c>
      <c r="E881" s="2" t="s">
        <v>8</v>
      </c>
      <c r="F881" s="2" t="s">
        <v>13</v>
      </c>
      <c r="G881" s="5">
        <v>26236.57997</v>
      </c>
    </row>
    <row r="882">
      <c r="A882" s="1">
        <v>47.0</v>
      </c>
      <c r="B882" s="2" t="s">
        <v>7</v>
      </c>
      <c r="C882" s="3">
        <v>36.2</v>
      </c>
      <c r="D882" s="4">
        <v>1.0</v>
      </c>
      <c r="E882" s="2" t="s">
        <v>8</v>
      </c>
      <c r="F882" s="2" t="s">
        <v>13</v>
      </c>
      <c r="G882" s="5">
        <v>8068.185</v>
      </c>
    </row>
    <row r="883">
      <c r="A883" s="1">
        <v>47.0</v>
      </c>
      <c r="B883" s="2" t="s">
        <v>10</v>
      </c>
      <c r="C883" s="3">
        <v>29.545</v>
      </c>
      <c r="D883" s="4">
        <v>1.0</v>
      </c>
      <c r="E883" s="2" t="s">
        <v>8</v>
      </c>
      <c r="F883" s="2" t="s">
        <v>14</v>
      </c>
      <c r="G883" s="5">
        <v>8930.93455</v>
      </c>
    </row>
    <row r="884">
      <c r="A884" s="1">
        <v>47.0</v>
      </c>
      <c r="B884" s="2" t="s">
        <v>10</v>
      </c>
      <c r="C884" s="3">
        <v>36.0</v>
      </c>
      <c r="D884" s="4">
        <v>1.0</v>
      </c>
      <c r="E884" s="2" t="s">
        <v>8</v>
      </c>
      <c r="F884" s="2" t="s">
        <v>13</v>
      </c>
      <c r="G884" s="5">
        <v>8556.907</v>
      </c>
    </row>
    <row r="885">
      <c r="A885" s="1">
        <v>47.0</v>
      </c>
      <c r="B885" s="2" t="s">
        <v>10</v>
      </c>
      <c r="C885" s="3">
        <v>27.83</v>
      </c>
      <c r="D885" s="4">
        <v>0.0</v>
      </c>
      <c r="E885" s="2" t="s">
        <v>12</v>
      </c>
      <c r="F885" s="2" t="s">
        <v>9</v>
      </c>
      <c r="G885" s="5">
        <v>23065.4207</v>
      </c>
    </row>
    <row r="886">
      <c r="A886" s="1">
        <v>47.0</v>
      </c>
      <c r="B886" s="2" t="s">
        <v>7</v>
      </c>
      <c r="C886" s="3">
        <v>32.3</v>
      </c>
      <c r="D886" s="4">
        <v>1.0</v>
      </c>
      <c r="E886" s="2" t="s">
        <v>8</v>
      </c>
      <c r="F886" s="2" t="s">
        <v>13</v>
      </c>
      <c r="G886" s="5">
        <v>8062.764</v>
      </c>
    </row>
    <row r="887">
      <c r="A887" s="1">
        <v>47.0</v>
      </c>
      <c r="B887" s="2" t="s">
        <v>10</v>
      </c>
      <c r="C887" s="3">
        <v>26.125</v>
      </c>
      <c r="D887" s="4">
        <v>1.0</v>
      </c>
      <c r="E887" s="2" t="s">
        <v>12</v>
      </c>
      <c r="F887" s="2" t="s">
        <v>11</v>
      </c>
      <c r="G887" s="5">
        <v>23401.30575</v>
      </c>
    </row>
    <row r="888">
      <c r="A888" s="1">
        <v>47.0</v>
      </c>
      <c r="B888" s="2" t="s">
        <v>7</v>
      </c>
      <c r="C888" s="3">
        <v>38.94</v>
      </c>
      <c r="D888" s="4">
        <v>2.0</v>
      </c>
      <c r="E888" s="2" t="s">
        <v>12</v>
      </c>
      <c r="F888" s="2" t="s">
        <v>9</v>
      </c>
      <c r="G888" s="5">
        <v>44202.6536</v>
      </c>
    </row>
    <row r="889">
      <c r="A889" s="1">
        <v>47.0</v>
      </c>
      <c r="B889" s="2" t="s">
        <v>7</v>
      </c>
      <c r="C889" s="3">
        <v>19.19</v>
      </c>
      <c r="D889" s="4">
        <v>1.0</v>
      </c>
      <c r="E889" s="2" t="s">
        <v>8</v>
      </c>
      <c r="F889" s="2" t="s">
        <v>11</v>
      </c>
      <c r="G889" s="5">
        <v>8627.5411</v>
      </c>
    </row>
    <row r="890">
      <c r="A890" s="1">
        <v>47.0</v>
      </c>
      <c r="B890" s="2" t="s">
        <v>7</v>
      </c>
      <c r="C890" s="3">
        <v>28.215</v>
      </c>
      <c r="D890" s="4">
        <v>3.0</v>
      </c>
      <c r="E890" s="2" t="s">
        <v>12</v>
      </c>
      <c r="F890" s="2" t="s">
        <v>14</v>
      </c>
      <c r="G890" s="5">
        <v>24915.22085</v>
      </c>
    </row>
    <row r="891">
      <c r="A891" s="1">
        <v>47.0</v>
      </c>
      <c r="B891" s="2" t="s">
        <v>7</v>
      </c>
      <c r="C891" s="3">
        <v>36.08</v>
      </c>
      <c r="D891" s="4">
        <v>1.0</v>
      </c>
      <c r="E891" s="2" t="s">
        <v>12</v>
      </c>
      <c r="F891" s="2" t="s">
        <v>9</v>
      </c>
      <c r="G891" s="5">
        <v>42211.1382</v>
      </c>
    </row>
    <row r="892">
      <c r="A892" s="1">
        <v>47.0</v>
      </c>
      <c r="B892" s="2" t="s">
        <v>10</v>
      </c>
      <c r="C892" s="3">
        <v>45.32</v>
      </c>
      <c r="D892" s="4">
        <v>1.0</v>
      </c>
      <c r="E892" s="2" t="s">
        <v>8</v>
      </c>
      <c r="F892" s="2" t="s">
        <v>9</v>
      </c>
      <c r="G892" s="5">
        <v>8569.8618</v>
      </c>
    </row>
    <row r="893">
      <c r="A893" s="1">
        <v>47.0</v>
      </c>
      <c r="B893" s="2" t="s">
        <v>7</v>
      </c>
      <c r="C893" s="3">
        <v>29.8</v>
      </c>
      <c r="D893" s="4">
        <v>3.0</v>
      </c>
      <c r="E893" s="2" t="s">
        <v>12</v>
      </c>
      <c r="F893" s="2" t="s">
        <v>13</v>
      </c>
      <c r="G893" s="5">
        <v>25309.489</v>
      </c>
    </row>
    <row r="894">
      <c r="A894" s="1">
        <v>47.0</v>
      </c>
      <c r="B894" s="2" t="s">
        <v>10</v>
      </c>
      <c r="C894" s="3">
        <v>32.0</v>
      </c>
      <c r="D894" s="4">
        <v>1.0</v>
      </c>
      <c r="E894" s="2" t="s">
        <v>8</v>
      </c>
      <c r="F894" s="2" t="s">
        <v>13</v>
      </c>
      <c r="G894" s="5">
        <v>8551.347</v>
      </c>
    </row>
    <row r="895">
      <c r="A895" s="1">
        <v>47.0</v>
      </c>
      <c r="B895" s="2" t="s">
        <v>7</v>
      </c>
      <c r="C895" s="3">
        <v>36.19</v>
      </c>
      <c r="D895" s="4">
        <v>0.0</v>
      </c>
      <c r="E895" s="2" t="s">
        <v>12</v>
      </c>
      <c r="F895" s="2" t="s">
        <v>9</v>
      </c>
      <c r="G895" s="5">
        <v>41676.0811</v>
      </c>
    </row>
    <row r="896">
      <c r="A896" s="1">
        <v>47.0</v>
      </c>
      <c r="B896" s="2" t="s">
        <v>10</v>
      </c>
      <c r="C896" s="3">
        <v>27.645</v>
      </c>
      <c r="D896" s="4">
        <v>2.0</v>
      </c>
      <c r="E896" s="2" t="s">
        <v>12</v>
      </c>
      <c r="F896" s="2" t="s">
        <v>14</v>
      </c>
      <c r="G896" s="5">
        <v>24535.69855</v>
      </c>
    </row>
    <row r="897">
      <c r="A897" s="1">
        <v>47.0</v>
      </c>
      <c r="B897" s="2" t="s">
        <v>10</v>
      </c>
      <c r="C897" s="3">
        <v>24.32</v>
      </c>
      <c r="D897" s="4">
        <v>0.0</v>
      </c>
      <c r="E897" s="2" t="s">
        <v>8</v>
      </c>
      <c r="F897" s="2" t="s">
        <v>11</v>
      </c>
      <c r="G897" s="5">
        <v>8534.6718</v>
      </c>
    </row>
    <row r="898">
      <c r="A898" s="1">
        <v>48.0</v>
      </c>
      <c r="B898" s="2" t="s">
        <v>7</v>
      </c>
      <c r="C898" s="3">
        <v>28.0</v>
      </c>
      <c r="D898" s="4">
        <v>1.0</v>
      </c>
      <c r="E898" s="2" t="s">
        <v>12</v>
      </c>
      <c r="F898" s="2" t="s">
        <v>13</v>
      </c>
      <c r="G898" s="5">
        <v>23568.272</v>
      </c>
    </row>
    <row r="899">
      <c r="A899" s="1">
        <v>48.0</v>
      </c>
      <c r="B899" s="2" t="s">
        <v>10</v>
      </c>
      <c r="C899" s="3">
        <v>41.23</v>
      </c>
      <c r="D899" s="4">
        <v>4.0</v>
      </c>
      <c r="E899" s="2" t="s">
        <v>8</v>
      </c>
      <c r="F899" s="2" t="s">
        <v>14</v>
      </c>
      <c r="G899" s="5">
        <v>11033.6617</v>
      </c>
    </row>
    <row r="900">
      <c r="A900" s="1">
        <v>48.0</v>
      </c>
      <c r="B900" s="2" t="s">
        <v>7</v>
      </c>
      <c r="C900" s="3">
        <v>29.7</v>
      </c>
      <c r="D900" s="4">
        <v>0.0</v>
      </c>
      <c r="E900" s="2" t="s">
        <v>8</v>
      </c>
      <c r="F900" s="2" t="s">
        <v>9</v>
      </c>
      <c r="G900" s="5">
        <v>7789.635</v>
      </c>
    </row>
    <row r="901">
      <c r="A901" s="1">
        <v>48.0</v>
      </c>
      <c r="B901" s="2" t="s">
        <v>7</v>
      </c>
      <c r="C901" s="3">
        <v>24.42</v>
      </c>
      <c r="D901" s="4">
        <v>0.0</v>
      </c>
      <c r="E901" s="2" t="s">
        <v>12</v>
      </c>
      <c r="F901" s="2" t="s">
        <v>9</v>
      </c>
      <c r="G901" s="5">
        <v>21223.6758</v>
      </c>
    </row>
    <row r="902">
      <c r="A902" s="1">
        <v>48.0</v>
      </c>
      <c r="B902" s="2" t="s">
        <v>10</v>
      </c>
      <c r="C902" s="3">
        <v>32.23</v>
      </c>
      <c r="D902" s="4">
        <v>1.0</v>
      </c>
      <c r="E902" s="2" t="s">
        <v>8</v>
      </c>
      <c r="F902" s="2" t="s">
        <v>9</v>
      </c>
      <c r="G902" s="5">
        <v>8871.1517</v>
      </c>
    </row>
    <row r="903">
      <c r="A903" s="1">
        <v>48.0</v>
      </c>
      <c r="B903" s="2" t="s">
        <v>10</v>
      </c>
      <c r="C903" s="3">
        <v>28.88</v>
      </c>
      <c r="D903" s="4">
        <v>1.0</v>
      </c>
      <c r="E903" s="2" t="s">
        <v>8</v>
      </c>
      <c r="F903" s="2" t="s">
        <v>14</v>
      </c>
      <c r="G903" s="5">
        <v>9249.4952</v>
      </c>
    </row>
    <row r="904">
      <c r="A904" s="1">
        <v>48.0</v>
      </c>
      <c r="B904" s="2" t="s">
        <v>10</v>
      </c>
      <c r="C904" s="3">
        <v>32.3</v>
      </c>
      <c r="D904" s="4">
        <v>2.0</v>
      </c>
      <c r="E904" s="2" t="s">
        <v>8</v>
      </c>
      <c r="F904" s="2" t="s">
        <v>11</v>
      </c>
      <c r="G904" s="5">
        <v>10043.249</v>
      </c>
    </row>
    <row r="905">
      <c r="A905" s="1">
        <v>48.0</v>
      </c>
      <c r="B905" s="2" t="s">
        <v>7</v>
      </c>
      <c r="C905" s="3">
        <v>35.625</v>
      </c>
      <c r="D905" s="4">
        <v>4.0</v>
      </c>
      <c r="E905" s="2" t="s">
        <v>8</v>
      </c>
      <c r="F905" s="2" t="s">
        <v>11</v>
      </c>
      <c r="G905" s="5">
        <v>10736.87075</v>
      </c>
    </row>
    <row r="906">
      <c r="A906" s="1">
        <v>48.0</v>
      </c>
      <c r="B906" s="2" t="s">
        <v>7</v>
      </c>
      <c r="C906" s="3">
        <v>31.445</v>
      </c>
      <c r="D906" s="4">
        <v>1.0</v>
      </c>
      <c r="E906" s="2" t="s">
        <v>8</v>
      </c>
      <c r="F906" s="2" t="s">
        <v>11</v>
      </c>
      <c r="G906" s="5">
        <v>8964.06055</v>
      </c>
    </row>
    <row r="907">
      <c r="A907" s="1">
        <v>48.0</v>
      </c>
      <c r="B907" s="2" t="s">
        <v>7</v>
      </c>
      <c r="C907" s="3">
        <v>30.2</v>
      </c>
      <c r="D907" s="4">
        <v>2.0</v>
      </c>
      <c r="E907" s="2" t="s">
        <v>8</v>
      </c>
      <c r="F907" s="2" t="s">
        <v>13</v>
      </c>
      <c r="G907" s="5">
        <v>8968.33</v>
      </c>
    </row>
    <row r="908">
      <c r="A908" s="1">
        <v>48.0</v>
      </c>
      <c r="B908" s="2" t="s">
        <v>7</v>
      </c>
      <c r="C908" s="3">
        <v>34.3</v>
      </c>
      <c r="D908" s="4">
        <v>3.0</v>
      </c>
      <c r="E908" s="2" t="s">
        <v>8</v>
      </c>
      <c r="F908" s="2" t="s">
        <v>13</v>
      </c>
      <c r="G908" s="5">
        <v>9563.029</v>
      </c>
    </row>
    <row r="909">
      <c r="A909" s="1">
        <v>48.0</v>
      </c>
      <c r="B909" s="2" t="s">
        <v>7</v>
      </c>
      <c r="C909" s="3">
        <v>40.565</v>
      </c>
      <c r="D909" s="4">
        <v>2.0</v>
      </c>
      <c r="E909" s="2" t="s">
        <v>12</v>
      </c>
      <c r="F909" s="2" t="s">
        <v>14</v>
      </c>
      <c r="G909" s="5">
        <v>45702.02235</v>
      </c>
    </row>
    <row r="910">
      <c r="A910" s="1">
        <v>48.0</v>
      </c>
      <c r="B910" s="2" t="s">
        <v>7</v>
      </c>
      <c r="C910" s="3">
        <v>30.78</v>
      </c>
      <c r="D910" s="4">
        <v>3.0</v>
      </c>
      <c r="E910" s="2" t="s">
        <v>8</v>
      </c>
      <c r="F910" s="2" t="s">
        <v>11</v>
      </c>
      <c r="G910" s="5">
        <v>10141.1362</v>
      </c>
    </row>
    <row r="911">
      <c r="A911" s="1">
        <v>48.0</v>
      </c>
      <c r="B911" s="2" t="s">
        <v>10</v>
      </c>
      <c r="C911" s="3">
        <v>31.13</v>
      </c>
      <c r="D911" s="4">
        <v>0.0</v>
      </c>
      <c r="E911" s="2" t="s">
        <v>8</v>
      </c>
      <c r="F911" s="2" t="s">
        <v>9</v>
      </c>
      <c r="G911" s="5">
        <v>8280.6227</v>
      </c>
    </row>
    <row r="912">
      <c r="A912" s="1">
        <v>48.0</v>
      </c>
      <c r="B912" s="2" t="s">
        <v>10</v>
      </c>
      <c r="C912" s="3">
        <v>35.91</v>
      </c>
      <c r="D912" s="4">
        <v>1.0</v>
      </c>
      <c r="E912" s="2" t="s">
        <v>8</v>
      </c>
      <c r="F912" s="2" t="s">
        <v>11</v>
      </c>
      <c r="G912" s="5">
        <v>26392.26029</v>
      </c>
    </row>
    <row r="913">
      <c r="A913" s="1">
        <v>48.0</v>
      </c>
      <c r="B913" s="2" t="s">
        <v>10</v>
      </c>
      <c r="C913" s="3">
        <v>27.265</v>
      </c>
      <c r="D913" s="4">
        <v>1.0</v>
      </c>
      <c r="E913" s="2" t="s">
        <v>8</v>
      </c>
      <c r="F913" s="2" t="s">
        <v>11</v>
      </c>
      <c r="G913" s="5">
        <v>9447.25035</v>
      </c>
    </row>
    <row r="914">
      <c r="A914" s="1">
        <v>48.0</v>
      </c>
      <c r="B914" s="2" t="s">
        <v>10</v>
      </c>
      <c r="C914" s="3">
        <v>33.11</v>
      </c>
      <c r="D914" s="4">
        <v>0.0</v>
      </c>
      <c r="E914" s="2" t="s">
        <v>12</v>
      </c>
      <c r="F914" s="2" t="s">
        <v>9</v>
      </c>
      <c r="G914" s="5">
        <v>40974.1649</v>
      </c>
    </row>
    <row r="915">
      <c r="A915" s="1">
        <v>48.0</v>
      </c>
      <c r="B915" s="2" t="s">
        <v>7</v>
      </c>
      <c r="C915" s="3">
        <v>36.67</v>
      </c>
      <c r="D915" s="4">
        <v>1.0</v>
      </c>
      <c r="E915" s="2" t="s">
        <v>8</v>
      </c>
      <c r="F915" s="2" t="s">
        <v>14</v>
      </c>
      <c r="G915" s="5">
        <v>28468.91901</v>
      </c>
    </row>
    <row r="916">
      <c r="A916" s="1">
        <v>48.0</v>
      </c>
      <c r="B916" s="2" t="s">
        <v>7</v>
      </c>
      <c r="C916" s="3">
        <v>40.15</v>
      </c>
      <c r="D916" s="4">
        <v>0.0</v>
      </c>
      <c r="E916" s="2" t="s">
        <v>8</v>
      </c>
      <c r="F916" s="2" t="s">
        <v>9</v>
      </c>
      <c r="G916" s="5">
        <v>7804.1605</v>
      </c>
    </row>
    <row r="917">
      <c r="A917" s="1">
        <v>48.0</v>
      </c>
      <c r="B917" s="2" t="s">
        <v>7</v>
      </c>
      <c r="C917" s="3">
        <v>29.6</v>
      </c>
      <c r="D917" s="4">
        <v>0.0</v>
      </c>
      <c r="E917" s="2" t="s">
        <v>8</v>
      </c>
      <c r="F917" s="2" t="s">
        <v>13</v>
      </c>
      <c r="G917" s="5">
        <v>21232.18226</v>
      </c>
    </row>
    <row r="918">
      <c r="A918" s="1">
        <v>48.0</v>
      </c>
      <c r="B918" s="2" t="s">
        <v>10</v>
      </c>
      <c r="C918" s="3">
        <v>22.8</v>
      </c>
      <c r="D918" s="4">
        <v>0.0</v>
      </c>
      <c r="E918" s="2" t="s">
        <v>8</v>
      </c>
      <c r="F918" s="2" t="s">
        <v>13</v>
      </c>
      <c r="G918" s="5">
        <v>8269.044</v>
      </c>
    </row>
    <row r="919">
      <c r="A919" s="1">
        <v>48.0</v>
      </c>
      <c r="B919" s="2" t="s">
        <v>7</v>
      </c>
      <c r="C919" s="3">
        <v>32.3</v>
      </c>
      <c r="D919" s="4">
        <v>1.0</v>
      </c>
      <c r="E919" s="2" t="s">
        <v>8</v>
      </c>
      <c r="F919" s="2" t="s">
        <v>14</v>
      </c>
      <c r="G919" s="5">
        <v>8765.249</v>
      </c>
    </row>
    <row r="920">
      <c r="A920" s="1">
        <v>48.0</v>
      </c>
      <c r="B920" s="2" t="s">
        <v>10</v>
      </c>
      <c r="C920" s="3">
        <v>28.9</v>
      </c>
      <c r="D920" s="4">
        <v>0.0</v>
      </c>
      <c r="E920" s="2" t="s">
        <v>8</v>
      </c>
      <c r="F920" s="2" t="s">
        <v>13</v>
      </c>
      <c r="G920" s="5">
        <v>8277.523</v>
      </c>
    </row>
    <row r="921">
      <c r="A921" s="1">
        <v>48.0</v>
      </c>
      <c r="B921" s="2" t="s">
        <v>7</v>
      </c>
      <c r="C921" s="3">
        <v>37.29</v>
      </c>
      <c r="D921" s="4">
        <v>2.0</v>
      </c>
      <c r="E921" s="2" t="s">
        <v>8</v>
      </c>
      <c r="F921" s="2" t="s">
        <v>9</v>
      </c>
      <c r="G921" s="5">
        <v>8978.1851</v>
      </c>
    </row>
    <row r="922">
      <c r="A922" s="1">
        <v>48.0</v>
      </c>
      <c r="B922" s="2" t="s">
        <v>10</v>
      </c>
      <c r="C922" s="3">
        <v>25.85</v>
      </c>
      <c r="D922" s="4">
        <v>3.0</v>
      </c>
      <c r="E922" s="2" t="s">
        <v>12</v>
      </c>
      <c r="F922" s="2" t="s">
        <v>9</v>
      </c>
      <c r="G922" s="5">
        <v>24180.9335</v>
      </c>
    </row>
    <row r="923">
      <c r="A923" s="1">
        <v>48.0</v>
      </c>
      <c r="B923" s="2" t="s">
        <v>10</v>
      </c>
      <c r="C923" s="3">
        <v>27.93</v>
      </c>
      <c r="D923" s="4">
        <v>4.0</v>
      </c>
      <c r="E923" s="2" t="s">
        <v>8</v>
      </c>
      <c r="F923" s="2" t="s">
        <v>14</v>
      </c>
      <c r="G923" s="5">
        <v>11015.1747</v>
      </c>
    </row>
    <row r="924">
      <c r="A924" s="1">
        <v>48.0</v>
      </c>
      <c r="B924" s="2" t="s">
        <v>10</v>
      </c>
      <c r="C924" s="3">
        <v>27.36</v>
      </c>
      <c r="D924" s="4">
        <v>1.0</v>
      </c>
      <c r="E924" s="2" t="s">
        <v>8</v>
      </c>
      <c r="F924" s="2" t="s">
        <v>11</v>
      </c>
      <c r="G924" s="5">
        <v>9447.3824</v>
      </c>
    </row>
    <row r="925">
      <c r="A925" s="1">
        <v>48.0</v>
      </c>
      <c r="B925" s="2" t="s">
        <v>10</v>
      </c>
      <c r="C925" s="3">
        <v>36.575</v>
      </c>
      <c r="D925" s="4">
        <v>0.0</v>
      </c>
      <c r="E925" s="2" t="s">
        <v>8</v>
      </c>
      <c r="F925" s="2" t="s">
        <v>14</v>
      </c>
      <c r="G925" s="5">
        <v>8671.19125</v>
      </c>
    </row>
    <row r="926">
      <c r="A926" s="1">
        <v>48.0</v>
      </c>
      <c r="B926" s="2" t="s">
        <v>10</v>
      </c>
      <c r="C926" s="3">
        <v>33.33</v>
      </c>
      <c r="D926" s="4">
        <v>0.0</v>
      </c>
      <c r="E926" s="2" t="s">
        <v>8</v>
      </c>
      <c r="F926" s="2" t="s">
        <v>9</v>
      </c>
      <c r="G926" s="5">
        <v>8283.6807</v>
      </c>
    </row>
    <row r="927">
      <c r="A927" s="1">
        <v>49.0</v>
      </c>
      <c r="B927" s="2" t="s">
        <v>10</v>
      </c>
      <c r="C927" s="3">
        <v>27.17</v>
      </c>
      <c r="D927" s="4">
        <v>0.0</v>
      </c>
      <c r="E927" s="2" t="s">
        <v>8</v>
      </c>
      <c r="F927" s="2" t="s">
        <v>9</v>
      </c>
      <c r="G927" s="5">
        <v>8601.3293</v>
      </c>
    </row>
    <row r="928">
      <c r="A928" s="1">
        <v>49.0</v>
      </c>
      <c r="B928" s="2" t="s">
        <v>7</v>
      </c>
      <c r="C928" s="3">
        <v>30.3</v>
      </c>
      <c r="D928" s="4">
        <v>0.0</v>
      </c>
      <c r="E928" s="2" t="s">
        <v>8</v>
      </c>
      <c r="F928" s="2" t="s">
        <v>13</v>
      </c>
      <c r="G928" s="5">
        <v>8116.68</v>
      </c>
    </row>
    <row r="929">
      <c r="A929" s="1">
        <v>49.0</v>
      </c>
      <c r="B929" s="2" t="s">
        <v>7</v>
      </c>
      <c r="C929" s="3">
        <v>25.84</v>
      </c>
      <c r="D929" s="4">
        <v>1.0</v>
      </c>
      <c r="E929" s="2" t="s">
        <v>8</v>
      </c>
      <c r="F929" s="2" t="s">
        <v>11</v>
      </c>
      <c r="G929" s="5">
        <v>9282.4806</v>
      </c>
    </row>
    <row r="930">
      <c r="A930" s="1">
        <v>49.0</v>
      </c>
      <c r="B930" s="2" t="s">
        <v>7</v>
      </c>
      <c r="C930" s="3">
        <v>35.86</v>
      </c>
      <c r="D930" s="4">
        <v>0.0</v>
      </c>
      <c r="E930" s="2" t="s">
        <v>8</v>
      </c>
      <c r="F930" s="2" t="s">
        <v>9</v>
      </c>
      <c r="G930" s="5">
        <v>8124.4084</v>
      </c>
    </row>
    <row r="931">
      <c r="A931" s="1">
        <v>49.0</v>
      </c>
      <c r="B931" s="2" t="s">
        <v>10</v>
      </c>
      <c r="C931" s="3">
        <v>41.47</v>
      </c>
      <c r="D931" s="4">
        <v>4.0</v>
      </c>
      <c r="E931" s="2" t="s">
        <v>8</v>
      </c>
      <c r="F931" s="2" t="s">
        <v>9</v>
      </c>
      <c r="G931" s="5">
        <v>10977.2063</v>
      </c>
    </row>
    <row r="932">
      <c r="A932" s="1">
        <v>49.0</v>
      </c>
      <c r="B932" s="2" t="s">
        <v>10</v>
      </c>
      <c r="C932" s="3">
        <v>30.78</v>
      </c>
      <c r="D932" s="4">
        <v>1.0</v>
      </c>
      <c r="E932" s="2" t="s">
        <v>8</v>
      </c>
      <c r="F932" s="2" t="s">
        <v>11</v>
      </c>
      <c r="G932" s="5">
        <v>9778.3472</v>
      </c>
    </row>
    <row r="933">
      <c r="A933" s="1">
        <v>49.0</v>
      </c>
      <c r="B933" s="2" t="s">
        <v>7</v>
      </c>
      <c r="C933" s="3">
        <v>31.35</v>
      </c>
      <c r="D933" s="4">
        <v>1.0</v>
      </c>
      <c r="E933" s="2" t="s">
        <v>8</v>
      </c>
      <c r="F933" s="2" t="s">
        <v>11</v>
      </c>
      <c r="G933" s="5">
        <v>9290.1395</v>
      </c>
    </row>
    <row r="934">
      <c r="A934" s="1">
        <v>49.0</v>
      </c>
      <c r="B934" s="2" t="s">
        <v>7</v>
      </c>
      <c r="C934" s="3">
        <v>32.3</v>
      </c>
      <c r="D934" s="4">
        <v>3.0</v>
      </c>
      <c r="E934" s="2" t="s">
        <v>8</v>
      </c>
      <c r="F934" s="2" t="s">
        <v>14</v>
      </c>
      <c r="G934" s="5">
        <v>10269.46</v>
      </c>
    </row>
    <row r="935">
      <c r="A935" s="1">
        <v>49.0</v>
      </c>
      <c r="B935" s="2" t="s">
        <v>10</v>
      </c>
      <c r="C935" s="3">
        <v>36.63</v>
      </c>
      <c r="D935" s="4">
        <v>3.0</v>
      </c>
      <c r="E935" s="2" t="s">
        <v>8</v>
      </c>
      <c r="F935" s="2" t="s">
        <v>9</v>
      </c>
      <c r="G935" s="5">
        <v>10381.4787</v>
      </c>
    </row>
    <row r="936">
      <c r="A936" s="1">
        <v>49.0</v>
      </c>
      <c r="B936" s="2" t="s">
        <v>7</v>
      </c>
      <c r="C936" s="3">
        <v>37.51</v>
      </c>
      <c r="D936" s="4">
        <v>2.0</v>
      </c>
      <c r="E936" s="2" t="s">
        <v>8</v>
      </c>
      <c r="F936" s="2" t="s">
        <v>9</v>
      </c>
      <c r="G936" s="5">
        <v>9304.7019</v>
      </c>
    </row>
    <row r="937">
      <c r="A937" s="1">
        <v>49.0</v>
      </c>
      <c r="B937" s="2" t="s">
        <v>7</v>
      </c>
      <c r="C937" s="3">
        <v>25.84</v>
      </c>
      <c r="D937" s="4">
        <v>2.0</v>
      </c>
      <c r="E937" s="2" t="s">
        <v>12</v>
      </c>
      <c r="F937" s="2" t="s">
        <v>14</v>
      </c>
      <c r="G937" s="5">
        <v>23807.2406</v>
      </c>
    </row>
    <row r="938">
      <c r="A938" s="1">
        <v>49.0</v>
      </c>
      <c r="B938" s="2" t="s">
        <v>10</v>
      </c>
      <c r="C938" s="3">
        <v>31.9</v>
      </c>
      <c r="D938" s="4">
        <v>5.0</v>
      </c>
      <c r="E938" s="2" t="s">
        <v>8</v>
      </c>
      <c r="F938" s="2" t="s">
        <v>13</v>
      </c>
      <c r="G938" s="5">
        <v>11552.904</v>
      </c>
    </row>
    <row r="939">
      <c r="A939" s="1">
        <v>49.0</v>
      </c>
      <c r="B939" s="2" t="s">
        <v>7</v>
      </c>
      <c r="C939" s="3">
        <v>25.6</v>
      </c>
      <c r="D939" s="4">
        <v>2.0</v>
      </c>
      <c r="E939" s="2" t="s">
        <v>12</v>
      </c>
      <c r="F939" s="2" t="s">
        <v>13</v>
      </c>
      <c r="G939" s="5">
        <v>23306.547</v>
      </c>
    </row>
    <row r="940">
      <c r="A940" s="1">
        <v>49.0</v>
      </c>
      <c r="B940" s="2" t="s">
        <v>10</v>
      </c>
      <c r="C940" s="3">
        <v>21.3</v>
      </c>
      <c r="D940" s="4">
        <v>1.0</v>
      </c>
      <c r="E940" s="2" t="s">
        <v>8</v>
      </c>
      <c r="F940" s="2" t="s">
        <v>13</v>
      </c>
      <c r="G940" s="5">
        <v>9182.17</v>
      </c>
    </row>
    <row r="941">
      <c r="A941" s="1">
        <v>49.0</v>
      </c>
      <c r="B941" s="2" t="s">
        <v>10</v>
      </c>
      <c r="C941" s="3">
        <v>42.68</v>
      </c>
      <c r="D941" s="4">
        <v>2.0</v>
      </c>
      <c r="E941" s="2" t="s">
        <v>8</v>
      </c>
      <c r="F941" s="2" t="s">
        <v>9</v>
      </c>
      <c r="G941" s="5">
        <v>9800.8882</v>
      </c>
    </row>
    <row r="942">
      <c r="A942" s="1">
        <v>49.0</v>
      </c>
      <c r="B942" s="2" t="s">
        <v>7</v>
      </c>
      <c r="C942" s="3">
        <v>28.7</v>
      </c>
      <c r="D942" s="4">
        <v>1.0</v>
      </c>
      <c r="E942" s="2" t="s">
        <v>8</v>
      </c>
      <c r="F942" s="2" t="s">
        <v>13</v>
      </c>
      <c r="G942" s="5">
        <v>8703.456</v>
      </c>
    </row>
    <row r="943">
      <c r="A943" s="1">
        <v>49.0</v>
      </c>
      <c r="B943" s="2" t="s">
        <v>10</v>
      </c>
      <c r="C943" s="3">
        <v>23.18</v>
      </c>
      <c r="D943" s="4">
        <v>2.0</v>
      </c>
      <c r="E943" s="2" t="s">
        <v>8</v>
      </c>
      <c r="F943" s="2" t="s">
        <v>14</v>
      </c>
      <c r="G943" s="5">
        <v>10156.7832</v>
      </c>
    </row>
    <row r="944">
      <c r="A944" s="1">
        <v>49.0</v>
      </c>
      <c r="B944" s="2" t="s">
        <v>7</v>
      </c>
      <c r="C944" s="3">
        <v>28.69</v>
      </c>
      <c r="D944" s="4">
        <v>3.0</v>
      </c>
      <c r="E944" s="2" t="s">
        <v>8</v>
      </c>
      <c r="F944" s="2" t="s">
        <v>14</v>
      </c>
      <c r="G944" s="5">
        <v>10264.4421</v>
      </c>
    </row>
    <row r="945">
      <c r="A945" s="1">
        <v>49.0</v>
      </c>
      <c r="B945" s="2" t="s">
        <v>10</v>
      </c>
      <c r="C945" s="3">
        <v>22.61</v>
      </c>
      <c r="D945" s="4">
        <v>1.0</v>
      </c>
      <c r="E945" s="2" t="s">
        <v>8</v>
      </c>
      <c r="F945" s="2" t="s">
        <v>14</v>
      </c>
      <c r="G945" s="5">
        <v>9566.9909</v>
      </c>
    </row>
    <row r="946">
      <c r="A946" s="1">
        <v>49.0</v>
      </c>
      <c r="B946" s="2" t="s">
        <v>10</v>
      </c>
      <c r="C946" s="3">
        <v>34.77</v>
      </c>
      <c r="D946" s="4">
        <v>1.0</v>
      </c>
      <c r="E946" s="2" t="s">
        <v>8</v>
      </c>
      <c r="F946" s="2" t="s">
        <v>14</v>
      </c>
      <c r="G946" s="5">
        <v>9583.8933</v>
      </c>
    </row>
    <row r="947">
      <c r="A947" s="1">
        <v>49.0</v>
      </c>
      <c r="B947" s="2" t="s">
        <v>10</v>
      </c>
      <c r="C947" s="3">
        <v>23.845</v>
      </c>
      <c r="D947" s="4">
        <v>3.0</v>
      </c>
      <c r="E947" s="2" t="s">
        <v>12</v>
      </c>
      <c r="F947" s="2" t="s">
        <v>11</v>
      </c>
      <c r="G947" s="5">
        <v>24106.91255</v>
      </c>
    </row>
    <row r="948">
      <c r="A948" s="1">
        <v>49.0</v>
      </c>
      <c r="B948" s="2" t="s">
        <v>10</v>
      </c>
      <c r="C948" s="3">
        <v>27.1</v>
      </c>
      <c r="D948" s="4">
        <v>1.0</v>
      </c>
      <c r="E948" s="2" t="s">
        <v>8</v>
      </c>
      <c r="F948" s="2" t="s">
        <v>13</v>
      </c>
      <c r="G948" s="5">
        <v>26140.3603</v>
      </c>
    </row>
    <row r="949">
      <c r="A949" s="1">
        <v>49.0</v>
      </c>
      <c r="B949" s="2" t="s">
        <v>7</v>
      </c>
      <c r="C949" s="3">
        <v>22.515</v>
      </c>
      <c r="D949" s="4">
        <v>0.0</v>
      </c>
      <c r="E949" s="2" t="s">
        <v>8</v>
      </c>
      <c r="F949" s="2" t="s">
        <v>11</v>
      </c>
      <c r="G949" s="5">
        <v>8688.85885</v>
      </c>
    </row>
    <row r="950">
      <c r="A950" s="1">
        <v>49.0</v>
      </c>
      <c r="B950" s="2" t="s">
        <v>7</v>
      </c>
      <c r="C950" s="3">
        <v>36.85</v>
      </c>
      <c r="D950" s="4">
        <v>0.0</v>
      </c>
      <c r="E950" s="2" t="s">
        <v>8</v>
      </c>
      <c r="F950" s="2" t="s">
        <v>9</v>
      </c>
      <c r="G950" s="5">
        <v>8125.7845</v>
      </c>
    </row>
    <row r="951">
      <c r="A951" s="1">
        <v>49.0</v>
      </c>
      <c r="B951" s="2" t="s">
        <v>7</v>
      </c>
      <c r="C951" s="3">
        <v>30.9</v>
      </c>
      <c r="D951" s="4">
        <v>0.0</v>
      </c>
      <c r="E951" s="2" t="s">
        <v>12</v>
      </c>
      <c r="F951" s="2" t="s">
        <v>13</v>
      </c>
      <c r="G951" s="5">
        <v>39727.614</v>
      </c>
    </row>
    <row r="952">
      <c r="A952" s="1">
        <v>49.0</v>
      </c>
      <c r="B952" s="2" t="s">
        <v>7</v>
      </c>
      <c r="C952" s="3">
        <v>29.83</v>
      </c>
      <c r="D952" s="4">
        <v>1.0</v>
      </c>
      <c r="E952" s="2" t="s">
        <v>8</v>
      </c>
      <c r="F952" s="2" t="s">
        <v>11</v>
      </c>
      <c r="G952" s="5">
        <v>9288.0267</v>
      </c>
    </row>
    <row r="953">
      <c r="A953" s="1">
        <v>49.0</v>
      </c>
      <c r="B953" s="2" t="s">
        <v>10</v>
      </c>
      <c r="C953" s="3">
        <v>29.925</v>
      </c>
      <c r="D953" s="4">
        <v>0.0</v>
      </c>
      <c r="E953" s="2" t="s">
        <v>8</v>
      </c>
      <c r="F953" s="2" t="s">
        <v>14</v>
      </c>
      <c r="G953" s="5">
        <v>8988.15875</v>
      </c>
    </row>
    <row r="954">
      <c r="A954" s="1">
        <v>49.0</v>
      </c>
      <c r="B954" s="2" t="s">
        <v>10</v>
      </c>
      <c r="C954" s="3">
        <v>33.345</v>
      </c>
      <c r="D954" s="4">
        <v>2.0</v>
      </c>
      <c r="E954" s="2" t="s">
        <v>8</v>
      </c>
      <c r="F954" s="2" t="s">
        <v>11</v>
      </c>
      <c r="G954" s="5">
        <v>10370.91255</v>
      </c>
    </row>
    <row r="955">
      <c r="A955" s="1">
        <v>50.0</v>
      </c>
      <c r="B955" s="2" t="s">
        <v>10</v>
      </c>
      <c r="C955" s="3">
        <v>27.83</v>
      </c>
      <c r="D955" s="4">
        <v>3.0</v>
      </c>
      <c r="E955" s="2" t="s">
        <v>8</v>
      </c>
      <c r="F955" s="2" t="s">
        <v>9</v>
      </c>
      <c r="G955" s="5">
        <v>19749.38338</v>
      </c>
    </row>
    <row r="956">
      <c r="A956" s="1">
        <v>50.0</v>
      </c>
      <c r="B956" s="2" t="s">
        <v>7</v>
      </c>
      <c r="C956" s="3">
        <v>31.825</v>
      </c>
      <c r="D956" s="4">
        <v>0.0</v>
      </c>
      <c r="E956" s="2" t="s">
        <v>12</v>
      </c>
      <c r="F956" s="2" t="s">
        <v>11</v>
      </c>
      <c r="G956" s="5">
        <v>41097.16175</v>
      </c>
    </row>
    <row r="957">
      <c r="A957" s="1">
        <v>50.0</v>
      </c>
      <c r="B957" s="2" t="s">
        <v>7</v>
      </c>
      <c r="C957" s="3">
        <v>34.2</v>
      </c>
      <c r="D957" s="4">
        <v>2.0</v>
      </c>
      <c r="E957" s="2" t="s">
        <v>12</v>
      </c>
      <c r="F957" s="2" t="s">
        <v>13</v>
      </c>
      <c r="G957" s="5">
        <v>42856.838</v>
      </c>
    </row>
    <row r="958">
      <c r="A958" s="1">
        <v>50.0</v>
      </c>
      <c r="B958" s="2" t="s">
        <v>7</v>
      </c>
      <c r="C958" s="3">
        <v>27.455</v>
      </c>
      <c r="D958" s="4">
        <v>1.0</v>
      </c>
      <c r="E958" s="2" t="s">
        <v>8</v>
      </c>
      <c r="F958" s="2" t="s">
        <v>11</v>
      </c>
      <c r="G958" s="5">
        <v>9617.66245</v>
      </c>
    </row>
    <row r="959">
      <c r="A959" s="1">
        <v>50.0</v>
      </c>
      <c r="B959" s="2" t="s">
        <v>7</v>
      </c>
      <c r="C959" s="3">
        <v>26.6</v>
      </c>
      <c r="D959" s="4">
        <v>0.0</v>
      </c>
      <c r="E959" s="2" t="s">
        <v>8</v>
      </c>
      <c r="F959" s="2" t="s">
        <v>13</v>
      </c>
      <c r="G959" s="5">
        <v>8444.474</v>
      </c>
    </row>
    <row r="960">
      <c r="A960" s="1">
        <v>50.0</v>
      </c>
      <c r="B960" s="2" t="s">
        <v>7</v>
      </c>
      <c r="C960" s="3">
        <v>32.205</v>
      </c>
      <c r="D960" s="4">
        <v>0.0</v>
      </c>
      <c r="E960" s="2" t="s">
        <v>8</v>
      </c>
      <c r="F960" s="2" t="s">
        <v>14</v>
      </c>
      <c r="G960" s="5">
        <v>8835.26495</v>
      </c>
    </row>
    <row r="961">
      <c r="A961" s="1">
        <v>50.0</v>
      </c>
      <c r="B961" s="2" t="s">
        <v>7</v>
      </c>
      <c r="C961" s="3">
        <v>32.3</v>
      </c>
      <c r="D961" s="4">
        <v>1.0</v>
      </c>
      <c r="E961" s="2" t="s">
        <v>12</v>
      </c>
      <c r="F961" s="2" t="s">
        <v>11</v>
      </c>
      <c r="G961" s="5">
        <v>41919.097</v>
      </c>
    </row>
    <row r="962">
      <c r="A962" s="1">
        <v>50.0</v>
      </c>
      <c r="B962" s="2" t="s">
        <v>10</v>
      </c>
      <c r="C962" s="3">
        <v>25.6</v>
      </c>
      <c r="D962" s="4">
        <v>0.0</v>
      </c>
      <c r="E962" s="2" t="s">
        <v>8</v>
      </c>
      <c r="F962" s="2" t="s">
        <v>13</v>
      </c>
      <c r="G962" s="5">
        <v>8932.084</v>
      </c>
    </row>
    <row r="963">
      <c r="A963" s="1">
        <v>50.0</v>
      </c>
      <c r="B963" s="2" t="s">
        <v>7</v>
      </c>
      <c r="C963" s="3">
        <v>25.365</v>
      </c>
      <c r="D963" s="4">
        <v>2.0</v>
      </c>
      <c r="E963" s="2" t="s">
        <v>8</v>
      </c>
      <c r="F963" s="2" t="s">
        <v>14</v>
      </c>
      <c r="G963" s="5">
        <v>30284.64294</v>
      </c>
    </row>
    <row r="964">
      <c r="A964" s="1">
        <v>50.0</v>
      </c>
      <c r="B964" s="2" t="s">
        <v>10</v>
      </c>
      <c r="C964" s="3">
        <v>27.36</v>
      </c>
      <c r="D964" s="4">
        <v>0.0</v>
      </c>
      <c r="E964" s="2" t="s">
        <v>8</v>
      </c>
      <c r="F964" s="2" t="s">
        <v>11</v>
      </c>
      <c r="G964" s="5">
        <v>25656.57526</v>
      </c>
    </row>
    <row r="965">
      <c r="A965" s="1">
        <v>50.0</v>
      </c>
      <c r="B965" s="2" t="s">
        <v>7</v>
      </c>
      <c r="C965" s="3">
        <v>44.77</v>
      </c>
      <c r="D965" s="4">
        <v>1.0</v>
      </c>
      <c r="E965" s="2" t="s">
        <v>8</v>
      </c>
      <c r="F965" s="2" t="s">
        <v>9</v>
      </c>
      <c r="G965" s="5">
        <v>9058.7303</v>
      </c>
    </row>
    <row r="966">
      <c r="A966" s="1">
        <v>50.0</v>
      </c>
      <c r="B966" s="2" t="s">
        <v>10</v>
      </c>
      <c r="C966" s="3">
        <v>44.745</v>
      </c>
      <c r="D966" s="4">
        <v>0.0</v>
      </c>
      <c r="E966" s="2" t="s">
        <v>8</v>
      </c>
      <c r="F966" s="2" t="s">
        <v>11</v>
      </c>
      <c r="G966" s="5">
        <v>9541.69555</v>
      </c>
    </row>
    <row r="967">
      <c r="A967" s="1">
        <v>50.0</v>
      </c>
      <c r="B967" s="2" t="s">
        <v>10</v>
      </c>
      <c r="C967" s="3">
        <v>23.54</v>
      </c>
      <c r="D967" s="4">
        <v>2.0</v>
      </c>
      <c r="E967" s="2" t="s">
        <v>8</v>
      </c>
      <c r="F967" s="2" t="s">
        <v>9</v>
      </c>
      <c r="G967" s="5">
        <v>10107.2206</v>
      </c>
    </row>
    <row r="968">
      <c r="A968" s="1">
        <v>50.0</v>
      </c>
      <c r="B968" s="2" t="s">
        <v>10</v>
      </c>
      <c r="C968" s="3">
        <v>27.075</v>
      </c>
      <c r="D968" s="4">
        <v>1.0</v>
      </c>
      <c r="E968" s="2" t="s">
        <v>8</v>
      </c>
      <c r="F968" s="2" t="s">
        <v>11</v>
      </c>
      <c r="G968" s="5">
        <v>10106.13425</v>
      </c>
    </row>
    <row r="969">
      <c r="A969" s="1">
        <v>50.0</v>
      </c>
      <c r="B969" s="2" t="s">
        <v>7</v>
      </c>
      <c r="C969" s="3">
        <v>26.41</v>
      </c>
      <c r="D969" s="4">
        <v>0.0</v>
      </c>
      <c r="E969" s="2" t="s">
        <v>8</v>
      </c>
      <c r="F969" s="2" t="s">
        <v>14</v>
      </c>
      <c r="G969" s="5">
        <v>8827.2099</v>
      </c>
    </row>
    <row r="970">
      <c r="A970" s="1">
        <v>50.0</v>
      </c>
      <c r="B970" s="2" t="s">
        <v>10</v>
      </c>
      <c r="C970" s="3">
        <v>30.115</v>
      </c>
      <c r="D970" s="4">
        <v>1.0</v>
      </c>
      <c r="E970" s="2" t="s">
        <v>8</v>
      </c>
      <c r="F970" s="2" t="s">
        <v>14</v>
      </c>
      <c r="G970" s="5">
        <v>9910.35985</v>
      </c>
    </row>
    <row r="971">
      <c r="A971" s="1">
        <v>50.0</v>
      </c>
      <c r="B971" s="2" t="s">
        <v>10</v>
      </c>
      <c r="C971" s="3">
        <v>27.6</v>
      </c>
      <c r="D971" s="4">
        <v>1.0</v>
      </c>
      <c r="E971" s="2" t="s">
        <v>12</v>
      </c>
      <c r="F971" s="2" t="s">
        <v>13</v>
      </c>
      <c r="G971" s="5">
        <v>24520.264</v>
      </c>
    </row>
    <row r="972">
      <c r="A972" s="1">
        <v>50.0</v>
      </c>
      <c r="B972" s="2" t="s">
        <v>7</v>
      </c>
      <c r="C972" s="3">
        <v>36.2</v>
      </c>
      <c r="D972" s="4">
        <v>0.0</v>
      </c>
      <c r="E972" s="2" t="s">
        <v>8</v>
      </c>
      <c r="F972" s="2" t="s">
        <v>13</v>
      </c>
      <c r="G972" s="5">
        <v>8457.818</v>
      </c>
    </row>
    <row r="973">
      <c r="A973" s="1">
        <v>50.0</v>
      </c>
      <c r="B973" s="2" t="s">
        <v>7</v>
      </c>
      <c r="C973" s="3">
        <v>32.11</v>
      </c>
      <c r="D973" s="4">
        <v>2.0</v>
      </c>
      <c r="E973" s="2" t="s">
        <v>8</v>
      </c>
      <c r="F973" s="2" t="s">
        <v>11</v>
      </c>
      <c r="G973" s="5">
        <v>25333.33284</v>
      </c>
    </row>
    <row r="974">
      <c r="A974" s="1">
        <v>50.0</v>
      </c>
      <c r="B974" s="2" t="s">
        <v>10</v>
      </c>
      <c r="C974" s="3">
        <v>46.09</v>
      </c>
      <c r="D974" s="4">
        <v>1.0</v>
      </c>
      <c r="E974" s="2" t="s">
        <v>8</v>
      </c>
      <c r="F974" s="2" t="s">
        <v>9</v>
      </c>
      <c r="G974" s="5">
        <v>9549.5651</v>
      </c>
    </row>
    <row r="975">
      <c r="A975" s="1">
        <v>50.0</v>
      </c>
      <c r="B975" s="2" t="s">
        <v>10</v>
      </c>
      <c r="C975" s="3">
        <v>28.16</v>
      </c>
      <c r="D975" s="4">
        <v>3.0</v>
      </c>
      <c r="E975" s="2" t="s">
        <v>8</v>
      </c>
      <c r="F975" s="2" t="s">
        <v>9</v>
      </c>
      <c r="G975" s="5">
        <v>10702.6424</v>
      </c>
    </row>
    <row r="976">
      <c r="A976" s="1">
        <v>50.0</v>
      </c>
      <c r="B976" s="2" t="s">
        <v>10</v>
      </c>
      <c r="C976" s="3">
        <v>31.6</v>
      </c>
      <c r="D976" s="4">
        <v>2.0</v>
      </c>
      <c r="E976" s="2" t="s">
        <v>8</v>
      </c>
      <c r="F976" s="2" t="s">
        <v>13</v>
      </c>
      <c r="G976" s="5">
        <v>10118.424</v>
      </c>
    </row>
    <row r="977">
      <c r="A977" s="1">
        <v>50.0</v>
      </c>
      <c r="B977" s="2" t="s">
        <v>10</v>
      </c>
      <c r="C977" s="3">
        <v>33.7</v>
      </c>
      <c r="D977" s="4">
        <v>4.0</v>
      </c>
      <c r="E977" s="2" t="s">
        <v>8</v>
      </c>
      <c r="F977" s="2" t="s">
        <v>13</v>
      </c>
      <c r="G977" s="5">
        <v>11299.343</v>
      </c>
    </row>
    <row r="978">
      <c r="A978" s="1">
        <v>50.0</v>
      </c>
      <c r="B978" s="2" t="s">
        <v>10</v>
      </c>
      <c r="C978" s="3">
        <v>26.22</v>
      </c>
      <c r="D978" s="4">
        <v>2.0</v>
      </c>
      <c r="E978" s="2" t="s">
        <v>8</v>
      </c>
      <c r="F978" s="2" t="s">
        <v>14</v>
      </c>
      <c r="G978" s="5">
        <v>10493.9458</v>
      </c>
    </row>
    <row r="979">
      <c r="A979" s="1">
        <v>50.0</v>
      </c>
      <c r="B979" s="2" t="s">
        <v>10</v>
      </c>
      <c r="C979" s="3">
        <v>28.12</v>
      </c>
      <c r="D979" s="4">
        <v>3.0</v>
      </c>
      <c r="E979" s="2" t="s">
        <v>8</v>
      </c>
      <c r="F979" s="2" t="s">
        <v>14</v>
      </c>
      <c r="G979" s="5">
        <v>11085.5868</v>
      </c>
    </row>
    <row r="980">
      <c r="A980" s="1">
        <v>50.0</v>
      </c>
      <c r="B980" s="2" t="s">
        <v>7</v>
      </c>
      <c r="C980" s="3">
        <v>37.07</v>
      </c>
      <c r="D980" s="4">
        <v>1.0</v>
      </c>
      <c r="E980" s="2" t="s">
        <v>8</v>
      </c>
      <c r="F980" s="2" t="s">
        <v>9</v>
      </c>
      <c r="G980" s="5">
        <v>9048.0273</v>
      </c>
    </row>
    <row r="981">
      <c r="A981" s="1">
        <v>50.0</v>
      </c>
      <c r="B981" s="2" t="s">
        <v>7</v>
      </c>
      <c r="C981" s="3">
        <v>32.3</v>
      </c>
      <c r="D981" s="4">
        <v>2.0</v>
      </c>
      <c r="E981" s="2" t="s">
        <v>8</v>
      </c>
      <c r="F981" s="2" t="s">
        <v>13</v>
      </c>
      <c r="G981" s="5">
        <v>9630.397</v>
      </c>
    </row>
    <row r="982">
      <c r="A982" s="1">
        <v>50.0</v>
      </c>
      <c r="B982" s="2" t="s">
        <v>7</v>
      </c>
      <c r="C982" s="3">
        <v>25.3</v>
      </c>
      <c r="D982" s="4">
        <v>0.0</v>
      </c>
      <c r="E982" s="2" t="s">
        <v>8</v>
      </c>
      <c r="F982" s="2" t="s">
        <v>9</v>
      </c>
      <c r="G982" s="5">
        <v>8442.667</v>
      </c>
    </row>
    <row r="983">
      <c r="A983" s="1">
        <v>50.0</v>
      </c>
      <c r="B983" s="2" t="s">
        <v>7</v>
      </c>
      <c r="C983" s="3">
        <v>30.97</v>
      </c>
      <c r="D983" s="4">
        <v>3.0</v>
      </c>
      <c r="E983" s="2" t="s">
        <v>8</v>
      </c>
      <c r="F983" s="2" t="s">
        <v>14</v>
      </c>
      <c r="G983" s="5">
        <v>10600.5483</v>
      </c>
    </row>
    <row r="984">
      <c r="A984" s="1">
        <v>51.0</v>
      </c>
      <c r="B984" s="2" t="s">
        <v>10</v>
      </c>
      <c r="C984" s="3">
        <v>37.73</v>
      </c>
      <c r="D984" s="4">
        <v>1.0</v>
      </c>
      <c r="E984" s="2" t="s">
        <v>8</v>
      </c>
      <c r="F984" s="2" t="s">
        <v>9</v>
      </c>
      <c r="G984" s="5">
        <v>9877.6077</v>
      </c>
    </row>
    <row r="985">
      <c r="A985" s="1">
        <v>51.0</v>
      </c>
      <c r="B985" s="2" t="s">
        <v>10</v>
      </c>
      <c r="C985" s="3">
        <v>18.05</v>
      </c>
      <c r="D985" s="4">
        <v>0.0</v>
      </c>
      <c r="E985" s="2" t="s">
        <v>8</v>
      </c>
      <c r="F985" s="2" t="s">
        <v>14</v>
      </c>
      <c r="G985" s="5">
        <v>9644.2525</v>
      </c>
    </row>
    <row r="986">
      <c r="A986" s="1">
        <v>51.0</v>
      </c>
      <c r="B986" s="2" t="s">
        <v>7</v>
      </c>
      <c r="C986" s="3">
        <v>24.415</v>
      </c>
      <c r="D986" s="4">
        <v>4.0</v>
      </c>
      <c r="E986" s="2" t="s">
        <v>8</v>
      </c>
      <c r="F986" s="2" t="s">
        <v>14</v>
      </c>
      <c r="G986" s="5">
        <v>11520.09985</v>
      </c>
    </row>
    <row r="987">
      <c r="A987" s="1">
        <v>51.0</v>
      </c>
      <c r="B987" s="2" t="s">
        <v>10</v>
      </c>
      <c r="C987" s="3">
        <v>21.56</v>
      </c>
      <c r="D987" s="4">
        <v>1.0</v>
      </c>
      <c r="E987" s="2" t="s">
        <v>8</v>
      </c>
      <c r="F987" s="2" t="s">
        <v>9</v>
      </c>
      <c r="G987" s="5">
        <v>9855.1314</v>
      </c>
    </row>
    <row r="988">
      <c r="A988" s="1">
        <v>51.0</v>
      </c>
      <c r="B988" s="2" t="s">
        <v>10</v>
      </c>
      <c r="C988" s="3">
        <v>20.6</v>
      </c>
      <c r="D988" s="4">
        <v>0.0</v>
      </c>
      <c r="E988" s="2" t="s">
        <v>8</v>
      </c>
      <c r="F988" s="2" t="s">
        <v>13</v>
      </c>
      <c r="G988" s="5">
        <v>9264.797</v>
      </c>
    </row>
    <row r="989">
      <c r="A989" s="1">
        <v>51.0</v>
      </c>
      <c r="B989" s="2" t="s">
        <v>10</v>
      </c>
      <c r="C989" s="3">
        <v>39.5</v>
      </c>
      <c r="D989" s="4">
        <v>1.0</v>
      </c>
      <c r="E989" s="2" t="s">
        <v>8</v>
      </c>
      <c r="F989" s="2" t="s">
        <v>13</v>
      </c>
      <c r="G989" s="5">
        <v>9880.068</v>
      </c>
    </row>
    <row r="990">
      <c r="A990" s="1">
        <v>51.0</v>
      </c>
      <c r="B990" s="2" t="s">
        <v>7</v>
      </c>
      <c r="C990" s="3">
        <v>23.21</v>
      </c>
      <c r="D990" s="4">
        <v>1.0</v>
      </c>
      <c r="E990" s="2" t="s">
        <v>12</v>
      </c>
      <c r="F990" s="2" t="s">
        <v>9</v>
      </c>
      <c r="G990" s="5">
        <v>22218.1149</v>
      </c>
    </row>
    <row r="991">
      <c r="A991" s="1">
        <v>51.0</v>
      </c>
      <c r="B991" s="2" t="s">
        <v>7</v>
      </c>
      <c r="C991" s="3">
        <v>22.42</v>
      </c>
      <c r="D991" s="4">
        <v>0.0</v>
      </c>
      <c r="E991" s="2" t="s">
        <v>8</v>
      </c>
      <c r="F991" s="2" t="s">
        <v>11</v>
      </c>
      <c r="G991" s="5">
        <v>9361.3268</v>
      </c>
    </row>
    <row r="992">
      <c r="A992" s="1">
        <v>51.0</v>
      </c>
      <c r="B992" s="2" t="s">
        <v>10</v>
      </c>
      <c r="C992" s="3">
        <v>33.915</v>
      </c>
      <c r="D992" s="4">
        <v>0.0</v>
      </c>
      <c r="E992" s="2" t="s">
        <v>8</v>
      </c>
      <c r="F992" s="2" t="s">
        <v>11</v>
      </c>
      <c r="G992" s="5">
        <v>9866.30485</v>
      </c>
    </row>
    <row r="993">
      <c r="A993" s="1">
        <v>51.0</v>
      </c>
      <c r="B993" s="2" t="s">
        <v>10</v>
      </c>
      <c r="C993" s="3">
        <v>25.8</v>
      </c>
      <c r="D993" s="4">
        <v>1.0</v>
      </c>
      <c r="E993" s="2" t="s">
        <v>8</v>
      </c>
      <c r="F993" s="2" t="s">
        <v>13</v>
      </c>
      <c r="G993" s="5">
        <v>9861.025</v>
      </c>
    </row>
    <row r="994">
      <c r="A994" s="1">
        <v>51.0</v>
      </c>
      <c r="B994" s="2" t="s">
        <v>7</v>
      </c>
      <c r="C994" s="3">
        <v>31.635</v>
      </c>
      <c r="D994" s="4">
        <v>0.0</v>
      </c>
      <c r="E994" s="2" t="s">
        <v>8</v>
      </c>
      <c r="F994" s="2" t="s">
        <v>14</v>
      </c>
      <c r="G994" s="5">
        <v>9174.13565</v>
      </c>
    </row>
    <row r="995">
      <c r="A995" s="1">
        <v>51.0</v>
      </c>
      <c r="B995" s="2" t="s">
        <v>10</v>
      </c>
      <c r="C995" s="3">
        <v>34.1</v>
      </c>
      <c r="D995" s="4">
        <v>0.0</v>
      </c>
      <c r="E995" s="2" t="s">
        <v>8</v>
      </c>
      <c r="F995" s="2" t="s">
        <v>9</v>
      </c>
      <c r="G995" s="5">
        <v>9283.562</v>
      </c>
    </row>
    <row r="996">
      <c r="A996" s="1">
        <v>51.0</v>
      </c>
      <c r="B996" s="2" t="s">
        <v>7</v>
      </c>
      <c r="C996" s="3">
        <v>39.7</v>
      </c>
      <c r="D996" s="4">
        <v>1.0</v>
      </c>
      <c r="E996" s="2" t="s">
        <v>8</v>
      </c>
      <c r="F996" s="2" t="s">
        <v>13</v>
      </c>
      <c r="G996" s="5">
        <v>9391.346</v>
      </c>
    </row>
    <row r="997">
      <c r="A997" s="1">
        <v>51.0</v>
      </c>
      <c r="B997" s="2" t="s">
        <v>10</v>
      </c>
      <c r="C997" s="3">
        <v>38.06</v>
      </c>
      <c r="D997" s="4">
        <v>0.0</v>
      </c>
      <c r="E997" s="2" t="s">
        <v>12</v>
      </c>
      <c r="F997" s="2" t="s">
        <v>9</v>
      </c>
      <c r="G997" s="5">
        <v>44400.4064</v>
      </c>
    </row>
    <row r="998">
      <c r="A998" s="1">
        <v>51.0</v>
      </c>
      <c r="B998" s="2" t="s">
        <v>10</v>
      </c>
      <c r="C998" s="3">
        <v>36.67</v>
      </c>
      <c r="D998" s="4">
        <v>2.0</v>
      </c>
      <c r="E998" s="2" t="s">
        <v>8</v>
      </c>
      <c r="F998" s="2" t="s">
        <v>14</v>
      </c>
      <c r="G998" s="5">
        <v>10848.1343</v>
      </c>
    </row>
    <row r="999">
      <c r="A999" s="1">
        <v>51.0</v>
      </c>
      <c r="B999" s="2" t="s">
        <v>10</v>
      </c>
      <c r="C999" s="3">
        <v>40.66</v>
      </c>
      <c r="D999" s="4">
        <v>0.0</v>
      </c>
      <c r="E999" s="2" t="s">
        <v>8</v>
      </c>
      <c r="F999" s="2" t="s">
        <v>11</v>
      </c>
      <c r="G999" s="5">
        <v>9875.6804</v>
      </c>
    </row>
    <row r="1000">
      <c r="A1000" s="1">
        <v>51.0</v>
      </c>
      <c r="B1000" s="2" t="s">
        <v>7</v>
      </c>
      <c r="C1000" s="3">
        <v>33.33</v>
      </c>
      <c r="D1000" s="4">
        <v>3.0</v>
      </c>
      <c r="E1000" s="2" t="s">
        <v>8</v>
      </c>
      <c r="F1000" s="2" t="s">
        <v>9</v>
      </c>
      <c r="G1000" s="5">
        <v>10560.4917</v>
      </c>
    </row>
    <row r="1001">
      <c r="A1001" s="1">
        <v>51.0</v>
      </c>
      <c r="B1001" s="2" t="s">
        <v>7</v>
      </c>
      <c r="C1001" s="3">
        <v>35.97</v>
      </c>
      <c r="D1001" s="4">
        <v>1.0</v>
      </c>
      <c r="E1001" s="2" t="s">
        <v>8</v>
      </c>
      <c r="F1001" s="2" t="s">
        <v>9</v>
      </c>
      <c r="G1001" s="5">
        <v>9386.1613</v>
      </c>
    </row>
    <row r="1002">
      <c r="A1002" s="1">
        <v>51.0</v>
      </c>
      <c r="B1002" s="2" t="s">
        <v>10</v>
      </c>
      <c r="C1002" s="3">
        <v>34.2</v>
      </c>
      <c r="D1002" s="4">
        <v>1.0</v>
      </c>
      <c r="E1002" s="2" t="s">
        <v>8</v>
      </c>
      <c r="F1002" s="2" t="s">
        <v>13</v>
      </c>
      <c r="G1002" s="5">
        <v>9872.701</v>
      </c>
    </row>
    <row r="1003">
      <c r="A1003" s="1">
        <v>51.0</v>
      </c>
      <c r="B1003" s="2" t="s">
        <v>7</v>
      </c>
      <c r="C1003" s="3">
        <v>25.4</v>
      </c>
      <c r="D1003" s="4">
        <v>0.0</v>
      </c>
      <c r="E1003" s="2" t="s">
        <v>8</v>
      </c>
      <c r="F1003" s="2" t="s">
        <v>13</v>
      </c>
      <c r="G1003" s="5">
        <v>8782.469</v>
      </c>
    </row>
    <row r="1004">
      <c r="A1004" s="1">
        <v>51.0</v>
      </c>
      <c r="B1004" s="2" t="s">
        <v>10</v>
      </c>
      <c r="C1004" s="3">
        <v>37.05</v>
      </c>
      <c r="D1004" s="4">
        <v>3.0</v>
      </c>
      <c r="E1004" s="2" t="s">
        <v>12</v>
      </c>
      <c r="F1004" s="2" t="s">
        <v>11</v>
      </c>
      <c r="G1004" s="5">
        <v>46255.1125</v>
      </c>
    </row>
    <row r="1005">
      <c r="A1005" s="1">
        <v>51.0</v>
      </c>
      <c r="B1005" s="2" t="s">
        <v>7</v>
      </c>
      <c r="C1005" s="3">
        <v>42.9</v>
      </c>
      <c r="D1005" s="4">
        <v>2.0</v>
      </c>
      <c r="E1005" s="2" t="s">
        <v>12</v>
      </c>
      <c r="F1005" s="2" t="s">
        <v>9</v>
      </c>
      <c r="G1005" s="5">
        <v>47462.894</v>
      </c>
    </row>
    <row r="1006">
      <c r="A1006" s="1">
        <v>51.0</v>
      </c>
      <c r="B1006" s="2" t="s">
        <v>7</v>
      </c>
      <c r="C1006" s="3">
        <v>24.795</v>
      </c>
      <c r="D1006" s="4">
        <v>2.0</v>
      </c>
      <c r="E1006" s="2" t="s">
        <v>12</v>
      </c>
      <c r="F1006" s="2" t="s">
        <v>14</v>
      </c>
      <c r="G1006" s="5">
        <v>23967.38305</v>
      </c>
    </row>
    <row r="1007">
      <c r="A1007" s="1">
        <v>51.0</v>
      </c>
      <c r="B1007" s="2" t="s">
        <v>7</v>
      </c>
      <c r="C1007" s="3">
        <v>27.74</v>
      </c>
      <c r="D1007" s="4">
        <v>1.0</v>
      </c>
      <c r="E1007" s="2" t="s">
        <v>8</v>
      </c>
      <c r="F1007" s="2" t="s">
        <v>11</v>
      </c>
      <c r="G1007" s="5">
        <v>9957.7216</v>
      </c>
    </row>
    <row r="1008">
      <c r="A1008" s="1">
        <v>51.0</v>
      </c>
      <c r="B1008" s="2" t="s">
        <v>7</v>
      </c>
      <c r="C1008" s="3">
        <v>37.0</v>
      </c>
      <c r="D1008" s="4">
        <v>0.0</v>
      </c>
      <c r="E1008" s="2" t="s">
        <v>8</v>
      </c>
      <c r="F1008" s="2" t="s">
        <v>13</v>
      </c>
      <c r="G1008" s="5">
        <v>8798.593</v>
      </c>
    </row>
    <row r="1009">
      <c r="A1009" s="1">
        <v>51.0</v>
      </c>
      <c r="B1009" s="2" t="s">
        <v>10</v>
      </c>
      <c r="C1009" s="3">
        <v>34.96</v>
      </c>
      <c r="D1009" s="4">
        <v>2.0</v>
      </c>
      <c r="E1009" s="2" t="s">
        <v>12</v>
      </c>
      <c r="F1009" s="2" t="s">
        <v>11</v>
      </c>
      <c r="G1009" s="5">
        <v>44641.1974</v>
      </c>
    </row>
    <row r="1010">
      <c r="A1010" s="1">
        <v>51.0</v>
      </c>
      <c r="B1010" s="2" t="s">
        <v>7</v>
      </c>
      <c r="C1010" s="3">
        <v>32.3</v>
      </c>
      <c r="D1010" s="4">
        <v>1.0</v>
      </c>
      <c r="E1010" s="2" t="s">
        <v>8</v>
      </c>
      <c r="F1010" s="2" t="s">
        <v>11</v>
      </c>
      <c r="G1010" s="5">
        <v>9964.06</v>
      </c>
    </row>
    <row r="1011">
      <c r="A1011" s="1">
        <v>51.0</v>
      </c>
      <c r="B1011" s="2" t="s">
        <v>10</v>
      </c>
      <c r="C1011" s="3">
        <v>36.385</v>
      </c>
      <c r="D1011" s="4">
        <v>3.0</v>
      </c>
      <c r="E1011" s="2" t="s">
        <v>8</v>
      </c>
      <c r="F1011" s="2" t="s">
        <v>14</v>
      </c>
      <c r="G1011" s="5">
        <v>11436.73815</v>
      </c>
    </row>
    <row r="1012">
      <c r="A1012" s="1">
        <v>51.0</v>
      </c>
      <c r="B1012" s="2" t="s">
        <v>7</v>
      </c>
      <c r="C1012" s="3">
        <v>30.03</v>
      </c>
      <c r="D1012" s="4">
        <v>1.0</v>
      </c>
      <c r="E1012" s="2" t="s">
        <v>8</v>
      </c>
      <c r="F1012" s="2" t="s">
        <v>9</v>
      </c>
      <c r="G1012" s="5">
        <v>9377.9047</v>
      </c>
    </row>
    <row r="1013">
      <c r="A1013" s="1">
        <v>52.0</v>
      </c>
      <c r="B1013" s="2" t="s">
        <v>10</v>
      </c>
      <c r="C1013" s="3">
        <v>30.78</v>
      </c>
      <c r="D1013" s="4">
        <v>1.0</v>
      </c>
      <c r="E1013" s="2" t="s">
        <v>8</v>
      </c>
      <c r="F1013" s="2" t="s">
        <v>11</v>
      </c>
      <c r="G1013" s="5">
        <v>10797.3362</v>
      </c>
    </row>
    <row r="1014">
      <c r="A1014" s="1">
        <v>52.0</v>
      </c>
      <c r="B1014" s="2" t="s">
        <v>7</v>
      </c>
      <c r="C1014" s="3">
        <v>32.205</v>
      </c>
      <c r="D1014" s="4">
        <v>3.0</v>
      </c>
      <c r="E1014" s="2" t="s">
        <v>8</v>
      </c>
      <c r="F1014" s="2" t="s">
        <v>11</v>
      </c>
      <c r="G1014" s="5">
        <v>11488.31695</v>
      </c>
    </row>
    <row r="1015">
      <c r="A1015" s="1">
        <v>52.0</v>
      </c>
      <c r="B1015" s="2" t="s">
        <v>10</v>
      </c>
      <c r="C1015" s="3">
        <v>37.4</v>
      </c>
      <c r="D1015" s="4">
        <v>0.0</v>
      </c>
      <c r="E1015" s="2" t="s">
        <v>8</v>
      </c>
      <c r="F1015" s="2" t="s">
        <v>13</v>
      </c>
      <c r="G1015" s="5">
        <v>9634.538</v>
      </c>
    </row>
    <row r="1016">
      <c r="A1016" s="1">
        <v>52.0</v>
      </c>
      <c r="B1016" s="2" t="s">
        <v>7</v>
      </c>
      <c r="C1016" s="3">
        <v>24.32</v>
      </c>
      <c r="D1016" s="4">
        <v>3.0</v>
      </c>
      <c r="E1016" s="2" t="s">
        <v>12</v>
      </c>
      <c r="F1016" s="2" t="s">
        <v>11</v>
      </c>
      <c r="G1016" s="5">
        <v>24869.8368</v>
      </c>
    </row>
    <row r="1017">
      <c r="A1017" s="1">
        <v>52.0</v>
      </c>
      <c r="B1017" s="2" t="s">
        <v>10</v>
      </c>
      <c r="C1017" s="3">
        <v>31.2</v>
      </c>
      <c r="D1017" s="4">
        <v>0.0</v>
      </c>
      <c r="E1017" s="2" t="s">
        <v>8</v>
      </c>
      <c r="F1017" s="2" t="s">
        <v>13</v>
      </c>
      <c r="G1017" s="5">
        <v>9625.92</v>
      </c>
    </row>
    <row r="1018">
      <c r="A1018" s="1">
        <v>52.0</v>
      </c>
      <c r="B1018" s="2" t="s">
        <v>7</v>
      </c>
      <c r="C1018" s="3">
        <v>26.4</v>
      </c>
      <c r="D1018" s="4">
        <v>3.0</v>
      </c>
      <c r="E1018" s="2" t="s">
        <v>8</v>
      </c>
      <c r="F1018" s="2" t="s">
        <v>9</v>
      </c>
      <c r="G1018" s="5">
        <v>25992.82104</v>
      </c>
    </row>
    <row r="1019">
      <c r="A1019" s="1">
        <v>52.0</v>
      </c>
      <c r="B1019" s="2" t="s">
        <v>7</v>
      </c>
      <c r="C1019" s="3">
        <v>33.25</v>
      </c>
      <c r="D1019" s="4">
        <v>0.0</v>
      </c>
      <c r="E1019" s="2" t="s">
        <v>8</v>
      </c>
      <c r="F1019" s="2" t="s">
        <v>11</v>
      </c>
      <c r="G1019" s="5">
        <v>9722.7695</v>
      </c>
    </row>
    <row r="1020">
      <c r="A1020" s="1">
        <v>52.0</v>
      </c>
      <c r="B1020" s="2" t="s">
        <v>7</v>
      </c>
      <c r="C1020" s="3">
        <v>36.7</v>
      </c>
      <c r="D1020" s="4">
        <v>0.0</v>
      </c>
      <c r="E1020" s="2" t="s">
        <v>8</v>
      </c>
      <c r="F1020" s="2" t="s">
        <v>13</v>
      </c>
      <c r="G1020" s="5">
        <v>9144.565</v>
      </c>
    </row>
    <row r="1021">
      <c r="A1021" s="1">
        <v>52.0</v>
      </c>
      <c r="B1021" s="2" t="s">
        <v>7</v>
      </c>
      <c r="C1021" s="3">
        <v>27.36</v>
      </c>
      <c r="D1021" s="4">
        <v>0.0</v>
      </c>
      <c r="E1021" s="2" t="s">
        <v>12</v>
      </c>
      <c r="F1021" s="2" t="s">
        <v>14</v>
      </c>
      <c r="G1021" s="5">
        <v>24393.6224</v>
      </c>
    </row>
    <row r="1022">
      <c r="A1022" s="1">
        <v>52.0</v>
      </c>
      <c r="B1022" s="2" t="s">
        <v>10</v>
      </c>
      <c r="C1022" s="3">
        <v>38.38</v>
      </c>
      <c r="D1022" s="4">
        <v>2.0</v>
      </c>
      <c r="E1022" s="2" t="s">
        <v>8</v>
      </c>
      <c r="F1022" s="2" t="s">
        <v>11</v>
      </c>
      <c r="G1022" s="5">
        <v>11396.9002</v>
      </c>
    </row>
    <row r="1023">
      <c r="A1023" s="1">
        <v>52.0</v>
      </c>
      <c r="B1023" s="2" t="s">
        <v>7</v>
      </c>
      <c r="C1023" s="3">
        <v>34.1</v>
      </c>
      <c r="D1023" s="4">
        <v>0.0</v>
      </c>
      <c r="E1023" s="2" t="s">
        <v>8</v>
      </c>
      <c r="F1023" s="2" t="s">
        <v>9</v>
      </c>
      <c r="G1023" s="5">
        <v>9140.951</v>
      </c>
    </row>
    <row r="1024">
      <c r="A1024" s="1">
        <v>52.0</v>
      </c>
      <c r="B1024" s="2" t="s">
        <v>10</v>
      </c>
      <c r="C1024" s="3">
        <v>46.75</v>
      </c>
      <c r="D1024" s="4">
        <v>5.0</v>
      </c>
      <c r="E1024" s="2" t="s">
        <v>8</v>
      </c>
      <c r="F1024" s="2" t="s">
        <v>9</v>
      </c>
      <c r="G1024" s="5">
        <v>12592.5345</v>
      </c>
    </row>
    <row r="1025">
      <c r="A1025" s="1">
        <v>52.0</v>
      </c>
      <c r="B1025" s="2" t="s">
        <v>10</v>
      </c>
      <c r="C1025" s="3">
        <v>31.73</v>
      </c>
      <c r="D1025" s="4">
        <v>2.0</v>
      </c>
      <c r="E1025" s="2" t="s">
        <v>8</v>
      </c>
      <c r="F1025" s="2" t="s">
        <v>14</v>
      </c>
      <c r="G1025" s="5">
        <v>11187.6567</v>
      </c>
    </row>
    <row r="1026">
      <c r="A1026" s="1">
        <v>52.0</v>
      </c>
      <c r="B1026" s="2" t="s">
        <v>7</v>
      </c>
      <c r="C1026" s="3">
        <v>30.2</v>
      </c>
      <c r="D1026" s="4">
        <v>1.0</v>
      </c>
      <c r="E1026" s="2" t="s">
        <v>8</v>
      </c>
      <c r="F1026" s="2" t="s">
        <v>13</v>
      </c>
      <c r="G1026" s="5">
        <v>9724.53</v>
      </c>
    </row>
    <row r="1027">
      <c r="A1027" s="1">
        <v>52.0</v>
      </c>
      <c r="B1027" s="2" t="s">
        <v>10</v>
      </c>
      <c r="C1027" s="3">
        <v>37.525</v>
      </c>
      <c r="D1027" s="4">
        <v>2.0</v>
      </c>
      <c r="E1027" s="2" t="s">
        <v>8</v>
      </c>
      <c r="F1027" s="2" t="s">
        <v>14</v>
      </c>
      <c r="G1027" s="5">
        <v>33471.97189</v>
      </c>
    </row>
    <row r="1028">
      <c r="A1028" s="1">
        <v>52.0</v>
      </c>
      <c r="B1028" s="2" t="s">
        <v>10</v>
      </c>
      <c r="C1028" s="3">
        <v>25.3</v>
      </c>
      <c r="D1028" s="4">
        <v>2.0</v>
      </c>
      <c r="E1028" s="2" t="s">
        <v>12</v>
      </c>
      <c r="F1028" s="2" t="s">
        <v>9</v>
      </c>
      <c r="G1028" s="5">
        <v>24667.419</v>
      </c>
    </row>
    <row r="1029">
      <c r="A1029" s="1">
        <v>52.0</v>
      </c>
      <c r="B1029" s="2" t="s">
        <v>7</v>
      </c>
      <c r="C1029" s="3">
        <v>36.765</v>
      </c>
      <c r="D1029" s="4">
        <v>2.0</v>
      </c>
      <c r="E1029" s="2" t="s">
        <v>8</v>
      </c>
      <c r="F1029" s="2" t="s">
        <v>14</v>
      </c>
      <c r="G1029" s="5">
        <v>26467.09737</v>
      </c>
    </row>
    <row r="1030">
      <c r="A1030" s="1">
        <v>52.0</v>
      </c>
      <c r="B1030" s="2" t="s">
        <v>7</v>
      </c>
      <c r="C1030" s="3">
        <v>47.74</v>
      </c>
      <c r="D1030" s="4">
        <v>1.0</v>
      </c>
      <c r="E1030" s="2" t="s">
        <v>8</v>
      </c>
      <c r="F1030" s="2" t="s">
        <v>9</v>
      </c>
      <c r="G1030" s="5">
        <v>9748.9106</v>
      </c>
    </row>
    <row r="1031">
      <c r="A1031" s="1">
        <v>52.0</v>
      </c>
      <c r="B1031" s="2" t="s">
        <v>10</v>
      </c>
      <c r="C1031" s="3">
        <v>30.875</v>
      </c>
      <c r="D1031" s="4">
        <v>0.0</v>
      </c>
      <c r="E1031" s="2" t="s">
        <v>8</v>
      </c>
      <c r="F1031" s="2" t="s">
        <v>11</v>
      </c>
      <c r="G1031" s="5">
        <v>23045.56616</v>
      </c>
    </row>
    <row r="1032">
      <c r="A1032" s="1">
        <v>52.0</v>
      </c>
      <c r="B1032" s="2" t="s">
        <v>10</v>
      </c>
      <c r="C1032" s="3">
        <v>18.335</v>
      </c>
      <c r="D1032" s="4">
        <v>0.0</v>
      </c>
      <c r="E1032" s="2" t="s">
        <v>8</v>
      </c>
      <c r="F1032" s="2" t="s">
        <v>14</v>
      </c>
      <c r="G1032" s="5">
        <v>9991.03765</v>
      </c>
    </row>
    <row r="1033">
      <c r="A1033" s="1">
        <v>52.0</v>
      </c>
      <c r="B1033" s="2" t="s">
        <v>10</v>
      </c>
      <c r="C1033" s="3">
        <v>24.86</v>
      </c>
      <c r="D1033" s="4">
        <v>0.0</v>
      </c>
      <c r="E1033" s="2" t="s">
        <v>8</v>
      </c>
      <c r="F1033" s="2" t="s">
        <v>9</v>
      </c>
      <c r="G1033" s="5">
        <v>27117.99378</v>
      </c>
    </row>
    <row r="1034">
      <c r="A1034" s="1">
        <v>52.0</v>
      </c>
      <c r="B1034" s="2" t="s">
        <v>7</v>
      </c>
      <c r="C1034" s="3">
        <v>32.775</v>
      </c>
      <c r="D1034" s="4">
        <v>3.0</v>
      </c>
      <c r="E1034" s="2" t="s">
        <v>8</v>
      </c>
      <c r="F1034" s="2" t="s">
        <v>14</v>
      </c>
      <c r="G1034" s="5">
        <v>11289.10925</v>
      </c>
    </row>
    <row r="1035">
      <c r="A1035" s="1">
        <v>52.0</v>
      </c>
      <c r="B1035" s="2" t="s">
        <v>10</v>
      </c>
      <c r="C1035" s="3">
        <v>24.13</v>
      </c>
      <c r="D1035" s="4">
        <v>1.0</v>
      </c>
      <c r="E1035" s="2" t="s">
        <v>12</v>
      </c>
      <c r="F1035" s="2" t="s">
        <v>14</v>
      </c>
      <c r="G1035" s="5">
        <v>23887.6627</v>
      </c>
    </row>
    <row r="1036">
      <c r="A1036" s="1">
        <v>52.0</v>
      </c>
      <c r="B1036" s="2" t="s">
        <v>10</v>
      </c>
      <c r="C1036" s="3">
        <v>33.3</v>
      </c>
      <c r="D1036" s="4">
        <v>2.0</v>
      </c>
      <c r="E1036" s="2" t="s">
        <v>8</v>
      </c>
      <c r="F1036" s="2" t="s">
        <v>13</v>
      </c>
      <c r="G1036" s="5">
        <v>10806.839</v>
      </c>
    </row>
    <row r="1037">
      <c r="A1037" s="1">
        <v>52.0</v>
      </c>
      <c r="B1037" s="2" t="s">
        <v>7</v>
      </c>
      <c r="C1037" s="3">
        <v>34.485</v>
      </c>
      <c r="D1037" s="4">
        <v>3.0</v>
      </c>
      <c r="E1037" s="2" t="s">
        <v>12</v>
      </c>
      <c r="F1037" s="2" t="s">
        <v>14</v>
      </c>
      <c r="G1037" s="5">
        <v>60021.39897</v>
      </c>
    </row>
    <row r="1038">
      <c r="A1038" s="1">
        <v>52.0</v>
      </c>
      <c r="B1038" s="2" t="s">
        <v>7</v>
      </c>
      <c r="C1038" s="3">
        <v>41.8</v>
      </c>
      <c r="D1038" s="4">
        <v>2.0</v>
      </c>
      <c r="E1038" s="2" t="s">
        <v>12</v>
      </c>
      <c r="F1038" s="2" t="s">
        <v>9</v>
      </c>
      <c r="G1038" s="5">
        <v>47269.854</v>
      </c>
    </row>
    <row r="1039">
      <c r="A1039" s="1">
        <v>52.0</v>
      </c>
      <c r="B1039" s="2" t="s">
        <v>10</v>
      </c>
      <c r="C1039" s="3">
        <v>23.18</v>
      </c>
      <c r="D1039" s="4">
        <v>0.0</v>
      </c>
      <c r="E1039" s="2" t="s">
        <v>8</v>
      </c>
      <c r="F1039" s="2" t="s">
        <v>11</v>
      </c>
      <c r="G1039" s="5">
        <v>10197.7722</v>
      </c>
    </row>
    <row r="1040">
      <c r="A1040" s="1">
        <v>52.0</v>
      </c>
      <c r="B1040" s="2" t="s">
        <v>7</v>
      </c>
      <c r="C1040" s="3">
        <v>38.6</v>
      </c>
      <c r="D1040" s="4">
        <v>2.0</v>
      </c>
      <c r="E1040" s="2" t="s">
        <v>8</v>
      </c>
      <c r="F1040" s="2" t="s">
        <v>13</v>
      </c>
      <c r="G1040" s="5">
        <v>10325.206</v>
      </c>
    </row>
    <row r="1041">
      <c r="A1041" s="1">
        <v>52.0</v>
      </c>
      <c r="B1041" s="2" t="s">
        <v>10</v>
      </c>
      <c r="C1041" s="3">
        <v>44.7</v>
      </c>
      <c r="D1041" s="4">
        <v>3.0</v>
      </c>
      <c r="E1041" s="2" t="s">
        <v>8</v>
      </c>
      <c r="F1041" s="2" t="s">
        <v>13</v>
      </c>
      <c r="G1041" s="5">
        <v>11411.685</v>
      </c>
    </row>
    <row r="1042">
      <c r="A1042" s="1">
        <v>53.0</v>
      </c>
      <c r="B1042" s="2" t="s">
        <v>10</v>
      </c>
      <c r="C1042" s="3">
        <v>22.88</v>
      </c>
      <c r="D1042" s="4">
        <v>1.0</v>
      </c>
      <c r="E1042" s="2" t="s">
        <v>12</v>
      </c>
      <c r="F1042" s="2" t="s">
        <v>9</v>
      </c>
      <c r="G1042" s="5">
        <v>23244.7902</v>
      </c>
    </row>
    <row r="1043">
      <c r="A1043" s="1">
        <v>53.0</v>
      </c>
      <c r="B1043" s="2" t="s">
        <v>10</v>
      </c>
      <c r="C1043" s="3">
        <v>28.1</v>
      </c>
      <c r="D1043" s="4">
        <v>3.0</v>
      </c>
      <c r="E1043" s="2" t="s">
        <v>8</v>
      </c>
      <c r="F1043" s="2" t="s">
        <v>13</v>
      </c>
      <c r="G1043" s="5">
        <v>11741.726</v>
      </c>
    </row>
    <row r="1044">
      <c r="A1044" s="1">
        <v>53.0</v>
      </c>
      <c r="B1044" s="2" t="s">
        <v>10</v>
      </c>
      <c r="C1044" s="3">
        <v>24.795</v>
      </c>
      <c r="D1044" s="4">
        <v>1.0</v>
      </c>
      <c r="E1044" s="2" t="s">
        <v>8</v>
      </c>
      <c r="F1044" s="2" t="s">
        <v>14</v>
      </c>
      <c r="G1044" s="5">
        <v>10942.13205</v>
      </c>
    </row>
    <row r="1045">
      <c r="A1045" s="1">
        <v>53.0</v>
      </c>
      <c r="B1045" s="2" t="s">
        <v>10</v>
      </c>
      <c r="C1045" s="3">
        <v>35.9</v>
      </c>
      <c r="D1045" s="4">
        <v>2.0</v>
      </c>
      <c r="E1045" s="2" t="s">
        <v>8</v>
      </c>
      <c r="F1045" s="2" t="s">
        <v>13</v>
      </c>
      <c r="G1045" s="5">
        <v>11163.568</v>
      </c>
    </row>
    <row r="1046">
      <c r="A1046" s="1">
        <v>53.0</v>
      </c>
      <c r="B1046" s="2" t="s">
        <v>10</v>
      </c>
      <c r="C1046" s="3">
        <v>37.43</v>
      </c>
      <c r="D1046" s="4">
        <v>1.0</v>
      </c>
      <c r="E1046" s="2" t="s">
        <v>8</v>
      </c>
      <c r="F1046" s="2" t="s">
        <v>14</v>
      </c>
      <c r="G1046" s="5">
        <v>10959.6947</v>
      </c>
    </row>
    <row r="1047">
      <c r="A1047" s="1">
        <v>53.0</v>
      </c>
      <c r="B1047" s="2" t="s">
        <v>10</v>
      </c>
      <c r="C1047" s="3">
        <v>26.6</v>
      </c>
      <c r="D1047" s="4">
        <v>0.0</v>
      </c>
      <c r="E1047" s="2" t="s">
        <v>8</v>
      </c>
      <c r="F1047" s="2" t="s">
        <v>14</v>
      </c>
      <c r="G1047" s="5">
        <v>10355.641</v>
      </c>
    </row>
    <row r="1048">
      <c r="A1048" s="1">
        <v>53.0</v>
      </c>
      <c r="B1048" s="2" t="s">
        <v>10</v>
      </c>
      <c r="C1048" s="3">
        <v>33.25</v>
      </c>
      <c r="D1048" s="4">
        <v>0.0</v>
      </c>
      <c r="E1048" s="2" t="s">
        <v>8</v>
      </c>
      <c r="F1048" s="2" t="s">
        <v>11</v>
      </c>
      <c r="G1048" s="5">
        <v>10564.8845</v>
      </c>
    </row>
    <row r="1049">
      <c r="A1049" s="1">
        <v>53.0</v>
      </c>
      <c r="B1049" s="2" t="s">
        <v>10</v>
      </c>
      <c r="C1049" s="3">
        <v>38.06</v>
      </c>
      <c r="D1049" s="4">
        <v>3.0</v>
      </c>
      <c r="E1049" s="2" t="s">
        <v>8</v>
      </c>
      <c r="F1049" s="2" t="s">
        <v>9</v>
      </c>
      <c r="G1049" s="5">
        <v>20462.99766</v>
      </c>
    </row>
    <row r="1050">
      <c r="A1050" s="1">
        <v>53.0</v>
      </c>
      <c r="B1050" s="2" t="s">
        <v>10</v>
      </c>
      <c r="C1050" s="3">
        <v>22.61</v>
      </c>
      <c r="D1050" s="4">
        <v>3.0</v>
      </c>
      <c r="E1050" s="2" t="s">
        <v>12</v>
      </c>
      <c r="F1050" s="2" t="s">
        <v>11</v>
      </c>
      <c r="G1050" s="5">
        <v>24873.3849</v>
      </c>
    </row>
    <row r="1051">
      <c r="A1051" s="1">
        <v>53.0</v>
      </c>
      <c r="B1051" s="2" t="s">
        <v>7</v>
      </c>
      <c r="C1051" s="3">
        <v>31.16</v>
      </c>
      <c r="D1051" s="4">
        <v>1.0</v>
      </c>
      <c r="E1051" s="2" t="s">
        <v>8</v>
      </c>
      <c r="F1051" s="2" t="s">
        <v>14</v>
      </c>
      <c r="G1051" s="5">
        <v>10461.9794</v>
      </c>
    </row>
    <row r="1052">
      <c r="A1052" s="1">
        <v>53.0</v>
      </c>
      <c r="B1052" s="2" t="s">
        <v>7</v>
      </c>
      <c r="C1052" s="3">
        <v>31.35</v>
      </c>
      <c r="D1052" s="4">
        <v>0.0</v>
      </c>
      <c r="E1052" s="2" t="s">
        <v>8</v>
      </c>
      <c r="F1052" s="2" t="s">
        <v>9</v>
      </c>
      <c r="G1052" s="5">
        <v>27346.04207</v>
      </c>
    </row>
    <row r="1053">
      <c r="A1053" s="1">
        <v>53.0</v>
      </c>
      <c r="B1053" s="2" t="s">
        <v>7</v>
      </c>
      <c r="C1053" s="3">
        <v>36.1</v>
      </c>
      <c r="D1053" s="4">
        <v>1.0</v>
      </c>
      <c r="E1053" s="2" t="s">
        <v>8</v>
      </c>
      <c r="F1053" s="2" t="s">
        <v>13</v>
      </c>
      <c r="G1053" s="5">
        <v>10085.846</v>
      </c>
    </row>
    <row r="1054">
      <c r="A1054" s="1">
        <v>53.0</v>
      </c>
      <c r="B1054" s="2" t="s">
        <v>10</v>
      </c>
      <c r="C1054" s="3">
        <v>39.6</v>
      </c>
      <c r="D1054" s="4">
        <v>1.0</v>
      </c>
      <c r="E1054" s="2" t="s">
        <v>8</v>
      </c>
      <c r="F1054" s="2" t="s">
        <v>9</v>
      </c>
      <c r="G1054" s="5">
        <v>10579.711</v>
      </c>
    </row>
    <row r="1055">
      <c r="A1055" s="1">
        <v>53.0</v>
      </c>
      <c r="B1055" s="2" t="s">
        <v>7</v>
      </c>
      <c r="C1055" s="3">
        <v>24.32</v>
      </c>
      <c r="D1055" s="4">
        <v>0.0</v>
      </c>
      <c r="E1055" s="2" t="s">
        <v>8</v>
      </c>
      <c r="F1055" s="2" t="s">
        <v>14</v>
      </c>
      <c r="G1055" s="5">
        <v>9863.4718</v>
      </c>
    </row>
    <row r="1056">
      <c r="A1056" s="1">
        <v>53.0</v>
      </c>
      <c r="B1056" s="2" t="s">
        <v>7</v>
      </c>
      <c r="C1056" s="3">
        <v>26.41</v>
      </c>
      <c r="D1056" s="4">
        <v>2.0</v>
      </c>
      <c r="E1056" s="2" t="s">
        <v>8</v>
      </c>
      <c r="F1056" s="2" t="s">
        <v>11</v>
      </c>
      <c r="G1056" s="5">
        <v>11244.3769</v>
      </c>
    </row>
    <row r="1057">
      <c r="A1057" s="1">
        <v>53.0</v>
      </c>
      <c r="B1057" s="2" t="s">
        <v>10</v>
      </c>
      <c r="C1057" s="3">
        <v>32.3</v>
      </c>
      <c r="D1057" s="4">
        <v>2.0</v>
      </c>
      <c r="E1057" s="2" t="s">
        <v>8</v>
      </c>
      <c r="F1057" s="2" t="s">
        <v>11</v>
      </c>
      <c r="G1057" s="5">
        <v>29186.48236</v>
      </c>
    </row>
    <row r="1058">
      <c r="A1058" s="1">
        <v>53.0</v>
      </c>
      <c r="B1058" s="2" t="s">
        <v>7</v>
      </c>
      <c r="C1058" s="3">
        <v>41.47</v>
      </c>
      <c r="D1058" s="4">
        <v>0.0</v>
      </c>
      <c r="E1058" s="2" t="s">
        <v>8</v>
      </c>
      <c r="F1058" s="2" t="s">
        <v>9</v>
      </c>
      <c r="G1058" s="5">
        <v>9504.3103</v>
      </c>
    </row>
    <row r="1059">
      <c r="A1059" s="1">
        <v>53.0</v>
      </c>
      <c r="B1059" s="2" t="s">
        <v>7</v>
      </c>
      <c r="C1059" s="3">
        <v>36.6</v>
      </c>
      <c r="D1059" s="4">
        <v>3.0</v>
      </c>
      <c r="E1059" s="2" t="s">
        <v>8</v>
      </c>
      <c r="F1059" s="2" t="s">
        <v>13</v>
      </c>
      <c r="G1059" s="5">
        <v>11264.541</v>
      </c>
    </row>
    <row r="1060">
      <c r="A1060" s="1">
        <v>53.0</v>
      </c>
      <c r="B1060" s="2" t="s">
        <v>7</v>
      </c>
      <c r="C1060" s="3">
        <v>21.4</v>
      </c>
      <c r="D1060" s="4">
        <v>1.0</v>
      </c>
      <c r="E1060" s="2" t="s">
        <v>8</v>
      </c>
      <c r="F1060" s="2" t="s">
        <v>13</v>
      </c>
      <c r="G1060" s="5">
        <v>10065.413</v>
      </c>
    </row>
    <row r="1061">
      <c r="A1061" s="1">
        <v>53.0</v>
      </c>
      <c r="B1061" s="2" t="s">
        <v>7</v>
      </c>
      <c r="C1061" s="3">
        <v>34.105</v>
      </c>
      <c r="D1061" s="4">
        <v>0.0</v>
      </c>
      <c r="E1061" s="2" t="s">
        <v>12</v>
      </c>
      <c r="F1061" s="2" t="s">
        <v>11</v>
      </c>
      <c r="G1061" s="5">
        <v>43254.41795</v>
      </c>
    </row>
    <row r="1062">
      <c r="A1062" s="1">
        <v>53.0</v>
      </c>
      <c r="B1062" s="2" t="s">
        <v>10</v>
      </c>
      <c r="C1062" s="3">
        <v>26.7</v>
      </c>
      <c r="D1062" s="4">
        <v>2.0</v>
      </c>
      <c r="E1062" s="2" t="s">
        <v>8</v>
      </c>
      <c r="F1062" s="2" t="s">
        <v>13</v>
      </c>
      <c r="G1062" s="5">
        <v>11150.78</v>
      </c>
    </row>
    <row r="1063">
      <c r="A1063" s="1">
        <v>53.0</v>
      </c>
      <c r="B1063" s="2" t="s">
        <v>7</v>
      </c>
      <c r="C1063" s="3">
        <v>28.88</v>
      </c>
      <c r="D1063" s="4">
        <v>0.0</v>
      </c>
      <c r="E1063" s="2" t="s">
        <v>8</v>
      </c>
      <c r="F1063" s="2" t="s">
        <v>14</v>
      </c>
      <c r="G1063" s="5">
        <v>9869.8102</v>
      </c>
    </row>
    <row r="1064">
      <c r="A1064" s="1">
        <v>53.0</v>
      </c>
      <c r="B1064" s="2" t="s">
        <v>7</v>
      </c>
      <c r="C1064" s="3">
        <v>20.9</v>
      </c>
      <c r="D1064" s="4">
        <v>0.0</v>
      </c>
      <c r="E1064" s="2" t="s">
        <v>12</v>
      </c>
      <c r="F1064" s="2" t="s">
        <v>9</v>
      </c>
      <c r="G1064" s="5">
        <v>21195.818</v>
      </c>
    </row>
    <row r="1065">
      <c r="A1065" s="1">
        <v>53.0</v>
      </c>
      <c r="B1065" s="2" t="s">
        <v>7</v>
      </c>
      <c r="C1065" s="3">
        <v>30.495</v>
      </c>
      <c r="D1065" s="4">
        <v>0.0</v>
      </c>
      <c r="E1065" s="2" t="s">
        <v>8</v>
      </c>
      <c r="F1065" s="2" t="s">
        <v>11</v>
      </c>
      <c r="G1065" s="5">
        <v>10072.05505</v>
      </c>
    </row>
    <row r="1066">
      <c r="A1066" s="1">
        <v>53.0</v>
      </c>
      <c r="B1066" s="2" t="s">
        <v>10</v>
      </c>
      <c r="C1066" s="3">
        <v>23.75</v>
      </c>
      <c r="D1066" s="4">
        <v>2.0</v>
      </c>
      <c r="E1066" s="2" t="s">
        <v>8</v>
      </c>
      <c r="F1066" s="2" t="s">
        <v>11</v>
      </c>
      <c r="G1066" s="5">
        <v>11729.6795</v>
      </c>
    </row>
    <row r="1067">
      <c r="A1067" s="1">
        <v>53.0</v>
      </c>
      <c r="B1067" s="2" t="s">
        <v>7</v>
      </c>
      <c r="C1067" s="3">
        <v>29.48</v>
      </c>
      <c r="D1067" s="4">
        <v>0.0</v>
      </c>
      <c r="E1067" s="2" t="s">
        <v>8</v>
      </c>
      <c r="F1067" s="2" t="s">
        <v>9</v>
      </c>
      <c r="G1067" s="5">
        <v>9487.6442</v>
      </c>
    </row>
    <row r="1068">
      <c r="A1068" s="1">
        <v>53.0</v>
      </c>
      <c r="B1068" s="2" t="s">
        <v>7</v>
      </c>
      <c r="C1068" s="3">
        <v>28.6</v>
      </c>
      <c r="D1068" s="4">
        <v>3.0</v>
      </c>
      <c r="E1068" s="2" t="s">
        <v>8</v>
      </c>
      <c r="F1068" s="2" t="s">
        <v>13</v>
      </c>
      <c r="G1068" s="5">
        <v>11253.421</v>
      </c>
    </row>
    <row r="1069">
      <c r="A1069" s="1">
        <v>53.0</v>
      </c>
      <c r="B1069" s="2" t="s">
        <v>10</v>
      </c>
      <c r="C1069" s="3">
        <v>36.86</v>
      </c>
      <c r="D1069" s="4">
        <v>3.0</v>
      </c>
      <c r="E1069" s="2" t="s">
        <v>12</v>
      </c>
      <c r="F1069" s="2" t="s">
        <v>14</v>
      </c>
      <c r="G1069" s="5">
        <v>46661.4424</v>
      </c>
    </row>
    <row r="1070">
      <c r="A1070" s="1">
        <v>54.0</v>
      </c>
      <c r="B1070" s="2" t="s">
        <v>10</v>
      </c>
      <c r="C1070" s="3">
        <v>30.8</v>
      </c>
      <c r="D1070" s="4">
        <v>3.0</v>
      </c>
      <c r="E1070" s="2" t="s">
        <v>8</v>
      </c>
      <c r="F1070" s="2" t="s">
        <v>13</v>
      </c>
      <c r="G1070" s="5">
        <v>12105.32</v>
      </c>
    </row>
    <row r="1071">
      <c r="A1071" s="1">
        <v>54.0</v>
      </c>
      <c r="B1071" s="2" t="s">
        <v>7</v>
      </c>
      <c r="C1071" s="3">
        <v>33.63</v>
      </c>
      <c r="D1071" s="4">
        <v>1.0</v>
      </c>
      <c r="E1071" s="2" t="s">
        <v>8</v>
      </c>
      <c r="F1071" s="2" t="s">
        <v>14</v>
      </c>
      <c r="G1071" s="5">
        <v>10825.2537</v>
      </c>
    </row>
    <row r="1072">
      <c r="A1072" s="1">
        <v>54.0</v>
      </c>
      <c r="B1072" s="2" t="s">
        <v>10</v>
      </c>
      <c r="C1072" s="3">
        <v>31.9</v>
      </c>
      <c r="D1072" s="4">
        <v>3.0</v>
      </c>
      <c r="E1072" s="2" t="s">
        <v>8</v>
      </c>
      <c r="F1072" s="2" t="s">
        <v>9</v>
      </c>
      <c r="G1072" s="5">
        <v>27322.73386</v>
      </c>
    </row>
    <row r="1073">
      <c r="A1073" s="1">
        <v>54.0</v>
      </c>
      <c r="B1073" s="2" t="s">
        <v>7</v>
      </c>
      <c r="C1073" s="3">
        <v>39.6</v>
      </c>
      <c r="D1073" s="4">
        <v>1.0</v>
      </c>
      <c r="E1073" s="2" t="s">
        <v>8</v>
      </c>
      <c r="F1073" s="2" t="s">
        <v>13</v>
      </c>
      <c r="G1073" s="5">
        <v>10450.552</v>
      </c>
    </row>
    <row r="1074">
      <c r="A1074" s="1">
        <v>54.0</v>
      </c>
      <c r="B1074" s="2" t="s">
        <v>7</v>
      </c>
      <c r="C1074" s="3">
        <v>29.2</v>
      </c>
      <c r="D1074" s="4">
        <v>1.0</v>
      </c>
      <c r="E1074" s="2" t="s">
        <v>8</v>
      </c>
      <c r="F1074" s="2" t="s">
        <v>13</v>
      </c>
      <c r="G1074" s="5">
        <v>10436.096</v>
      </c>
    </row>
    <row r="1075">
      <c r="A1075" s="1">
        <v>54.0</v>
      </c>
      <c r="B1075" s="2" t="s">
        <v>7</v>
      </c>
      <c r="C1075" s="3">
        <v>30.02</v>
      </c>
      <c r="D1075" s="4">
        <v>0.0</v>
      </c>
      <c r="E1075" s="2" t="s">
        <v>8</v>
      </c>
      <c r="F1075" s="2" t="s">
        <v>14</v>
      </c>
      <c r="G1075" s="5">
        <v>24476.47851</v>
      </c>
    </row>
    <row r="1076">
      <c r="A1076" s="1">
        <v>54.0</v>
      </c>
      <c r="B1076" s="2" t="s">
        <v>7</v>
      </c>
      <c r="C1076" s="3">
        <v>34.21</v>
      </c>
      <c r="D1076" s="4">
        <v>2.0</v>
      </c>
      <c r="E1076" s="2" t="s">
        <v>12</v>
      </c>
      <c r="F1076" s="2" t="s">
        <v>9</v>
      </c>
      <c r="G1076" s="5">
        <v>44260.7499</v>
      </c>
    </row>
    <row r="1077">
      <c r="A1077" s="1">
        <v>54.0</v>
      </c>
      <c r="B1077" s="2" t="s">
        <v>7</v>
      </c>
      <c r="C1077" s="3">
        <v>40.565</v>
      </c>
      <c r="D1077" s="4">
        <v>3.0</v>
      </c>
      <c r="E1077" s="2" t="s">
        <v>12</v>
      </c>
      <c r="F1077" s="2" t="s">
        <v>11</v>
      </c>
      <c r="G1077" s="5">
        <v>48549.17835</v>
      </c>
    </row>
    <row r="1078">
      <c r="A1078" s="1">
        <v>54.0</v>
      </c>
      <c r="B1078" s="2" t="s">
        <v>7</v>
      </c>
      <c r="C1078" s="3">
        <v>32.775</v>
      </c>
      <c r="D1078" s="4">
        <v>0.0</v>
      </c>
      <c r="E1078" s="2" t="s">
        <v>8</v>
      </c>
      <c r="F1078" s="2" t="s">
        <v>11</v>
      </c>
      <c r="G1078" s="5">
        <v>10435.06525</v>
      </c>
    </row>
    <row r="1079">
      <c r="A1079" s="1">
        <v>54.0</v>
      </c>
      <c r="B1079" s="2" t="s">
        <v>7</v>
      </c>
      <c r="C1079" s="3">
        <v>25.1</v>
      </c>
      <c r="D1079" s="4">
        <v>3.0</v>
      </c>
      <c r="E1079" s="2" t="s">
        <v>12</v>
      </c>
      <c r="F1079" s="2" t="s">
        <v>13</v>
      </c>
      <c r="G1079" s="5">
        <v>25382.297</v>
      </c>
    </row>
    <row r="1080">
      <c r="A1080" s="1">
        <v>54.0</v>
      </c>
      <c r="B1080" s="2" t="s">
        <v>10</v>
      </c>
      <c r="C1080" s="3">
        <v>21.47</v>
      </c>
      <c r="D1080" s="4">
        <v>3.0</v>
      </c>
      <c r="E1080" s="2" t="s">
        <v>8</v>
      </c>
      <c r="F1080" s="2" t="s">
        <v>14</v>
      </c>
      <c r="G1080" s="5">
        <v>12475.3513</v>
      </c>
    </row>
    <row r="1081">
      <c r="A1081" s="1">
        <v>54.0</v>
      </c>
      <c r="B1081" s="2" t="s">
        <v>10</v>
      </c>
      <c r="C1081" s="3">
        <v>47.41</v>
      </c>
      <c r="D1081" s="4">
        <v>0.0</v>
      </c>
      <c r="E1081" s="2" t="s">
        <v>12</v>
      </c>
      <c r="F1081" s="2" t="s">
        <v>9</v>
      </c>
      <c r="G1081" s="5">
        <v>63770.42801</v>
      </c>
    </row>
    <row r="1082">
      <c r="A1082" s="1">
        <v>54.0</v>
      </c>
      <c r="B1082" s="2" t="s">
        <v>7</v>
      </c>
      <c r="C1082" s="3">
        <v>30.21</v>
      </c>
      <c r="D1082" s="4">
        <v>0.0</v>
      </c>
      <c r="E1082" s="2" t="s">
        <v>8</v>
      </c>
      <c r="F1082" s="2" t="s">
        <v>14</v>
      </c>
      <c r="G1082" s="5">
        <v>10231.4999</v>
      </c>
    </row>
    <row r="1083">
      <c r="A1083" s="1">
        <v>54.0</v>
      </c>
      <c r="B1083" s="2" t="s">
        <v>10</v>
      </c>
      <c r="C1083" s="3">
        <v>46.7</v>
      </c>
      <c r="D1083" s="4">
        <v>2.0</v>
      </c>
      <c r="E1083" s="2" t="s">
        <v>8</v>
      </c>
      <c r="F1083" s="2" t="s">
        <v>13</v>
      </c>
      <c r="G1083" s="5">
        <v>11538.421</v>
      </c>
    </row>
    <row r="1084">
      <c r="A1084" s="1">
        <v>54.0</v>
      </c>
      <c r="B1084" s="2" t="s">
        <v>10</v>
      </c>
      <c r="C1084" s="3">
        <v>32.68</v>
      </c>
      <c r="D1084" s="4">
        <v>0.0</v>
      </c>
      <c r="E1084" s="2" t="s">
        <v>8</v>
      </c>
      <c r="F1084" s="2" t="s">
        <v>11</v>
      </c>
      <c r="G1084" s="5">
        <v>10923.9332</v>
      </c>
    </row>
    <row r="1085">
      <c r="A1085" s="1">
        <v>54.0</v>
      </c>
      <c r="B1085" s="2" t="s">
        <v>7</v>
      </c>
      <c r="C1085" s="3">
        <v>21.01</v>
      </c>
      <c r="D1085" s="4">
        <v>2.0</v>
      </c>
      <c r="E1085" s="2" t="s">
        <v>8</v>
      </c>
      <c r="F1085" s="2" t="s">
        <v>9</v>
      </c>
      <c r="G1085" s="5">
        <v>11013.7119</v>
      </c>
    </row>
    <row r="1086">
      <c r="A1086" s="1">
        <v>54.0</v>
      </c>
      <c r="B1086" s="2" t="s">
        <v>7</v>
      </c>
      <c r="C1086" s="3">
        <v>24.035</v>
      </c>
      <c r="D1086" s="4">
        <v>0.0</v>
      </c>
      <c r="E1086" s="2" t="s">
        <v>8</v>
      </c>
      <c r="F1086" s="2" t="s">
        <v>11</v>
      </c>
      <c r="G1086" s="5">
        <v>10422.91665</v>
      </c>
    </row>
    <row r="1087">
      <c r="A1087" s="1">
        <v>54.0</v>
      </c>
      <c r="B1087" s="2" t="s">
        <v>7</v>
      </c>
      <c r="C1087" s="3">
        <v>30.8</v>
      </c>
      <c r="D1087" s="4">
        <v>1.0</v>
      </c>
      <c r="E1087" s="2" t="s">
        <v>12</v>
      </c>
      <c r="F1087" s="2" t="s">
        <v>9</v>
      </c>
      <c r="G1087" s="5">
        <v>41999.52</v>
      </c>
    </row>
    <row r="1088">
      <c r="A1088" s="1">
        <v>54.0</v>
      </c>
      <c r="B1088" s="2" t="s">
        <v>7</v>
      </c>
      <c r="C1088" s="3">
        <v>25.46</v>
      </c>
      <c r="D1088" s="4">
        <v>1.0</v>
      </c>
      <c r="E1088" s="2" t="s">
        <v>8</v>
      </c>
      <c r="F1088" s="2" t="s">
        <v>11</v>
      </c>
      <c r="G1088" s="5">
        <v>25517.11363</v>
      </c>
    </row>
    <row r="1089">
      <c r="A1089" s="1">
        <v>54.0</v>
      </c>
      <c r="B1089" s="2" t="s">
        <v>10</v>
      </c>
      <c r="C1089" s="3">
        <v>35.815</v>
      </c>
      <c r="D1089" s="4">
        <v>3.0</v>
      </c>
      <c r="E1089" s="2" t="s">
        <v>8</v>
      </c>
      <c r="F1089" s="2" t="s">
        <v>14</v>
      </c>
      <c r="G1089" s="5">
        <v>12495.29085</v>
      </c>
    </row>
    <row r="1090">
      <c r="A1090" s="1">
        <v>54.0</v>
      </c>
      <c r="B1090" s="2" t="s">
        <v>7</v>
      </c>
      <c r="C1090" s="3">
        <v>31.6</v>
      </c>
      <c r="D1090" s="4">
        <v>0.0</v>
      </c>
      <c r="E1090" s="2" t="s">
        <v>8</v>
      </c>
      <c r="F1090" s="2" t="s">
        <v>13</v>
      </c>
      <c r="G1090" s="5">
        <v>9850.432</v>
      </c>
    </row>
    <row r="1091">
      <c r="A1091" s="1">
        <v>54.0</v>
      </c>
      <c r="B1091" s="2" t="s">
        <v>10</v>
      </c>
      <c r="C1091" s="3">
        <v>23.0</v>
      </c>
      <c r="D1091" s="4">
        <v>3.0</v>
      </c>
      <c r="E1091" s="2" t="s">
        <v>8</v>
      </c>
      <c r="F1091" s="2" t="s">
        <v>13</v>
      </c>
      <c r="G1091" s="5">
        <v>12094.478</v>
      </c>
    </row>
    <row r="1092">
      <c r="A1092" s="1">
        <v>54.0</v>
      </c>
      <c r="B1092" s="2" t="s">
        <v>10</v>
      </c>
      <c r="C1092" s="3">
        <v>31.9</v>
      </c>
      <c r="D1092" s="4">
        <v>1.0</v>
      </c>
      <c r="E1092" s="2" t="s">
        <v>8</v>
      </c>
      <c r="F1092" s="2" t="s">
        <v>9</v>
      </c>
      <c r="G1092" s="5">
        <v>10928.849</v>
      </c>
    </row>
    <row r="1093">
      <c r="A1093" s="1">
        <v>54.0</v>
      </c>
      <c r="B1093" s="2" t="s">
        <v>10</v>
      </c>
      <c r="C1093" s="3">
        <v>28.88</v>
      </c>
      <c r="D1093" s="4">
        <v>2.0</v>
      </c>
      <c r="E1093" s="2" t="s">
        <v>8</v>
      </c>
      <c r="F1093" s="2" t="s">
        <v>11</v>
      </c>
      <c r="G1093" s="5">
        <v>12096.6512</v>
      </c>
    </row>
    <row r="1094">
      <c r="A1094" s="1">
        <v>54.0</v>
      </c>
      <c r="B1094" s="2" t="s">
        <v>10</v>
      </c>
      <c r="C1094" s="3">
        <v>31.24</v>
      </c>
      <c r="D1094" s="4">
        <v>0.0</v>
      </c>
      <c r="E1094" s="2" t="s">
        <v>8</v>
      </c>
      <c r="F1094" s="2" t="s">
        <v>9</v>
      </c>
      <c r="G1094" s="5">
        <v>10338.9316</v>
      </c>
    </row>
    <row r="1095">
      <c r="A1095" s="1">
        <v>54.0</v>
      </c>
      <c r="B1095" s="2" t="s">
        <v>10</v>
      </c>
      <c r="C1095" s="3">
        <v>32.3</v>
      </c>
      <c r="D1095" s="4">
        <v>1.0</v>
      </c>
      <c r="E1095" s="2" t="s">
        <v>8</v>
      </c>
      <c r="F1095" s="2" t="s">
        <v>11</v>
      </c>
      <c r="G1095" s="5">
        <v>11512.405</v>
      </c>
    </row>
    <row r="1096">
      <c r="A1096" s="1">
        <v>54.0</v>
      </c>
      <c r="B1096" s="2" t="s">
        <v>10</v>
      </c>
      <c r="C1096" s="3">
        <v>24.605</v>
      </c>
      <c r="D1096" s="4">
        <v>3.0</v>
      </c>
      <c r="E1096" s="2" t="s">
        <v>8</v>
      </c>
      <c r="F1096" s="2" t="s">
        <v>14</v>
      </c>
      <c r="G1096" s="5">
        <v>12479.70895</v>
      </c>
    </row>
    <row r="1097">
      <c r="A1097" s="1">
        <v>54.0</v>
      </c>
      <c r="B1097" s="2" t="s">
        <v>10</v>
      </c>
      <c r="C1097" s="3">
        <v>27.645</v>
      </c>
      <c r="D1097" s="4">
        <v>1.0</v>
      </c>
      <c r="E1097" s="2" t="s">
        <v>8</v>
      </c>
      <c r="F1097" s="2" t="s">
        <v>14</v>
      </c>
      <c r="G1097" s="5">
        <v>11305.93455</v>
      </c>
    </row>
    <row r="1098">
      <c r="A1098" s="1">
        <v>55.0</v>
      </c>
      <c r="B1098" s="2" t="s">
        <v>10</v>
      </c>
      <c r="C1098" s="3">
        <v>32.775</v>
      </c>
      <c r="D1098" s="4">
        <v>2.0</v>
      </c>
      <c r="E1098" s="2" t="s">
        <v>8</v>
      </c>
      <c r="F1098" s="2" t="s">
        <v>14</v>
      </c>
      <c r="G1098" s="5">
        <v>12268.63225</v>
      </c>
    </row>
    <row r="1099">
      <c r="A1099" s="1">
        <v>55.0</v>
      </c>
      <c r="B1099" s="2" t="s">
        <v>7</v>
      </c>
      <c r="C1099" s="3">
        <v>37.3</v>
      </c>
      <c r="D1099" s="4">
        <v>0.0</v>
      </c>
      <c r="E1099" s="2" t="s">
        <v>8</v>
      </c>
      <c r="F1099" s="2" t="s">
        <v>13</v>
      </c>
      <c r="G1099" s="5">
        <v>20630.28351</v>
      </c>
    </row>
    <row r="1100">
      <c r="A1100" s="1">
        <v>55.0</v>
      </c>
      <c r="B1100" s="2" t="s">
        <v>10</v>
      </c>
      <c r="C1100" s="3">
        <v>26.98</v>
      </c>
      <c r="D1100" s="4">
        <v>0.0</v>
      </c>
      <c r="E1100" s="2" t="s">
        <v>8</v>
      </c>
      <c r="F1100" s="2" t="s">
        <v>14</v>
      </c>
      <c r="G1100" s="5">
        <v>11082.5772</v>
      </c>
    </row>
    <row r="1101">
      <c r="A1101" s="1">
        <v>55.0</v>
      </c>
      <c r="B1101" s="2" t="s">
        <v>7</v>
      </c>
      <c r="C1101" s="3">
        <v>38.28</v>
      </c>
      <c r="D1101" s="4">
        <v>0.0</v>
      </c>
      <c r="E1101" s="2" t="s">
        <v>8</v>
      </c>
      <c r="F1101" s="2" t="s">
        <v>9</v>
      </c>
      <c r="G1101" s="5">
        <v>10226.2842</v>
      </c>
    </row>
    <row r="1102">
      <c r="A1102" s="1">
        <v>55.0</v>
      </c>
      <c r="B1102" s="2" t="s">
        <v>10</v>
      </c>
      <c r="C1102" s="3">
        <v>29.7</v>
      </c>
      <c r="D1102" s="4">
        <v>2.0</v>
      </c>
      <c r="E1102" s="2" t="s">
        <v>8</v>
      </c>
      <c r="F1102" s="2" t="s">
        <v>13</v>
      </c>
      <c r="G1102" s="5">
        <v>11881.358</v>
      </c>
    </row>
    <row r="1103">
      <c r="A1103" s="1">
        <v>55.0</v>
      </c>
      <c r="B1103" s="2" t="s">
        <v>7</v>
      </c>
      <c r="C1103" s="3">
        <v>33.88</v>
      </c>
      <c r="D1103" s="4">
        <v>3.0</v>
      </c>
      <c r="E1103" s="2" t="s">
        <v>8</v>
      </c>
      <c r="F1103" s="2" t="s">
        <v>9</v>
      </c>
      <c r="G1103" s="5">
        <v>11987.1682</v>
      </c>
    </row>
    <row r="1104">
      <c r="A1104" s="1">
        <v>55.0</v>
      </c>
      <c r="B1104" s="2" t="s">
        <v>10</v>
      </c>
      <c r="C1104" s="3">
        <v>26.8</v>
      </c>
      <c r="D1104" s="4">
        <v>1.0</v>
      </c>
      <c r="E1104" s="2" t="s">
        <v>8</v>
      </c>
      <c r="F1104" s="2" t="s">
        <v>13</v>
      </c>
      <c r="G1104" s="5">
        <v>35160.13457</v>
      </c>
    </row>
    <row r="1105">
      <c r="A1105" s="1">
        <v>55.0</v>
      </c>
      <c r="B1105" s="2" t="s">
        <v>10</v>
      </c>
      <c r="C1105" s="3">
        <v>25.365</v>
      </c>
      <c r="D1105" s="4">
        <v>3.0</v>
      </c>
      <c r="E1105" s="2" t="s">
        <v>8</v>
      </c>
      <c r="F1105" s="2" t="s">
        <v>11</v>
      </c>
      <c r="G1105" s="5">
        <v>13047.33235</v>
      </c>
    </row>
    <row r="1106">
      <c r="A1106" s="1">
        <v>55.0</v>
      </c>
      <c r="B1106" s="2" t="s">
        <v>10</v>
      </c>
      <c r="C1106" s="3">
        <v>32.395</v>
      </c>
      <c r="D1106" s="4">
        <v>1.0</v>
      </c>
      <c r="E1106" s="2" t="s">
        <v>8</v>
      </c>
      <c r="F1106" s="2" t="s">
        <v>11</v>
      </c>
      <c r="G1106" s="5">
        <v>11879.10405</v>
      </c>
    </row>
    <row r="1107">
      <c r="A1107" s="1">
        <v>55.0</v>
      </c>
      <c r="B1107" s="2" t="s">
        <v>7</v>
      </c>
      <c r="C1107" s="3">
        <v>30.685</v>
      </c>
      <c r="D1107" s="4">
        <v>0.0</v>
      </c>
      <c r="E1107" s="2" t="s">
        <v>12</v>
      </c>
      <c r="F1107" s="2" t="s">
        <v>11</v>
      </c>
      <c r="G1107" s="5">
        <v>42303.69215</v>
      </c>
    </row>
    <row r="1108">
      <c r="A1108" s="1">
        <v>55.0</v>
      </c>
      <c r="B1108" s="2" t="s">
        <v>7</v>
      </c>
      <c r="C1108" s="3">
        <v>33.0</v>
      </c>
      <c r="D1108" s="4">
        <v>0.0</v>
      </c>
      <c r="E1108" s="2" t="s">
        <v>8</v>
      </c>
      <c r="F1108" s="2" t="s">
        <v>9</v>
      </c>
      <c r="G1108" s="5">
        <v>20781.48892</v>
      </c>
    </row>
    <row r="1109">
      <c r="A1109" s="1">
        <v>55.0</v>
      </c>
      <c r="B1109" s="2" t="s">
        <v>10</v>
      </c>
      <c r="C1109" s="3">
        <v>30.14</v>
      </c>
      <c r="D1109" s="4">
        <v>2.0</v>
      </c>
      <c r="E1109" s="2" t="s">
        <v>8</v>
      </c>
      <c r="F1109" s="2" t="s">
        <v>9</v>
      </c>
      <c r="G1109" s="5">
        <v>11881.9696</v>
      </c>
    </row>
    <row r="1110">
      <c r="A1110" s="1">
        <v>55.0</v>
      </c>
      <c r="B1110" s="2" t="s">
        <v>10</v>
      </c>
      <c r="C1110" s="3">
        <v>37.1</v>
      </c>
      <c r="D1110" s="4">
        <v>0.0</v>
      </c>
      <c r="E1110" s="2" t="s">
        <v>8</v>
      </c>
      <c r="F1110" s="2" t="s">
        <v>13</v>
      </c>
      <c r="G1110" s="5">
        <v>10713.644</v>
      </c>
    </row>
    <row r="1111">
      <c r="A1111" s="1">
        <v>55.0</v>
      </c>
      <c r="B1111" s="2" t="s">
        <v>10</v>
      </c>
      <c r="C1111" s="3">
        <v>40.81</v>
      </c>
      <c r="D1111" s="4">
        <v>3.0</v>
      </c>
      <c r="E1111" s="2" t="s">
        <v>8</v>
      </c>
      <c r="F1111" s="2" t="s">
        <v>9</v>
      </c>
      <c r="G1111" s="5">
        <v>12485.8009</v>
      </c>
    </row>
    <row r="1112">
      <c r="A1112" s="1">
        <v>55.0</v>
      </c>
      <c r="B1112" s="2" t="s">
        <v>7</v>
      </c>
      <c r="C1112" s="3">
        <v>32.775</v>
      </c>
      <c r="D1112" s="4">
        <v>0.0</v>
      </c>
      <c r="E1112" s="2" t="s">
        <v>8</v>
      </c>
      <c r="F1112" s="2" t="s">
        <v>14</v>
      </c>
      <c r="G1112" s="5">
        <v>10601.63225</v>
      </c>
    </row>
    <row r="1113">
      <c r="A1113" s="1">
        <v>55.0</v>
      </c>
      <c r="B1113" s="2" t="s">
        <v>10</v>
      </c>
      <c r="C1113" s="3">
        <v>33.535</v>
      </c>
      <c r="D1113" s="4">
        <v>2.0</v>
      </c>
      <c r="E1113" s="2" t="s">
        <v>8</v>
      </c>
      <c r="F1113" s="2" t="s">
        <v>14</v>
      </c>
      <c r="G1113" s="5">
        <v>12269.68865</v>
      </c>
    </row>
    <row r="1114">
      <c r="A1114" s="1">
        <v>55.0</v>
      </c>
      <c r="B1114" s="2" t="s">
        <v>10</v>
      </c>
      <c r="C1114" s="3">
        <v>35.2</v>
      </c>
      <c r="D1114" s="4">
        <v>0.0</v>
      </c>
      <c r="E1114" s="2" t="s">
        <v>12</v>
      </c>
      <c r="F1114" s="2" t="s">
        <v>9</v>
      </c>
      <c r="G1114" s="5">
        <v>44423.803</v>
      </c>
    </row>
    <row r="1115">
      <c r="A1115" s="1">
        <v>55.0</v>
      </c>
      <c r="B1115" s="2" t="s">
        <v>7</v>
      </c>
      <c r="C1115" s="3">
        <v>35.245</v>
      </c>
      <c r="D1115" s="4">
        <v>1.0</v>
      </c>
      <c r="E1115" s="2" t="s">
        <v>8</v>
      </c>
      <c r="F1115" s="2" t="s">
        <v>11</v>
      </c>
      <c r="G1115" s="5">
        <v>11394.06555</v>
      </c>
    </row>
    <row r="1116">
      <c r="A1116" s="1">
        <v>55.0</v>
      </c>
      <c r="B1116" s="2" t="s">
        <v>7</v>
      </c>
      <c r="C1116" s="3">
        <v>27.645</v>
      </c>
      <c r="D1116" s="4">
        <v>0.0</v>
      </c>
      <c r="E1116" s="2" t="s">
        <v>8</v>
      </c>
      <c r="F1116" s="2" t="s">
        <v>14</v>
      </c>
      <c r="G1116" s="5">
        <v>10594.50155</v>
      </c>
    </row>
    <row r="1117">
      <c r="A1117" s="1">
        <v>55.0</v>
      </c>
      <c r="B1117" s="2" t="s">
        <v>7</v>
      </c>
      <c r="C1117" s="3">
        <v>28.975</v>
      </c>
      <c r="D1117" s="4">
        <v>0.0</v>
      </c>
      <c r="E1117" s="2" t="s">
        <v>8</v>
      </c>
      <c r="F1117" s="2" t="s">
        <v>11</v>
      </c>
      <c r="G1117" s="5">
        <v>10796.35025</v>
      </c>
    </row>
    <row r="1118">
      <c r="A1118" s="1">
        <v>55.0</v>
      </c>
      <c r="B1118" s="2" t="s">
        <v>10</v>
      </c>
      <c r="C1118" s="3">
        <v>29.83</v>
      </c>
      <c r="D1118" s="4">
        <v>0.0</v>
      </c>
      <c r="E1118" s="2" t="s">
        <v>8</v>
      </c>
      <c r="F1118" s="2" t="s">
        <v>11</v>
      </c>
      <c r="G1118" s="5">
        <v>11286.5387</v>
      </c>
    </row>
    <row r="1119">
      <c r="A1119" s="1">
        <v>55.0</v>
      </c>
      <c r="B1119" s="2" t="s">
        <v>7</v>
      </c>
      <c r="C1119" s="3">
        <v>32.67</v>
      </c>
      <c r="D1119" s="4">
        <v>1.0</v>
      </c>
      <c r="E1119" s="2" t="s">
        <v>8</v>
      </c>
      <c r="F1119" s="2" t="s">
        <v>9</v>
      </c>
      <c r="G1119" s="5">
        <v>10807.4863</v>
      </c>
    </row>
    <row r="1120">
      <c r="A1120" s="1">
        <v>55.0</v>
      </c>
      <c r="B1120" s="2" t="s">
        <v>7</v>
      </c>
      <c r="C1120" s="3">
        <v>29.9</v>
      </c>
      <c r="D1120" s="4">
        <v>0.0</v>
      </c>
      <c r="E1120" s="2" t="s">
        <v>8</v>
      </c>
      <c r="F1120" s="2" t="s">
        <v>13</v>
      </c>
      <c r="G1120" s="5">
        <v>10214.636</v>
      </c>
    </row>
    <row r="1121">
      <c r="A1121" s="1">
        <v>55.0</v>
      </c>
      <c r="B1121" s="2" t="s">
        <v>7</v>
      </c>
      <c r="C1121" s="3">
        <v>21.5</v>
      </c>
      <c r="D1121" s="4">
        <v>1.0</v>
      </c>
      <c r="E1121" s="2" t="s">
        <v>8</v>
      </c>
      <c r="F1121" s="2" t="s">
        <v>13</v>
      </c>
      <c r="G1121" s="5">
        <v>10791.96</v>
      </c>
    </row>
    <row r="1122">
      <c r="A1122" s="1">
        <v>55.0</v>
      </c>
      <c r="B1122" s="2" t="s">
        <v>7</v>
      </c>
      <c r="C1122" s="3">
        <v>37.715</v>
      </c>
      <c r="D1122" s="4">
        <v>3.0</v>
      </c>
      <c r="E1122" s="2" t="s">
        <v>8</v>
      </c>
      <c r="F1122" s="2" t="s">
        <v>14</v>
      </c>
      <c r="G1122" s="5">
        <v>30063.58055</v>
      </c>
    </row>
    <row r="1123">
      <c r="A1123" s="1">
        <v>55.0</v>
      </c>
      <c r="B1123" s="2" t="s">
        <v>10</v>
      </c>
      <c r="C1123" s="3">
        <v>30.5</v>
      </c>
      <c r="D1123" s="4">
        <v>0.0</v>
      </c>
      <c r="E1123" s="2" t="s">
        <v>8</v>
      </c>
      <c r="F1123" s="2" t="s">
        <v>13</v>
      </c>
      <c r="G1123" s="5">
        <v>10704.47</v>
      </c>
    </row>
    <row r="1124">
      <c r="A1124" s="1">
        <v>56.0</v>
      </c>
      <c r="B1124" s="2" t="s">
        <v>10</v>
      </c>
      <c r="C1124" s="3">
        <v>39.82</v>
      </c>
      <c r="D1124" s="4">
        <v>0.0</v>
      </c>
      <c r="E1124" s="2" t="s">
        <v>8</v>
      </c>
      <c r="F1124" s="2" t="s">
        <v>9</v>
      </c>
      <c r="G1124" s="5">
        <v>11090.7178</v>
      </c>
    </row>
    <row r="1125">
      <c r="A1125" s="1">
        <v>56.0</v>
      </c>
      <c r="B1125" s="2" t="s">
        <v>7</v>
      </c>
      <c r="C1125" s="3">
        <v>40.3</v>
      </c>
      <c r="D1125" s="4">
        <v>0.0</v>
      </c>
      <c r="E1125" s="2" t="s">
        <v>8</v>
      </c>
      <c r="F1125" s="2" t="s">
        <v>13</v>
      </c>
      <c r="G1125" s="5">
        <v>10602.385</v>
      </c>
    </row>
    <row r="1126">
      <c r="A1126" s="1">
        <v>56.0</v>
      </c>
      <c r="B1126" s="2" t="s">
        <v>10</v>
      </c>
      <c r="C1126" s="3">
        <v>27.2</v>
      </c>
      <c r="D1126" s="4">
        <v>0.0</v>
      </c>
      <c r="E1126" s="2" t="s">
        <v>8</v>
      </c>
      <c r="F1126" s="2" t="s">
        <v>13</v>
      </c>
      <c r="G1126" s="5">
        <v>11073.176</v>
      </c>
    </row>
    <row r="1127">
      <c r="A1127" s="1">
        <v>56.0</v>
      </c>
      <c r="B1127" s="2" t="s">
        <v>7</v>
      </c>
      <c r="C1127" s="3">
        <v>19.95</v>
      </c>
      <c r="D1127" s="4">
        <v>0.0</v>
      </c>
      <c r="E1127" s="2" t="s">
        <v>12</v>
      </c>
      <c r="F1127" s="2" t="s">
        <v>11</v>
      </c>
      <c r="G1127" s="5">
        <v>22412.6485</v>
      </c>
    </row>
    <row r="1128">
      <c r="A1128" s="1">
        <v>56.0</v>
      </c>
      <c r="B1128" s="2" t="s">
        <v>10</v>
      </c>
      <c r="C1128" s="3">
        <v>26.6</v>
      </c>
      <c r="D1128" s="4">
        <v>1.0</v>
      </c>
      <c r="E1128" s="2" t="s">
        <v>8</v>
      </c>
      <c r="F1128" s="2" t="s">
        <v>14</v>
      </c>
      <c r="G1128" s="5">
        <v>12044.342</v>
      </c>
    </row>
    <row r="1129">
      <c r="A1129" s="1">
        <v>56.0</v>
      </c>
      <c r="B1129" s="2" t="s">
        <v>7</v>
      </c>
      <c r="C1129" s="3">
        <v>33.63</v>
      </c>
      <c r="D1129" s="4">
        <v>0.0</v>
      </c>
      <c r="E1129" s="2" t="s">
        <v>12</v>
      </c>
      <c r="F1129" s="2" t="s">
        <v>14</v>
      </c>
      <c r="G1129" s="5">
        <v>43921.1837</v>
      </c>
    </row>
    <row r="1130">
      <c r="A1130" s="1">
        <v>56.0</v>
      </c>
      <c r="B1130" s="2" t="s">
        <v>10</v>
      </c>
      <c r="C1130" s="3">
        <v>37.51</v>
      </c>
      <c r="D1130" s="4">
        <v>2.0</v>
      </c>
      <c r="E1130" s="2" t="s">
        <v>8</v>
      </c>
      <c r="F1130" s="2" t="s">
        <v>9</v>
      </c>
      <c r="G1130" s="5">
        <v>12265.5069</v>
      </c>
    </row>
    <row r="1131">
      <c r="A1131" s="1">
        <v>56.0</v>
      </c>
      <c r="B1131" s="2" t="s">
        <v>10</v>
      </c>
      <c r="C1131" s="3">
        <v>28.785</v>
      </c>
      <c r="D1131" s="4">
        <v>0.0</v>
      </c>
      <c r="E1131" s="2" t="s">
        <v>8</v>
      </c>
      <c r="F1131" s="2" t="s">
        <v>11</v>
      </c>
      <c r="G1131" s="5">
        <v>11658.37915</v>
      </c>
    </row>
    <row r="1132">
      <c r="A1132" s="1">
        <v>56.0</v>
      </c>
      <c r="B1132" s="2" t="s">
        <v>10</v>
      </c>
      <c r="C1132" s="3">
        <v>32.3</v>
      </c>
      <c r="D1132" s="4">
        <v>3.0</v>
      </c>
      <c r="E1132" s="2" t="s">
        <v>8</v>
      </c>
      <c r="F1132" s="2" t="s">
        <v>11</v>
      </c>
      <c r="G1132" s="5">
        <v>13430.265</v>
      </c>
    </row>
    <row r="1133">
      <c r="A1133" s="1">
        <v>56.0</v>
      </c>
      <c r="B1133" s="2" t="s">
        <v>7</v>
      </c>
      <c r="C1133" s="3">
        <v>26.695</v>
      </c>
      <c r="D1133" s="4">
        <v>1.0</v>
      </c>
      <c r="E1133" s="2" t="s">
        <v>12</v>
      </c>
      <c r="F1133" s="2" t="s">
        <v>14</v>
      </c>
      <c r="G1133" s="5">
        <v>26109.32905</v>
      </c>
    </row>
    <row r="1134">
      <c r="A1134" s="1">
        <v>56.0</v>
      </c>
      <c r="B1134" s="2" t="s">
        <v>10</v>
      </c>
      <c r="C1134" s="3">
        <v>25.65</v>
      </c>
      <c r="D1134" s="4">
        <v>0.0</v>
      </c>
      <c r="E1134" s="2" t="s">
        <v>8</v>
      </c>
      <c r="F1134" s="2" t="s">
        <v>14</v>
      </c>
      <c r="G1134" s="5">
        <v>11454.0215</v>
      </c>
    </row>
    <row r="1135">
      <c r="A1135" s="1">
        <v>56.0</v>
      </c>
      <c r="B1135" s="2" t="s">
        <v>7</v>
      </c>
      <c r="C1135" s="3">
        <v>39.6</v>
      </c>
      <c r="D1135" s="4">
        <v>0.0</v>
      </c>
      <c r="E1135" s="2" t="s">
        <v>8</v>
      </c>
      <c r="F1135" s="2" t="s">
        <v>13</v>
      </c>
      <c r="G1135" s="5">
        <v>10601.412</v>
      </c>
    </row>
    <row r="1136">
      <c r="A1136" s="1">
        <v>56.0</v>
      </c>
      <c r="B1136" s="2" t="s">
        <v>7</v>
      </c>
      <c r="C1136" s="3">
        <v>25.935</v>
      </c>
      <c r="D1136" s="4">
        <v>0.0</v>
      </c>
      <c r="E1136" s="2" t="s">
        <v>8</v>
      </c>
      <c r="F1136" s="2" t="s">
        <v>11</v>
      </c>
      <c r="G1136" s="5">
        <v>11165.41765</v>
      </c>
    </row>
    <row r="1137">
      <c r="A1137" s="1">
        <v>56.0</v>
      </c>
      <c r="B1137" s="2" t="s">
        <v>10</v>
      </c>
      <c r="C1137" s="3">
        <v>33.82</v>
      </c>
      <c r="D1137" s="4">
        <v>2.0</v>
      </c>
      <c r="E1137" s="2" t="s">
        <v>8</v>
      </c>
      <c r="F1137" s="2" t="s">
        <v>14</v>
      </c>
      <c r="G1137" s="5">
        <v>12643.3778</v>
      </c>
    </row>
    <row r="1138">
      <c r="A1138" s="1">
        <v>56.0</v>
      </c>
      <c r="B1138" s="2" t="s">
        <v>7</v>
      </c>
      <c r="C1138" s="3">
        <v>32.11</v>
      </c>
      <c r="D1138" s="4">
        <v>1.0</v>
      </c>
      <c r="E1138" s="2" t="s">
        <v>8</v>
      </c>
      <c r="F1138" s="2" t="s">
        <v>11</v>
      </c>
      <c r="G1138" s="5">
        <v>11763.0009</v>
      </c>
    </row>
    <row r="1139">
      <c r="A1139" s="1">
        <v>56.0</v>
      </c>
      <c r="B1139" s="2" t="s">
        <v>10</v>
      </c>
      <c r="C1139" s="3">
        <v>25.3</v>
      </c>
      <c r="D1139" s="4">
        <v>0.0</v>
      </c>
      <c r="E1139" s="2" t="s">
        <v>8</v>
      </c>
      <c r="F1139" s="2" t="s">
        <v>13</v>
      </c>
      <c r="G1139" s="5">
        <v>11070.535</v>
      </c>
    </row>
    <row r="1140">
      <c r="A1140" s="1">
        <v>56.0</v>
      </c>
      <c r="B1140" s="2" t="s">
        <v>10</v>
      </c>
      <c r="C1140" s="3">
        <v>28.595</v>
      </c>
      <c r="D1140" s="4">
        <v>0.0</v>
      </c>
      <c r="E1140" s="2" t="s">
        <v>8</v>
      </c>
      <c r="F1140" s="2" t="s">
        <v>11</v>
      </c>
      <c r="G1140" s="5">
        <v>11658.11505</v>
      </c>
    </row>
    <row r="1141">
      <c r="A1141" s="1">
        <v>56.0</v>
      </c>
      <c r="B1141" s="2" t="s">
        <v>7</v>
      </c>
      <c r="C1141" s="3">
        <v>33.66</v>
      </c>
      <c r="D1141" s="4">
        <v>4.0</v>
      </c>
      <c r="E1141" s="2" t="s">
        <v>8</v>
      </c>
      <c r="F1141" s="2" t="s">
        <v>9</v>
      </c>
      <c r="G1141" s="5">
        <v>12949.1554</v>
      </c>
    </row>
    <row r="1142">
      <c r="A1142" s="1">
        <v>56.0</v>
      </c>
      <c r="B1142" s="2" t="s">
        <v>7</v>
      </c>
      <c r="C1142" s="3">
        <v>36.1</v>
      </c>
      <c r="D1142" s="4">
        <v>3.0</v>
      </c>
      <c r="E1142" s="2" t="s">
        <v>8</v>
      </c>
      <c r="F1142" s="2" t="s">
        <v>13</v>
      </c>
      <c r="G1142" s="5">
        <v>12363.547</v>
      </c>
    </row>
    <row r="1143">
      <c r="A1143" s="1">
        <v>56.0</v>
      </c>
      <c r="B1143" s="2" t="s">
        <v>7</v>
      </c>
      <c r="C1143" s="3">
        <v>33.725</v>
      </c>
      <c r="D1143" s="4">
        <v>0.0</v>
      </c>
      <c r="E1143" s="2" t="s">
        <v>8</v>
      </c>
      <c r="F1143" s="2" t="s">
        <v>14</v>
      </c>
      <c r="G1143" s="5">
        <v>10976.24575</v>
      </c>
    </row>
    <row r="1144">
      <c r="A1144" s="1">
        <v>56.0</v>
      </c>
      <c r="B1144" s="2" t="s">
        <v>7</v>
      </c>
      <c r="C1144" s="3">
        <v>31.79</v>
      </c>
      <c r="D1144" s="4">
        <v>2.0</v>
      </c>
      <c r="E1144" s="2" t="s">
        <v>12</v>
      </c>
      <c r="F1144" s="2" t="s">
        <v>9</v>
      </c>
      <c r="G1144" s="5">
        <v>43813.8661</v>
      </c>
    </row>
    <row r="1145">
      <c r="A1145" s="1">
        <v>56.0</v>
      </c>
      <c r="B1145" s="2" t="s">
        <v>10</v>
      </c>
      <c r="C1145" s="3">
        <v>28.31</v>
      </c>
      <c r="D1145" s="4">
        <v>0.0</v>
      </c>
      <c r="E1145" s="2" t="s">
        <v>8</v>
      </c>
      <c r="F1145" s="2" t="s">
        <v>11</v>
      </c>
      <c r="G1145" s="5">
        <v>11657.7189</v>
      </c>
    </row>
    <row r="1146">
      <c r="A1146" s="1">
        <v>56.0</v>
      </c>
      <c r="B1146" s="2" t="s">
        <v>10</v>
      </c>
      <c r="C1146" s="3">
        <v>35.8</v>
      </c>
      <c r="D1146" s="4">
        <v>1.0</v>
      </c>
      <c r="E1146" s="2" t="s">
        <v>8</v>
      </c>
      <c r="F1146" s="2" t="s">
        <v>13</v>
      </c>
      <c r="G1146" s="5">
        <v>11674.13</v>
      </c>
    </row>
    <row r="1147">
      <c r="A1147" s="1">
        <v>56.0</v>
      </c>
      <c r="B1147" s="2" t="s">
        <v>7</v>
      </c>
      <c r="C1147" s="3">
        <v>22.1</v>
      </c>
      <c r="D1147" s="4">
        <v>0.0</v>
      </c>
      <c r="E1147" s="2" t="s">
        <v>8</v>
      </c>
      <c r="F1147" s="2" t="s">
        <v>13</v>
      </c>
      <c r="G1147" s="5">
        <v>10577.087</v>
      </c>
    </row>
    <row r="1148">
      <c r="A1148" s="1">
        <v>56.0</v>
      </c>
      <c r="B1148" s="2" t="s">
        <v>10</v>
      </c>
      <c r="C1148" s="3">
        <v>41.91</v>
      </c>
      <c r="D1148" s="4">
        <v>0.0</v>
      </c>
      <c r="E1148" s="2" t="s">
        <v>8</v>
      </c>
      <c r="F1148" s="2" t="s">
        <v>9</v>
      </c>
      <c r="G1148" s="5">
        <v>11093.6229</v>
      </c>
    </row>
    <row r="1149">
      <c r="A1149" s="1">
        <v>56.0</v>
      </c>
      <c r="B1149" s="2" t="s">
        <v>7</v>
      </c>
      <c r="C1149" s="3">
        <v>34.43</v>
      </c>
      <c r="D1149" s="4">
        <v>0.0</v>
      </c>
      <c r="E1149" s="2" t="s">
        <v>8</v>
      </c>
      <c r="F1149" s="2" t="s">
        <v>9</v>
      </c>
      <c r="G1149" s="5">
        <v>10594.2257</v>
      </c>
    </row>
    <row r="1150">
      <c r="A1150" s="1">
        <v>57.0</v>
      </c>
      <c r="B1150" s="2" t="s">
        <v>7</v>
      </c>
      <c r="C1150" s="3">
        <v>34.01</v>
      </c>
      <c r="D1150" s="4">
        <v>0.0</v>
      </c>
      <c r="E1150" s="2" t="s">
        <v>8</v>
      </c>
      <c r="F1150" s="2" t="s">
        <v>14</v>
      </c>
      <c r="G1150" s="5">
        <v>11356.6609</v>
      </c>
    </row>
    <row r="1151">
      <c r="A1151" s="1">
        <v>57.0</v>
      </c>
      <c r="B1151" s="2" t="s">
        <v>10</v>
      </c>
      <c r="C1151" s="3">
        <v>31.16</v>
      </c>
      <c r="D1151" s="4">
        <v>0.0</v>
      </c>
      <c r="E1151" s="2" t="s">
        <v>12</v>
      </c>
      <c r="F1151" s="2" t="s">
        <v>14</v>
      </c>
      <c r="G1151" s="5">
        <v>43578.9394</v>
      </c>
    </row>
    <row r="1152">
      <c r="A1152" s="1">
        <v>57.0</v>
      </c>
      <c r="B1152" s="2" t="s">
        <v>10</v>
      </c>
      <c r="C1152" s="3">
        <v>38.0</v>
      </c>
      <c r="D1152" s="4">
        <v>2.0</v>
      </c>
      <c r="E1152" s="2" t="s">
        <v>8</v>
      </c>
      <c r="F1152" s="2" t="s">
        <v>13</v>
      </c>
      <c r="G1152" s="5">
        <v>12646.207</v>
      </c>
    </row>
    <row r="1153">
      <c r="A1153" s="1">
        <v>57.0</v>
      </c>
      <c r="B1153" s="2" t="s">
        <v>7</v>
      </c>
      <c r="C1153" s="3">
        <v>40.945</v>
      </c>
      <c r="D1153" s="4">
        <v>0.0</v>
      </c>
      <c r="E1153" s="2" t="s">
        <v>8</v>
      </c>
      <c r="F1153" s="2" t="s">
        <v>11</v>
      </c>
      <c r="G1153" s="5">
        <v>11566.30055</v>
      </c>
    </row>
    <row r="1154">
      <c r="A1154" s="1">
        <v>57.0</v>
      </c>
      <c r="B1154" s="2" t="s">
        <v>10</v>
      </c>
      <c r="C1154" s="3">
        <v>23.18</v>
      </c>
      <c r="D1154" s="4">
        <v>0.0</v>
      </c>
      <c r="E1154" s="2" t="s">
        <v>8</v>
      </c>
      <c r="F1154" s="2" t="s">
        <v>14</v>
      </c>
      <c r="G1154" s="5">
        <v>11830.6072</v>
      </c>
    </row>
    <row r="1155">
      <c r="A1155" s="1">
        <v>57.0</v>
      </c>
      <c r="B1155" s="2" t="s">
        <v>10</v>
      </c>
      <c r="C1155" s="3">
        <v>22.23</v>
      </c>
      <c r="D1155" s="4">
        <v>0.0</v>
      </c>
      <c r="E1155" s="2" t="s">
        <v>8</v>
      </c>
      <c r="F1155" s="2" t="s">
        <v>11</v>
      </c>
      <c r="G1155" s="5">
        <v>12029.2867</v>
      </c>
    </row>
    <row r="1156">
      <c r="A1156" s="1">
        <v>57.0</v>
      </c>
      <c r="B1156" s="2" t="s">
        <v>10</v>
      </c>
      <c r="C1156" s="3">
        <v>30.495</v>
      </c>
      <c r="D1156" s="4">
        <v>0.0</v>
      </c>
      <c r="E1156" s="2" t="s">
        <v>8</v>
      </c>
      <c r="F1156" s="2" t="s">
        <v>14</v>
      </c>
      <c r="G1156" s="5">
        <v>11840.77505</v>
      </c>
    </row>
    <row r="1157">
      <c r="A1157" s="1">
        <v>57.0</v>
      </c>
      <c r="B1157" s="2" t="s">
        <v>10</v>
      </c>
      <c r="C1157" s="3">
        <v>28.7</v>
      </c>
      <c r="D1157" s="4">
        <v>0.0</v>
      </c>
      <c r="E1157" s="2" t="s">
        <v>8</v>
      </c>
      <c r="F1157" s="2" t="s">
        <v>13</v>
      </c>
      <c r="G1157" s="5">
        <v>11455.28</v>
      </c>
    </row>
    <row r="1158">
      <c r="A1158" s="1">
        <v>57.0</v>
      </c>
      <c r="B1158" s="2" t="s">
        <v>7</v>
      </c>
      <c r="C1158" s="3">
        <v>42.13</v>
      </c>
      <c r="D1158" s="4">
        <v>1.0</v>
      </c>
      <c r="E1158" s="2" t="s">
        <v>12</v>
      </c>
      <c r="F1158" s="2" t="s">
        <v>9</v>
      </c>
      <c r="G1158" s="5">
        <v>48675.5177</v>
      </c>
    </row>
    <row r="1159">
      <c r="A1159" s="1">
        <v>57.0</v>
      </c>
      <c r="B1159" s="2" t="s">
        <v>10</v>
      </c>
      <c r="C1159" s="3">
        <v>34.295</v>
      </c>
      <c r="D1159" s="4">
        <v>2.0</v>
      </c>
      <c r="E1159" s="2" t="s">
        <v>8</v>
      </c>
      <c r="F1159" s="2" t="s">
        <v>11</v>
      </c>
      <c r="G1159" s="5">
        <v>13224.05705</v>
      </c>
    </row>
    <row r="1160">
      <c r="A1160" s="1">
        <v>57.0</v>
      </c>
      <c r="B1160" s="2" t="s">
        <v>10</v>
      </c>
      <c r="C1160" s="3">
        <v>28.785</v>
      </c>
      <c r="D1160" s="4">
        <v>4.0</v>
      </c>
      <c r="E1160" s="2" t="s">
        <v>8</v>
      </c>
      <c r="F1160" s="2" t="s">
        <v>11</v>
      </c>
      <c r="G1160" s="5">
        <v>14394.39815</v>
      </c>
    </row>
    <row r="1161">
      <c r="A1161" s="1">
        <v>57.0</v>
      </c>
      <c r="B1161" s="2" t="s">
        <v>10</v>
      </c>
      <c r="C1161" s="3">
        <v>23.98</v>
      </c>
      <c r="D1161" s="4">
        <v>1.0</v>
      </c>
      <c r="E1161" s="2" t="s">
        <v>8</v>
      </c>
      <c r="F1161" s="2" t="s">
        <v>9</v>
      </c>
      <c r="G1161" s="5">
        <v>22192.43711</v>
      </c>
    </row>
    <row r="1162">
      <c r="A1162" s="1">
        <v>57.0</v>
      </c>
      <c r="B1162" s="2" t="s">
        <v>10</v>
      </c>
      <c r="C1162" s="3">
        <v>31.825</v>
      </c>
      <c r="D1162" s="4">
        <v>0.0</v>
      </c>
      <c r="E1162" s="2" t="s">
        <v>8</v>
      </c>
      <c r="F1162" s="2" t="s">
        <v>14</v>
      </c>
      <c r="G1162" s="5">
        <v>11842.62375</v>
      </c>
    </row>
    <row r="1163">
      <c r="A1163" s="1">
        <v>57.0</v>
      </c>
      <c r="B1163" s="2" t="s">
        <v>10</v>
      </c>
      <c r="C1163" s="3">
        <v>29.81</v>
      </c>
      <c r="D1163" s="4">
        <v>0.0</v>
      </c>
      <c r="E1163" s="2" t="s">
        <v>12</v>
      </c>
      <c r="F1163" s="2" t="s">
        <v>9</v>
      </c>
      <c r="G1163" s="5">
        <v>27533.9129</v>
      </c>
    </row>
    <row r="1164">
      <c r="A1164" s="1">
        <v>57.0</v>
      </c>
      <c r="B1164" s="2" t="s">
        <v>7</v>
      </c>
      <c r="C1164" s="3">
        <v>28.1</v>
      </c>
      <c r="D1164" s="4">
        <v>0.0</v>
      </c>
      <c r="E1164" s="2" t="s">
        <v>8</v>
      </c>
      <c r="F1164" s="2" t="s">
        <v>13</v>
      </c>
      <c r="G1164" s="5">
        <v>10965.446</v>
      </c>
    </row>
    <row r="1165">
      <c r="A1165" s="1">
        <v>57.0</v>
      </c>
      <c r="B1165" s="2" t="s">
        <v>7</v>
      </c>
      <c r="C1165" s="3">
        <v>43.7</v>
      </c>
      <c r="D1165" s="4">
        <v>1.0</v>
      </c>
      <c r="E1165" s="2" t="s">
        <v>8</v>
      </c>
      <c r="F1165" s="2" t="s">
        <v>13</v>
      </c>
      <c r="G1165" s="5">
        <v>11576.13</v>
      </c>
    </row>
    <row r="1166">
      <c r="A1166" s="1">
        <v>57.0</v>
      </c>
      <c r="B1166" s="2" t="s">
        <v>7</v>
      </c>
      <c r="C1166" s="3">
        <v>28.975</v>
      </c>
      <c r="D1166" s="4">
        <v>0.0</v>
      </c>
      <c r="E1166" s="2" t="s">
        <v>12</v>
      </c>
      <c r="F1166" s="2" t="s">
        <v>11</v>
      </c>
      <c r="G1166" s="5">
        <v>27218.43725</v>
      </c>
    </row>
    <row r="1167">
      <c r="A1167" s="1">
        <v>57.0</v>
      </c>
      <c r="B1167" s="2" t="s">
        <v>7</v>
      </c>
      <c r="C1167" s="3">
        <v>33.63</v>
      </c>
      <c r="D1167" s="4">
        <v>1.0</v>
      </c>
      <c r="E1167" s="2" t="s">
        <v>8</v>
      </c>
      <c r="F1167" s="2" t="s">
        <v>14</v>
      </c>
      <c r="G1167" s="5">
        <v>11945.1327</v>
      </c>
    </row>
    <row r="1168">
      <c r="A1168" s="1">
        <v>57.0</v>
      </c>
      <c r="B1168" s="2" t="s">
        <v>10</v>
      </c>
      <c r="C1168" s="3">
        <v>20.1</v>
      </c>
      <c r="D1168" s="4">
        <v>1.0</v>
      </c>
      <c r="E1168" s="2" t="s">
        <v>8</v>
      </c>
      <c r="F1168" s="2" t="s">
        <v>13</v>
      </c>
      <c r="G1168" s="5">
        <v>12032.326</v>
      </c>
    </row>
    <row r="1169">
      <c r="A1169" s="1">
        <v>57.0</v>
      </c>
      <c r="B1169" s="2" t="s">
        <v>7</v>
      </c>
      <c r="C1169" s="3">
        <v>18.335</v>
      </c>
      <c r="D1169" s="4">
        <v>0.0</v>
      </c>
      <c r="E1169" s="2" t="s">
        <v>8</v>
      </c>
      <c r="F1169" s="2" t="s">
        <v>11</v>
      </c>
      <c r="G1169" s="5">
        <v>11534.87265</v>
      </c>
    </row>
    <row r="1170">
      <c r="A1170" s="1">
        <v>57.0</v>
      </c>
      <c r="B1170" s="2" t="s">
        <v>7</v>
      </c>
      <c r="C1170" s="3">
        <v>27.94</v>
      </c>
      <c r="D1170" s="4">
        <v>1.0</v>
      </c>
      <c r="E1170" s="2" t="s">
        <v>8</v>
      </c>
      <c r="F1170" s="2" t="s">
        <v>9</v>
      </c>
      <c r="G1170" s="5">
        <v>11554.2236</v>
      </c>
    </row>
    <row r="1171">
      <c r="A1171" s="1">
        <v>57.0</v>
      </c>
      <c r="B1171" s="2" t="s">
        <v>7</v>
      </c>
      <c r="C1171" s="3">
        <v>31.54</v>
      </c>
      <c r="D1171" s="4">
        <v>0.0</v>
      </c>
      <c r="E1171" s="2" t="s">
        <v>8</v>
      </c>
      <c r="F1171" s="2" t="s">
        <v>14</v>
      </c>
      <c r="G1171" s="5">
        <v>11353.2276</v>
      </c>
    </row>
    <row r="1172">
      <c r="A1172" s="1">
        <v>57.0</v>
      </c>
      <c r="B1172" s="2" t="s">
        <v>7</v>
      </c>
      <c r="C1172" s="3">
        <v>40.28</v>
      </c>
      <c r="D1172" s="4">
        <v>0.0</v>
      </c>
      <c r="E1172" s="2" t="s">
        <v>8</v>
      </c>
      <c r="F1172" s="2" t="s">
        <v>11</v>
      </c>
      <c r="G1172" s="5">
        <v>20709.02034</v>
      </c>
    </row>
    <row r="1173">
      <c r="A1173" s="1">
        <v>57.0</v>
      </c>
      <c r="B1173" s="2" t="s">
        <v>7</v>
      </c>
      <c r="C1173" s="3">
        <v>40.37</v>
      </c>
      <c r="D1173" s="4">
        <v>0.0</v>
      </c>
      <c r="E1173" s="2" t="s">
        <v>8</v>
      </c>
      <c r="F1173" s="2" t="s">
        <v>9</v>
      </c>
      <c r="G1173" s="5">
        <v>10982.5013</v>
      </c>
    </row>
    <row r="1174">
      <c r="A1174" s="1">
        <v>57.0</v>
      </c>
      <c r="B1174" s="2" t="s">
        <v>7</v>
      </c>
      <c r="C1174" s="3">
        <v>23.7</v>
      </c>
      <c r="D1174" s="4">
        <v>0.0</v>
      </c>
      <c r="E1174" s="2" t="s">
        <v>8</v>
      </c>
      <c r="F1174" s="2" t="s">
        <v>13</v>
      </c>
      <c r="G1174" s="5">
        <v>10959.33</v>
      </c>
    </row>
    <row r="1175">
      <c r="A1175" s="1">
        <v>57.0</v>
      </c>
      <c r="B1175" s="2" t="s">
        <v>10</v>
      </c>
      <c r="C1175" s="3">
        <v>25.74</v>
      </c>
      <c r="D1175" s="4">
        <v>2.0</v>
      </c>
      <c r="E1175" s="2" t="s">
        <v>8</v>
      </c>
      <c r="F1175" s="2" t="s">
        <v>9</v>
      </c>
      <c r="G1175" s="5">
        <v>12629.1656</v>
      </c>
    </row>
    <row r="1176">
      <c r="A1176" s="1">
        <v>58.0</v>
      </c>
      <c r="B1176" s="2" t="s">
        <v>7</v>
      </c>
      <c r="C1176" s="3">
        <v>36.955</v>
      </c>
      <c r="D1176" s="4">
        <v>2.0</v>
      </c>
      <c r="E1176" s="2" t="s">
        <v>12</v>
      </c>
      <c r="F1176" s="2" t="s">
        <v>14</v>
      </c>
      <c r="G1176" s="5">
        <v>47496.49445</v>
      </c>
    </row>
    <row r="1177">
      <c r="A1177" s="1">
        <v>58.0</v>
      </c>
      <c r="B1177" s="2" t="s">
        <v>10</v>
      </c>
      <c r="C1177" s="3">
        <v>31.825</v>
      </c>
      <c r="D1177" s="4">
        <v>2.0</v>
      </c>
      <c r="E1177" s="2" t="s">
        <v>8</v>
      </c>
      <c r="F1177" s="2" t="s">
        <v>11</v>
      </c>
      <c r="G1177" s="5">
        <v>13607.36875</v>
      </c>
    </row>
    <row r="1178">
      <c r="A1178" s="1">
        <v>58.0</v>
      </c>
      <c r="B1178" s="2" t="s">
        <v>7</v>
      </c>
      <c r="C1178" s="3">
        <v>32.01</v>
      </c>
      <c r="D1178" s="4">
        <v>1.0</v>
      </c>
      <c r="E1178" s="2" t="s">
        <v>8</v>
      </c>
      <c r="F1178" s="2" t="s">
        <v>9</v>
      </c>
      <c r="G1178" s="5">
        <v>11946.6259</v>
      </c>
    </row>
    <row r="1179">
      <c r="A1179" s="1">
        <v>58.0</v>
      </c>
      <c r="B1179" s="2" t="s">
        <v>7</v>
      </c>
      <c r="C1179" s="3">
        <v>49.06</v>
      </c>
      <c r="D1179" s="4">
        <v>0.0</v>
      </c>
      <c r="E1179" s="2" t="s">
        <v>8</v>
      </c>
      <c r="F1179" s="2" t="s">
        <v>9</v>
      </c>
      <c r="G1179" s="5">
        <v>11381.3254</v>
      </c>
    </row>
    <row r="1180">
      <c r="A1180" s="1">
        <v>58.0</v>
      </c>
      <c r="B1180" s="2" t="s">
        <v>7</v>
      </c>
      <c r="C1180" s="3">
        <v>28.595</v>
      </c>
      <c r="D1180" s="4">
        <v>0.0</v>
      </c>
      <c r="E1180" s="2" t="s">
        <v>8</v>
      </c>
      <c r="F1180" s="2" t="s">
        <v>14</v>
      </c>
      <c r="G1180" s="5">
        <v>11735.87905</v>
      </c>
    </row>
    <row r="1181">
      <c r="A1181" s="1">
        <v>58.0</v>
      </c>
      <c r="B1181" s="2" t="s">
        <v>10</v>
      </c>
      <c r="C1181" s="3">
        <v>41.91</v>
      </c>
      <c r="D1181" s="4">
        <v>0.0</v>
      </c>
      <c r="E1181" s="2" t="s">
        <v>8</v>
      </c>
      <c r="F1181" s="2" t="s">
        <v>9</v>
      </c>
      <c r="G1181" s="5">
        <v>24227.33724</v>
      </c>
    </row>
    <row r="1182">
      <c r="A1182" s="1">
        <v>58.0</v>
      </c>
      <c r="B1182" s="2" t="s">
        <v>10</v>
      </c>
      <c r="C1182" s="3">
        <v>25.2</v>
      </c>
      <c r="D1182" s="4">
        <v>0.0</v>
      </c>
      <c r="E1182" s="2" t="s">
        <v>8</v>
      </c>
      <c r="F1182" s="2" t="s">
        <v>13</v>
      </c>
      <c r="G1182" s="5">
        <v>11837.16</v>
      </c>
    </row>
    <row r="1183">
      <c r="A1183" s="1">
        <v>58.0</v>
      </c>
      <c r="B1183" s="2" t="s">
        <v>7</v>
      </c>
      <c r="C1183" s="3">
        <v>34.865</v>
      </c>
      <c r="D1183" s="4">
        <v>0.0</v>
      </c>
      <c r="E1183" s="2" t="s">
        <v>8</v>
      </c>
      <c r="F1183" s="2" t="s">
        <v>11</v>
      </c>
      <c r="G1183" s="5">
        <v>11944.59435</v>
      </c>
    </row>
    <row r="1184">
      <c r="A1184" s="1">
        <v>58.0</v>
      </c>
      <c r="B1184" s="2" t="s">
        <v>10</v>
      </c>
      <c r="C1184" s="3">
        <v>39.05</v>
      </c>
      <c r="D1184" s="4">
        <v>0.0</v>
      </c>
      <c r="E1184" s="2" t="s">
        <v>8</v>
      </c>
      <c r="F1184" s="2" t="s">
        <v>9</v>
      </c>
      <c r="G1184" s="5">
        <v>11856.4115</v>
      </c>
    </row>
    <row r="1185">
      <c r="A1185" s="1">
        <v>58.0</v>
      </c>
      <c r="B1185" s="2" t="s">
        <v>7</v>
      </c>
      <c r="C1185" s="3">
        <v>35.7</v>
      </c>
      <c r="D1185" s="4">
        <v>0.0</v>
      </c>
      <c r="E1185" s="2" t="s">
        <v>8</v>
      </c>
      <c r="F1185" s="2" t="s">
        <v>13</v>
      </c>
      <c r="G1185" s="5">
        <v>11362.755</v>
      </c>
    </row>
    <row r="1186">
      <c r="A1186" s="1">
        <v>58.0</v>
      </c>
      <c r="B1186" s="2" t="s">
        <v>10</v>
      </c>
      <c r="C1186" s="3">
        <v>27.17</v>
      </c>
      <c r="D1186" s="4">
        <v>0.0</v>
      </c>
      <c r="E1186" s="2" t="s">
        <v>8</v>
      </c>
      <c r="F1186" s="2" t="s">
        <v>14</v>
      </c>
      <c r="G1186" s="5">
        <v>12222.8983</v>
      </c>
    </row>
    <row r="1187">
      <c r="A1187" s="1">
        <v>58.0</v>
      </c>
      <c r="B1187" s="2" t="s">
        <v>10</v>
      </c>
      <c r="C1187" s="3">
        <v>29.0</v>
      </c>
      <c r="D1187" s="4">
        <v>0.0</v>
      </c>
      <c r="E1187" s="2" t="s">
        <v>8</v>
      </c>
      <c r="F1187" s="2" t="s">
        <v>13</v>
      </c>
      <c r="G1187" s="5">
        <v>11842.442</v>
      </c>
    </row>
    <row r="1188">
      <c r="A1188" s="1">
        <v>58.0</v>
      </c>
      <c r="B1188" s="2" t="s">
        <v>7</v>
      </c>
      <c r="C1188" s="3">
        <v>38.0</v>
      </c>
      <c r="D1188" s="4">
        <v>0.0</v>
      </c>
      <c r="E1188" s="2" t="s">
        <v>8</v>
      </c>
      <c r="F1188" s="2" t="s">
        <v>13</v>
      </c>
      <c r="G1188" s="5">
        <v>11365.952</v>
      </c>
    </row>
    <row r="1189">
      <c r="A1189" s="1">
        <v>58.0</v>
      </c>
      <c r="B1189" s="2" t="s">
        <v>10</v>
      </c>
      <c r="C1189" s="3">
        <v>32.965</v>
      </c>
      <c r="D1189" s="4">
        <v>0.0</v>
      </c>
      <c r="E1189" s="2" t="s">
        <v>8</v>
      </c>
      <c r="F1189" s="2" t="s">
        <v>11</v>
      </c>
      <c r="G1189" s="5">
        <v>12430.95335</v>
      </c>
    </row>
    <row r="1190">
      <c r="A1190" s="1">
        <v>58.0</v>
      </c>
      <c r="B1190" s="2" t="s">
        <v>10</v>
      </c>
      <c r="C1190" s="3">
        <v>33.44</v>
      </c>
      <c r="D1190" s="4">
        <v>0.0</v>
      </c>
      <c r="E1190" s="2" t="s">
        <v>8</v>
      </c>
      <c r="F1190" s="2" t="s">
        <v>14</v>
      </c>
      <c r="G1190" s="5">
        <v>12231.6136</v>
      </c>
    </row>
    <row r="1191">
      <c r="A1191" s="1">
        <v>58.0</v>
      </c>
      <c r="B1191" s="2" t="s">
        <v>10</v>
      </c>
      <c r="C1191" s="3">
        <v>22.77</v>
      </c>
      <c r="D1191" s="4">
        <v>0.0</v>
      </c>
      <c r="E1191" s="2" t="s">
        <v>8</v>
      </c>
      <c r="F1191" s="2" t="s">
        <v>9</v>
      </c>
      <c r="G1191" s="5">
        <v>11833.7823</v>
      </c>
    </row>
    <row r="1192">
      <c r="A1192" s="1">
        <v>58.0</v>
      </c>
      <c r="B1192" s="2" t="s">
        <v>10</v>
      </c>
      <c r="C1192" s="3">
        <v>33.1</v>
      </c>
      <c r="D1192" s="4">
        <v>0.0</v>
      </c>
      <c r="E1192" s="2" t="s">
        <v>8</v>
      </c>
      <c r="F1192" s="2" t="s">
        <v>13</v>
      </c>
      <c r="G1192" s="5">
        <v>11848.141</v>
      </c>
    </row>
    <row r="1193">
      <c r="A1193" s="1">
        <v>58.0</v>
      </c>
      <c r="B1193" s="2" t="s">
        <v>7</v>
      </c>
      <c r="C1193" s="3">
        <v>34.39</v>
      </c>
      <c r="D1193" s="4">
        <v>0.0</v>
      </c>
      <c r="E1193" s="2" t="s">
        <v>8</v>
      </c>
      <c r="F1193" s="2" t="s">
        <v>14</v>
      </c>
      <c r="G1193" s="5">
        <v>11743.9341</v>
      </c>
    </row>
    <row r="1194">
      <c r="A1194" s="1">
        <v>58.0</v>
      </c>
      <c r="B1194" s="2" t="s">
        <v>7</v>
      </c>
      <c r="C1194" s="3">
        <v>36.08</v>
      </c>
      <c r="D1194" s="4">
        <v>0.0</v>
      </c>
      <c r="E1194" s="2" t="s">
        <v>8</v>
      </c>
      <c r="F1194" s="2" t="s">
        <v>9</v>
      </c>
      <c r="G1194" s="5">
        <v>11363.2832</v>
      </c>
    </row>
    <row r="1195">
      <c r="A1195" s="1">
        <v>58.0</v>
      </c>
      <c r="B1195" s="2" t="s">
        <v>10</v>
      </c>
      <c r="C1195" s="3">
        <v>36.48</v>
      </c>
      <c r="D1195" s="4">
        <v>0.0</v>
      </c>
      <c r="E1195" s="2" t="s">
        <v>8</v>
      </c>
      <c r="F1195" s="2" t="s">
        <v>14</v>
      </c>
      <c r="G1195" s="5">
        <v>12235.8392</v>
      </c>
    </row>
    <row r="1196">
      <c r="A1196" s="1">
        <v>58.0</v>
      </c>
      <c r="B1196" s="2" t="s">
        <v>10</v>
      </c>
      <c r="C1196" s="3">
        <v>32.395</v>
      </c>
      <c r="D1196" s="4">
        <v>1.0</v>
      </c>
      <c r="E1196" s="2" t="s">
        <v>8</v>
      </c>
      <c r="F1196" s="2" t="s">
        <v>11</v>
      </c>
      <c r="G1196" s="5">
        <v>13019.16105</v>
      </c>
    </row>
    <row r="1197">
      <c r="A1197" s="1">
        <v>58.0</v>
      </c>
      <c r="B1197" s="2" t="s">
        <v>7</v>
      </c>
      <c r="C1197" s="3">
        <v>30.305</v>
      </c>
      <c r="D1197" s="4">
        <v>0.0</v>
      </c>
      <c r="E1197" s="2" t="s">
        <v>8</v>
      </c>
      <c r="F1197" s="2" t="s">
        <v>11</v>
      </c>
      <c r="G1197" s="5">
        <v>11938.25595</v>
      </c>
    </row>
    <row r="1198">
      <c r="A1198" s="1">
        <v>58.0</v>
      </c>
      <c r="B1198" s="2" t="s">
        <v>7</v>
      </c>
      <c r="C1198" s="3">
        <v>23.3</v>
      </c>
      <c r="D1198" s="4">
        <v>0.0</v>
      </c>
      <c r="E1198" s="2" t="s">
        <v>8</v>
      </c>
      <c r="F1198" s="2" t="s">
        <v>13</v>
      </c>
      <c r="G1198" s="5">
        <v>11345.519</v>
      </c>
    </row>
    <row r="1199">
      <c r="A1199" s="1">
        <v>58.0</v>
      </c>
      <c r="B1199" s="2" t="s">
        <v>10</v>
      </c>
      <c r="C1199" s="3">
        <v>28.215</v>
      </c>
      <c r="D1199" s="4">
        <v>0.0</v>
      </c>
      <c r="E1199" s="2" t="s">
        <v>8</v>
      </c>
      <c r="F1199" s="2" t="s">
        <v>14</v>
      </c>
      <c r="G1199" s="5">
        <v>12224.35085</v>
      </c>
    </row>
    <row r="1200">
      <c r="A1200" s="1">
        <v>58.0</v>
      </c>
      <c r="B1200" s="2" t="s">
        <v>7</v>
      </c>
      <c r="C1200" s="3">
        <v>25.175</v>
      </c>
      <c r="D1200" s="4">
        <v>0.0</v>
      </c>
      <c r="E1200" s="2" t="s">
        <v>8</v>
      </c>
      <c r="F1200" s="2" t="s">
        <v>11</v>
      </c>
      <c r="G1200" s="5">
        <v>11931.12525</v>
      </c>
    </row>
    <row r="1201">
      <c r="A1201" s="1">
        <v>59.0</v>
      </c>
      <c r="B1201" s="2" t="s">
        <v>10</v>
      </c>
      <c r="C1201" s="3">
        <v>27.72</v>
      </c>
      <c r="D1201" s="4">
        <v>3.0</v>
      </c>
      <c r="E1201" s="2" t="s">
        <v>8</v>
      </c>
      <c r="F1201" s="2" t="s">
        <v>9</v>
      </c>
      <c r="G1201" s="5">
        <v>14001.1338</v>
      </c>
    </row>
    <row r="1202">
      <c r="A1202" s="1">
        <v>59.0</v>
      </c>
      <c r="B1202" s="2" t="s">
        <v>7</v>
      </c>
      <c r="C1202" s="3">
        <v>29.83</v>
      </c>
      <c r="D1202" s="4">
        <v>3.0</v>
      </c>
      <c r="E1202" s="2" t="s">
        <v>12</v>
      </c>
      <c r="F1202" s="2" t="s">
        <v>11</v>
      </c>
      <c r="G1202" s="5">
        <v>30184.9367</v>
      </c>
    </row>
    <row r="1203">
      <c r="A1203" s="1">
        <v>59.0</v>
      </c>
      <c r="B1203" s="2" t="s">
        <v>10</v>
      </c>
      <c r="C1203" s="3">
        <v>26.505</v>
      </c>
      <c r="D1203" s="4">
        <v>0.0</v>
      </c>
      <c r="E1203" s="2" t="s">
        <v>8</v>
      </c>
      <c r="F1203" s="2" t="s">
        <v>11</v>
      </c>
      <c r="G1203" s="5">
        <v>12815.44495</v>
      </c>
    </row>
    <row r="1204">
      <c r="A1204" s="1">
        <v>59.0</v>
      </c>
      <c r="B1204" s="2" t="s">
        <v>7</v>
      </c>
      <c r="C1204" s="3">
        <v>26.4</v>
      </c>
      <c r="D1204" s="4">
        <v>0.0</v>
      </c>
      <c r="E1204" s="2" t="s">
        <v>8</v>
      </c>
      <c r="F1204" s="2" t="s">
        <v>9</v>
      </c>
      <c r="G1204" s="5">
        <v>11743.299</v>
      </c>
    </row>
    <row r="1205">
      <c r="A1205" s="1">
        <v>59.0</v>
      </c>
      <c r="B1205" s="2" t="s">
        <v>10</v>
      </c>
      <c r="C1205" s="3">
        <v>27.83</v>
      </c>
      <c r="D1205" s="4">
        <v>3.0</v>
      </c>
      <c r="E1205" s="2" t="s">
        <v>8</v>
      </c>
      <c r="F1205" s="2" t="s">
        <v>9</v>
      </c>
      <c r="G1205" s="5">
        <v>14001.2867</v>
      </c>
    </row>
    <row r="1206">
      <c r="A1206" s="1">
        <v>59.0</v>
      </c>
      <c r="B1206" s="2" t="s">
        <v>7</v>
      </c>
      <c r="C1206" s="3">
        <v>27.5</v>
      </c>
      <c r="D1206" s="4">
        <v>1.0</v>
      </c>
      <c r="E1206" s="2" t="s">
        <v>8</v>
      </c>
      <c r="F1206" s="2" t="s">
        <v>13</v>
      </c>
      <c r="G1206" s="5">
        <v>12333.828</v>
      </c>
    </row>
    <row r="1207">
      <c r="A1207" s="1">
        <v>59.0</v>
      </c>
      <c r="B1207" s="2" t="s">
        <v>10</v>
      </c>
      <c r="C1207" s="3">
        <v>32.395</v>
      </c>
      <c r="D1207" s="4">
        <v>3.0</v>
      </c>
      <c r="E1207" s="2" t="s">
        <v>8</v>
      </c>
      <c r="F1207" s="2" t="s">
        <v>11</v>
      </c>
      <c r="G1207" s="5">
        <v>14590.63205</v>
      </c>
    </row>
    <row r="1208">
      <c r="A1208" s="1">
        <v>59.0</v>
      </c>
      <c r="B1208" s="2" t="s">
        <v>7</v>
      </c>
      <c r="C1208" s="3">
        <v>31.79</v>
      </c>
      <c r="D1208" s="4">
        <v>2.0</v>
      </c>
      <c r="E1208" s="2" t="s">
        <v>8</v>
      </c>
      <c r="F1208" s="2" t="s">
        <v>9</v>
      </c>
      <c r="G1208" s="5">
        <v>12928.7911</v>
      </c>
    </row>
    <row r="1209">
      <c r="A1209" s="1">
        <v>59.0</v>
      </c>
      <c r="B1209" s="2" t="s">
        <v>10</v>
      </c>
      <c r="C1209" s="3">
        <v>36.765</v>
      </c>
      <c r="D1209" s="4">
        <v>1.0</v>
      </c>
      <c r="E1209" s="2" t="s">
        <v>12</v>
      </c>
      <c r="F1209" s="2" t="s">
        <v>11</v>
      </c>
      <c r="G1209" s="5">
        <v>47896.79135</v>
      </c>
    </row>
    <row r="1210">
      <c r="A1210" s="1">
        <v>59.0</v>
      </c>
      <c r="B1210" s="2" t="s">
        <v>10</v>
      </c>
      <c r="C1210" s="3">
        <v>36.52</v>
      </c>
      <c r="D1210" s="4">
        <v>1.0</v>
      </c>
      <c r="E1210" s="2" t="s">
        <v>8</v>
      </c>
      <c r="F1210" s="2" t="s">
        <v>9</v>
      </c>
      <c r="G1210" s="5">
        <v>28287.89766</v>
      </c>
    </row>
    <row r="1211">
      <c r="A1211" s="1">
        <v>59.0</v>
      </c>
      <c r="B1211" s="2" t="s">
        <v>7</v>
      </c>
      <c r="C1211" s="3">
        <v>37.4</v>
      </c>
      <c r="D1211" s="4">
        <v>0.0</v>
      </c>
      <c r="E1211" s="2" t="s">
        <v>8</v>
      </c>
      <c r="F1211" s="2" t="s">
        <v>13</v>
      </c>
      <c r="G1211" s="5">
        <v>21797.0004</v>
      </c>
    </row>
    <row r="1212">
      <c r="A1212" s="1">
        <v>59.0</v>
      </c>
      <c r="B1212" s="2" t="s">
        <v>7</v>
      </c>
      <c r="C1212" s="3">
        <v>29.7</v>
      </c>
      <c r="D1212" s="4">
        <v>2.0</v>
      </c>
      <c r="E1212" s="2" t="s">
        <v>8</v>
      </c>
      <c r="F1212" s="2" t="s">
        <v>9</v>
      </c>
      <c r="G1212" s="5">
        <v>12925.886</v>
      </c>
    </row>
    <row r="1213">
      <c r="A1213" s="1">
        <v>59.0</v>
      </c>
      <c r="B1213" s="2" t="s">
        <v>7</v>
      </c>
      <c r="C1213" s="3">
        <v>25.46</v>
      </c>
      <c r="D1213" s="4">
        <v>1.0</v>
      </c>
      <c r="E1213" s="2" t="s">
        <v>8</v>
      </c>
      <c r="F1213" s="2" t="s">
        <v>11</v>
      </c>
      <c r="G1213" s="5">
        <v>12913.9924</v>
      </c>
    </row>
    <row r="1214">
      <c r="A1214" s="1">
        <v>59.0</v>
      </c>
      <c r="B1214" s="2" t="s">
        <v>10</v>
      </c>
      <c r="C1214" s="3">
        <v>23.655</v>
      </c>
      <c r="D1214" s="4">
        <v>0.0</v>
      </c>
      <c r="E1214" s="2" t="s">
        <v>12</v>
      </c>
      <c r="F1214" s="2" t="s">
        <v>14</v>
      </c>
      <c r="G1214" s="5">
        <v>25678.77845</v>
      </c>
    </row>
    <row r="1215">
      <c r="A1215" s="1">
        <v>59.0</v>
      </c>
      <c r="B1215" s="2" t="s">
        <v>7</v>
      </c>
      <c r="C1215" s="3">
        <v>28.785</v>
      </c>
      <c r="D1215" s="4">
        <v>0.0</v>
      </c>
      <c r="E1215" s="2" t="s">
        <v>8</v>
      </c>
      <c r="F1215" s="2" t="s">
        <v>14</v>
      </c>
      <c r="G1215" s="5">
        <v>12129.61415</v>
      </c>
    </row>
    <row r="1216">
      <c r="A1216" s="1">
        <v>59.0</v>
      </c>
      <c r="B1216" s="2" t="s">
        <v>10</v>
      </c>
      <c r="C1216" s="3">
        <v>35.2</v>
      </c>
      <c r="D1216" s="4">
        <v>0.0</v>
      </c>
      <c r="E1216" s="2" t="s">
        <v>8</v>
      </c>
      <c r="F1216" s="2" t="s">
        <v>9</v>
      </c>
      <c r="G1216" s="5">
        <v>12244.531</v>
      </c>
    </row>
    <row r="1217">
      <c r="A1217" s="1">
        <v>59.0</v>
      </c>
      <c r="B1217" s="2" t="s">
        <v>10</v>
      </c>
      <c r="C1217" s="3">
        <v>32.1</v>
      </c>
      <c r="D1217" s="4">
        <v>3.0</v>
      </c>
      <c r="E1217" s="2" t="s">
        <v>8</v>
      </c>
      <c r="F1217" s="2" t="s">
        <v>13</v>
      </c>
      <c r="G1217" s="5">
        <v>14007.222</v>
      </c>
    </row>
    <row r="1218">
      <c r="A1218" s="1">
        <v>59.0</v>
      </c>
      <c r="B1218" s="2" t="s">
        <v>10</v>
      </c>
      <c r="C1218" s="3">
        <v>31.35</v>
      </c>
      <c r="D1218" s="4">
        <v>0.0</v>
      </c>
      <c r="E1218" s="2" t="s">
        <v>8</v>
      </c>
      <c r="F1218" s="2" t="s">
        <v>14</v>
      </c>
      <c r="G1218" s="5">
        <v>12622.1795</v>
      </c>
    </row>
    <row r="1219">
      <c r="A1219" s="1">
        <v>59.0</v>
      </c>
      <c r="B1219" s="2" t="s">
        <v>7</v>
      </c>
      <c r="C1219" s="3">
        <v>24.7</v>
      </c>
      <c r="D1219" s="4">
        <v>0.0</v>
      </c>
      <c r="E1219" s="2" t="s">
        <v>8</v>
      </c>
      <c r="F1219" s="2" t="s">
        <v>11</v>
      </c>
      <c r="G1219" s="5">
        <v>12323.936</v>
      </c>
    </row>
    <row r="1220">
      <c r="A1220" s="1">
        <v>59.0</v>
      </c>
      <c r="B1220" s="2" t="s">
        <v>10</v>
      </c>
      <c r="C1220" s="3">
        <v>26.695</v>
      </c>
      <c r="D1220" s="4">
        <v>3.0</v>
      </c>
      <c r="E1220" s="2" t="s">
        <v>8</v>
      </c>
      <c r="F1220" s="2" t="s">
        <v>14</v>
      </c>
      <c r="G1220" s="5">
        <v>14382.70905</v>
      </c>
    </row>
    <row r="1221">
      <c r="A1221" s="1">
        <v>59.0</v>
      </c>
      <c r="B1221" s="2" t="s">
        <v>10</v>
      </c>
      <c r="C1221" s="3">
        <v>27.5</v>
      </c>
      <c r="D1221" s="4">
        <v>0.0</v>
      </c>
      <c r="E1221" s="2" t="s">
        <v>8</v>
      </c>
      <c r="F1221" s="2" t="s">
        <v>13</v>
      </c>
      <c r="G1221" s="5">
        <v>12233.828</v>
      </c>
    </row>
    <row r="1222">
      <c r="A1222" s="1">
        <v>59.0</v>
      </c>
      <c r="B1222" s="2" t="s">
        <v>7</v>
      </c>
      <c r="C1222" s="3">
        <v>25.46</v>
      </c>
      <c r="D1222" s="4">
        <v>0.0</v>
      </c>
      <c r="E1222" s="2" t="s">
        <v>8</v>
      </c>
      <c r="F1222" s="2" t="s">
        <v>14</v>
      </c>
      <c r="G1222" s="5">
        <v>12124.9924</v>
      </c>
    </row>
    <row r="1223">
      <c r="A1223" s="1">
        <v>59.0</v>
      </c>
      <c r="B1223" s="2" t="s">
        <v>7</v>
      </c>
      <c r="C1223" s="3">
        <v>41.14</v>
      </c>
      <c r="D1223" s="4">
        <v>1.0</v>
      </c>
      <c r="E1223" s="2" t="s">
        <v>12</v>
      </c>
      <c r="F1223" s="2" t="s">
        <v>9</v>
      </c>
      <c r="G1223" s="5">
        <v>48970.2476</v>
      </c>
    </row>
    <row r="1224">
      <c r="A1224" s="1">
        <v>59.0</v>
      </c>
      <c r="B1224" s="2" t="s">
        <v>10</v>
      </c>
      <c r="C1224" s="3">
        <v>34.8</v>
      </c>
      <c r="D1224" s="4">
        <v>2.0</v>
      </c>
      <c r="E1224" s="2" t="s">
        <v>8</v>
      </c>
      <c r="F1224" s="2" t="s">
        <v>13</v>
      </c>
      <c r="G1224" s="5">
        <v>36910.60803</v>
      </c>
    </row>
    <row r="1225">
      <c r="A1225" s="1">
        <v>59.0</v>
      </c>
      <c r="B1225" s="2" t="s">
        <v>7</v>
      </c>
      <c r="C1225" s="3">
        <v>37.1</v>
      </c>
      <c r="D1225" s="4">
        <v>1.0</v>
      </c>
      <c r="E1225" s="2" t="s">
        <v>8</v>
      </c>
      <c r="F1225" s="2" t="s">
        <v>13</v>
      </c>
      <c r="G1225" s="5">
        <v>12347.172</v>
      </c>
    </row>
    <row r="1226">
      <c r="A1226" s="1">
        <v>60.0</v>
      </c>
      <c r="B1226" s="2" t="s">
        <v>10</v>
      </c>
      <c r="C1226" s="3">
        <v>25.84</v>
      </c>
      <c r="D1226" s="4">
        <v>0.0</v>
      </c>
      <c r="E1226" s="2" t="s">
        <v>8</v>
      </c>
      <c r="F1226" s="2" t="s">
        <v>14</v>
      </c>
      <c r="G1226" s="5">
        <v>28923.13692</v>
      </c>
    </row>
    <row r="1227">
      <c r="A1227" s="1">
        <v>60.0</v>
      </c>
      <c r="B1227" s="2" t="s">
        <v>10</v>
      </c>
      <c r="C1227" s="3">
        <v>36.005</v>
      </c>
      <c r="D1227" s="4">
        <v>0.0</v>
      </c>
      <c r="E1227" s="2" t="s">
        <v>8</v>
      </c>
      <c r="F1227" s="2" t="s">
        <v>11</v>
      </c>
      <c r="G1227" s="5">
        <v>13228.84695</v>
      </c>
    </row>
    <row r="1228">
      <c r="A1228" s="1">
        <v>60.0</v>
      </c>
      <c r="B1228" s="2" t="s">
        <v>7</v>
      </c>
      <c r="C1228" s="3">
        <v>39.9</v>
      </c>
      <c r="D1228" s="4">
        <v>0.0</v>
      </c>
      <c r="E1228" s="2" t="s">
        <v>12</v>
      </c>
      <c r="F1228" s="2" t="s">
        <v>13</v>
      </c>
      <c r="G1228" s="5">
        <v>48173.361</v>
      </c>
    </row>
    <row r="1229">
      <c r="A1229" s="1">
        <v>60.0</v>
      </c>
      <c r="B1229" s="2" t="s">
        <v>10</v>
      </c>
      <c r="C1229" s="3">
        <v>24.53</v>
      </c>
      <c r="D1229" s="4">
        <v>0.0</v>
      </c>
      <c r="E1229" s="2" t="s">
        <v>8</v>
      </c>
      <c r="F1229" s="2" t="s">
        <v>9</v>
      </c>
      <c r="G1229" s="5">
        <v>12629.8967</v>
      </c>
    </row>
    <row r="1230">
      <c r="A1230" s="1">
        <v>60.0</v>
      </c>
      <c r="B1230" s="2" t="s">
        <v>7</v>
      </c>
      <c r="C1230" s="3">
        <v>28.595</v>
      </c>
      <c r="D1230" s="4">
        <v>0.0</v>
      </c>
      <c r="E1230" s="2" t="s">
        <v>8</v>
      </c>
      <c r="F1230" s="2" t="s">
        <v>11</v>
      </c>
      <c r="G1230" s="5">
        <v>30259.99556</v>
      </c>
    </row>
    <row r="1231">
      <c r="A1231" s="1">
        <v>60.0</v>
      </c>
      <c r="B1231" s="2" t="s">
        <v>10</v>
      </c>
      <c r="C1231" s="3">
        <v>24.035</v>
      </c>
      <c r="D1231" s="4">
        <v>0.0</v>
      </c>
      <c r="E1231" s="2" t="s">
        <v>8</v>
      </c>
      <c r="F1231" s="2" t="s">
        <v>14</v>
      </c>
      <c r="G1231" s="5">
        <v>13012.20865</v>
      </c>
    </row>
    <row r="1232">
      <c r="A1232" s="1">
        <v>60.0</v>
      </c>
      <c r="B1232" s="2" t="s">
        <v>10</v>
      </c>
      <c r="C1232" s="3">
        <v>38.06</v>
      </c>
      <c r="D1232" s="4">
        <v>0.0</v>
      </c>
      <c r="E1232" s="2" t="s">
        <v>8</v>
      </c>
      <c r="F1232" s="2" t="s">
        <v>9</v>
      </c>
      <c r="G1232" s="5">
        <v>12648.7034</v>
      </c>
    </row>
    <row r="1233">
      <c r="A1233" s="1">
        <v>60.0</v>
      </c>
      <c r="B1233" s="2" t="s">
        <v>7</v>
      </c>
      <c r="C1233" s="3">
        <v>25.74</v>
      </c>
      <c r="D1233" s="4">
        <v>0.0</v>
      </c>
      <c r="E1233" s="2" t="s">
        <v>8</v>
      </c>
      <c r="F1233" s="2" t="s">
        <v>9</v>
      </c>
      <c r="G1233" s="5">
        <v>12142.5786</v>
      </c>
    </row>
    <row r="1234">
      <c r="A1234" s="1">
        <v>60.0</v>
      </c>
      <c r="B1234" s="2" t="s">
        <v>10</v>
      </c>
      <c r="C1234" s="3">
        <v>27.55</v>
      </c>
      <c r="D1234" s="4">
        <v>0.0</v>
      </c>
      <c r="E1234" s="2" t="s">
        <v>8</v>
      </c>
      <c r="F1234" s="2" t="s">
        <v>11</v>
      </c>
      <c r="G1234" s="5">
        <v>13217.0945</v>
      </c>
    </row>
    <row r="1235">
      <c r="A1235" s="1">
        <v>60.0</v>
      </c>
      <c r="B1235" s="2" t="s">
        <v>10</v>
      </c>
      <c r="C1235" s="3">
        <v>30.5</v>
      </c>
      <c r="D1235" s="4">
        <v>0.0</v>
      </c>
      <c r="E1235" s="2" t="s">
        <v>8</v>
      </c>
      <c r="F1235" s="2" t="s">
        <v>13</v>
      </c>
      <c r="G1235" s="5">
        <v>12638.195</v>
      </c>
    </row>
    <row r="1236">
      <c r="A1236" s="1">
        <v>60.0</v>
      </c>
      <c r="B1236" s="2" t="s">
        <v>7</v>
      </c>
      <c r="C1236" s="3">
        <v>33.11</v>
      </c>
      <c r="D1236" s="4">
        <v>3.0</v>
      </c>
      <c r="E1236" s="2" t="s">
        <v>8</v>
      </c>
      <c r="F1236" s="2" t="s">
        <v>9</v>
      </c>
      <c r="G1236" s="5">
        <v>13919.8229</v>
      </c>
    </row>
    <row r="1237">
      <c r="A1237" s="1">
        <v>60.0</v>
      </c>
      <c r="B1237" s="2" t="s">
        <v>7</v>
      </c>
      <c r="C1237" s="3">
        <v>29.64</v>
      </c>
      <c r="D1237" s="4">
        <v>0.0</v>
      </c>
      <c r="E1237" s="2" t="s">
        <v>8</v>
      </c>
      <c r="F1237" s="2" t="s">
        <v>11</v>
      </c>
      <c r="G1237" s="5">
        <v>12730.9996</v>
      </c>
    </row>
    <row r="1238">
      <c r="A1238" s="1">
        <v>60.0</v>
      </c>
      <c r="B1238" s="2" t="s">
        <v>10</v>
      </c>
      <c r="C1238" s="3">
        <v>28.7</v>
      </c>
      <c r="D1238" s="4">
        <v>1.0</v>
      </c>
      <c r="E1238" s="2" t="s">
        <v>8</v>
      </c>
      <c r="F1238" s="2" t="s">
        <v>13</v>
      </c>
      <c r="G1238" s="5">
        <v>13224.693</v>
      </c>
    </row>
    <row r="1239">
      <c r="A1239" s="1">
        <v>60.0</v>
      </c>
      <c r="B1239" s="2" t="s">
        <v>7</v>
      </c>
      <c r="C1239" s="3">
        <v>31.35</v>
      </c>
      <c r="D1239" s="4">
        <v>3.0</v>
      </c>
      <c r="E1239" s="2" t="s">
        <v>12</v>
      </c>
      <c r="F1239" s="2" t="s">
        <v>14</v>
      </c>
      <c r="G1239" s="5">
        <v>46130.5265</v>
      </c>
    </row>
    <row r="1240">
      <c r="A1240" s="1">
        <v>60.0</v>
      </c>
      <c r="B1240" s="2" t="s">
        <v>7</v>
      </c>
      <c r="C1240" s="3">
        <v>28.9</v>
      </c>
      <c r="D1240" s="4">
        <v>0.0</v>
      </c>
      <c r="E1240" s="2" t="s">
        <v>8</v>
      </c>
      <c r="F1240" s="2" t="s">
        <v>13</v>
      </c>
      <c r="G1240" s="5">
        <v>12146.971</v>
      </c>
    </row>
    <row r="1241">
      <c r="A1241" s="1">
        <v>60.0</v>
      </c>
      <c r="B1241" s="2" t="s">
        <v>7</v>
      </c>
      <c r="C1241" s="3">
        <v>24.32</v>
      </c>
      <c r="D1241" s="4">
        <v>1.0</v>
      </c>
      <c r="E1241" s="2" t="s">
        <v>8</v>
      </c>
      <c r="F1241" s="2" t="s">
        <v>14</v>
      </c>
      <c r="G1241" s="5">
        <v>13112.6048</v>
      </c>
    </row>
    <row r="1242">
      <c r="A1242" s="1">
        <v>60.0</v>
      </c>
      <c r="B1242" s="2" t="s">
        <v>7</v>
      </c>
      <c r="C1242" s="3">
        <v>36.955</v>
      </c>
      <c r="D1242" s="4">
        <v>0.0</v>
      </c>
      <c r="E1242" s="2" t="s">
        <v>8</v>
      </c>
      <c r="F1242" s="2" t="s">
        <v>11</v>
      </c>
      <c r="G1242" s="5">
        <v>12741.16745</v>
      </c>
    </row>
    <row r="1243">
      <c r="A1243" s="1">
        <v>60.0</v>
      </c>
      <c r="B1243" s="2" t="s">
        <v>7</v>
      </c>
      <c r="C1243" s="3">
        <v>24.32</v>
      </c>
      <c r="D1243" s="4">
        <v>0.0</v>
      </c>
      <c r="E1243" s="2" t="s">
        <v>8</v>
      </c>
      <c r="F1243" s="2" t="s">
        <v>14</v>
      </c>
      <c r="G1243" s="5">
        <v>12523.6048</v>
      </c>
    </row>
    <row r="1244">
      <c r="A1244" s="1">
        <v>60.0</v>
      </c>
      <c r="B1244" s="2" t="s">
        <v>10</v>
      </c>
      <c r="C1244" s="3">
        <v>32.45</v>
      </c>
      <c r="D1244" s="4">
        <v>0.0</v>
      </c>
      <c r="E1244" s="2" t="s">
        <v>12</v>
      </c>
      <c r="F1244" s="2" t="s">
        <v>9</v>
      </c>
      <c r="G1244" s="5">
        <v>45008.9555</v>
      </c>
    </row>
    <row r="1245">
      <c r="A1245" s="1">
        <v>60.0</v>
      </c>
      <c r="B1245" s="2" t="s">
        <v>7</v>
      </c>
      <c r="C1245" s="3">
        <v>40.92</v>
      </c>
      <c r="D1245" s="4">
        <v>0.0</v>
      </c>
      <c r="E1245" s="2" t="s">
        <v>12</v>
      </c>
      <c r="F1245" s="2" t="s">
        <v>9</v>
      </c>
      <c r="G1245" s="5">
        <v>48673.5588</v>
      </c>
    </row>
    <row r="1246">
      <c r="A1246" s="1">
        <v>60.0</v>
      </c>
      <c r="B1246" s="2" t="s">
        <v>10</v>
      </c>
      <c r="C1246" s="3">
        <v>35.1</v>
      </c>
      <c r="D1246" s="4">
        <v>0.0</v>
      </c>
      <c r="E1246" s="2" t="s">
        <v>8</v>
      </c>
      <c r="F1246" s="2" t="s">
        <v>13</v>
      </c>
      <c r="G1246" s="5">
        <v>12644.589</v>
      </c>
    </row>
    <row r="1247">
      <c r="A1247" s="1">
        <v>60.0</v>
      </c>
      <c r="B1247" s="2" t="s">
        <v>10</v>
      </c>
      <c r="C1247" s="3">
        <v>18.335</v>
      </c>
      <c r="D1247" s="4">
        <v>0.0</v>
      </c>
      <c r="E1247" s="2" t="s">
        <v>8</v>
      </c>
      <c r="F1247" s="2" t="s">
        <v>11</v>
      </c>
      <c r="G1247" s="5">
        <v>13204.28565</v>
      </c>
    </row>
    <row r="1248">
      <c r="A1248" s="1">
        <v>60.0</v>
      </c>
      <c r="B1248" s="2" t="s">
        <v>7</v>
      </c>
      <c r="C1248" s="3">
        <v>32.8</v>
      </c>
      <c r="D1248" s="4">
        <v>0.0</v>
      </c>
      <c r="E1248" s="2" t="s">
        <v>12</v>
      </c>
      <c r="F1248" s="2" t="s">
        <v>13</v>
      </c>
      <c r="G1248" s="5">
        <v>52590.82939</v>
      </c>
    </row>
    <row r="1249">
      <c r="A1249" s="1">
        <v>61.0</v>
      </c>
      <c r="B1249" s="2" t="s">
        <v>10</v>
      </c>
      <c r="C1249" s="3">
        <v>39.1</v>
      </c>
      <c r="D1249" s="4">
        <v>2.0</v>
      </c>
      <c r="E1249" s="2" t="s">
        <v>8</v>
      </c>
      <c r="F1249" s="2" t="s">
        <v>13</v>
      </c>
      <c r="G1249" s="5">
        <v>14235.072</v>
      </c>
    </row>
    <row r="1250">
      <c r="A1250" s="1">
        <v>61.0</v>
      </c>
      <c r="B1250" s="2" t="s">
        <v>10</v>
      </c>
      <c r="C1250" s="3">
        <v>29.92</v>
      </c>
      <c r="D1250" s="4">
        <v>3.0</v>
      </c>
      <c r="E1250" s="2" t="s">
        <v>12</v>
      </c>
      <c r="F1250" s="2" t="s">
        <v>9</v>
      </c>
      <c r="G1250" s="5">
        <v>30942.1918</v>
      </c>
    </row>
    <row r="1251">
      <c r="A1251" s="1">
        <v>61.0</v>
      </c>
      <c r="B1251" s="2" t="s">
        <v>10</v>
      </c>
      <c r="C1251" s="3">
        <v>22.04</v>
      </c>
      <c r="D1251" s="4">
        <v>0.0</v>
      </c>
      <c r="E1251" s="2" t="s">
        <v>8</v>
      </c>
      <c r="F1251" s="2" t="s">
        <v>11</v>
      </c>
      <c r="G1251" s="5">
        <v>13616.3586</v>
      </c>
    </row>
    <row r="1252">
      <c r="A1252" s="1">
        <v>61.0</v>
      </c>
      <c r="B1252" s="2" t="s">
        <v>7</v>
      </c>
      <c r="C1252" s="3">
        <v>31.57</v>
      </c>
      <c r="D1252" s="4">
        <v>0.0</v>
      </c>
      <c r="E1252" s="2" t="s">
        <v>8</v>
      </c>
      <c r="F1252" s="2" t="s">
        <v>9</v>
      </c>
      <c r="G1252" s="5">
        <v>12557.6053</v>
      </c>
    </row>
    <row r="1253">
      <c r="A1253" s="1">
        <v>61.0</v>
      </c>
      <c r="B1253" s="2" t="s">
        <v>10</v>
      </c>
      <c r="C1253" s="3">
        <v>36.385</v>
      </c>
      <c r="D1253" s="4">
        <v>1.0</v>
      </c>
      <c r="E1253" s="2" t="s">
        <v>12</v>
      </c>
      <c r="F1253" s="2" t="s">
        <v>11</v>
      </c>
      <c r="G1253" s="5">
        <v>48517.56315</v>
      </c>
    </row>
    <row r="1254">
      <c r="A1254" s="1">
        <v>61.0</v>
      </c>
      <c r="B1254" s="2" t="s">
        <v>10</v>
      </c>
      <c r="C1254" s="3">
        <v>31.16</v>
      </c>
      <c r="D1254" s="4">
        <v>0.0</v>
      </c>
      <c r="E1254" s="2" t="s">
        <v>8</v>
      </c>
      <c r="F1254" s="2" t="s">
        <v>14</v>
      </c>
      <c r="G1254" s="5">
        <v>13429.0354</v>
      </c>
    </row>
    <row r="1255">
      <c r="A1255" s="1">
        <v>61.0</v>
      </c>
      <c r="B1255" s="2" t="s">
        <v>10</v>
      </c>
      <c r="C1255" s="3">
        <v>21.09</v>
      </c>
      <c r="D1255" s="4">
        <v>0.0</v>
      </c>
      <c r="E1255" s="2" t="s">
        <v>8</v>
      </c>
      <c r="F1255" s="2" t="s">
        <v>14</v>
      </c>
      <c r="G1255" s="5">
        <v>13415.0381</v>
      </c>
    </row>
    <row r="1256">
      <c r="A1256" s="1">
        <v>61.0</v>
      </c>
      <c r="B1256" s="2" t="s">
        <v>7</v>
      </c>
      <c r="C1256" s="3">
        <v>35.86</v>
      </c>
      <c r="D1256" s="4">
        <v>0.0</v>
      </c>
      <c r="E1256" s="2" t="s">
        <v>12</v>
      </c>
      <c r="F1256" s="2" t="s">
        <v>9</v>
      </c>
      <c r="G1256" s="5">
        <v>46599.1084</v>
      </c>
    </row>
    <row r="1257">
      <c r="A1257" s="1">
        <v>61.0</v>
      </c>
      <c r="B1257" s="2" t="s">
        <v>7</v>
      </c>
      <c r="C1257" s="3">
        <v>28.31</v>
      </c>
      <c r="D1257" s="4">
        <v>1.0</v>
      </c>
      <c r="E1257" s="2" t="s">
        <v>12</v>
      </c>
      <c r="F1257" s="2" t="s">
        <v>14</v>
      </c>
      <c r="G1257" s="5">
        <v>28868.6639</v>
      </c>
    </row>
    <row r="1258">
      <c r="A1258" s="1">
        <v>61.0</v>
      </c>
      <c r="B1258" s="2" t="s">
        <v>10</v>
      </c>
      <c r="C1258" s="3">
        <v>25.08</v>
      </c>
      <c r="D1258" s="4">
        <v>0.0</v>
      </c>
      <c r="E1258" s="2" t="s">
        <v>8</v>
      </c>
      <c r="F1258" s="2" t="s">
        <v>9</v>
      </c>
      <c r="G1258" s="5">
        <v>24513.09126</v>
      </c>
    </row>
    <row r="1259">
      <c r="A1259" s="1">
        <v>61.0</v>
      </c>
      <c r="B1259" s="2" t="s">
        <v>7</v>
      </c>
      <c r="C1259" s="3">
        <v>43.4</v>
      </c>
      <c r="D1259" s="4">
        <v>0.0</v>
      </c>
      <c r="E1259" s="2" t="s">
        <v>8</v>
      </c>
      <c r="F1259" s="2" t="s">
        <v>13</v>
      </c>
      <c r="G1259" s="5">
        <v>12574.049</v>
      </c>
    </row>
    <row r="1260">
      <c r="A1260" s="1">
        <v>61.0</v>
      </c>
      <c r="B1260" s="2" t="s">
        <v>10</v>
      </c>
      <c r="C1260" s="3">
        <v>35.91</v>
      </c>
      <c r="D1260" s="4">
        <v>0.0</v>
      </c>
      <c r="E1260" s="2" t="s">
        <v>8</v>
      </c>
      <c r="F1260" s="2" t="s">
        <v>11</v>
      </c>
      <c r="G1260" s="5">
        <v>13635.6379</v>
      </c>
    </row>
    <row r="1261">
      <c r="A1261" s="1">
        <v>61.0</v>
      </c>
      <c r="B1261" s="2" t="s">
        <v>7</v>
      </c>
      <c r="C1261" s="3">
        <v>33.915</v>
      </c>
      <c r="D1261" s="4">
        <v>0.0</v>
      </c>
      <c r="E1261" s="2" t="s">
        <v>8</v>
      </c>
      <c r="F1261" s="2" t="s">
        <v>11</v>
      </c>
      <c r="G1261" s="5">
        <v>13143.86485</v>
      </c>
    </row>
    <row r="1262">
      <c r="A1262" s="1">
        <v>61.0</v>
      </c>
      <c r="B1262" s="2" t="s">
        <v>7</v>
      </c>
      <c r="C1262" s="3">
        <v>36.1</v>
      </c>
      <c r="D1262" s="4">
        <v>3.0</v>
      </c>
      <c r="E1262" s="2" t="s">
        <v>8</v>
      </c>
      <c r="F1262" s="2" t="s">
        <v>13</v>
      </c>
      <c r="G1262" s="5">
        <v>27941.28758</v>
      </c>
    </row>
    <row r="1263">
      <c r="A1263" s="1">
        <v>61.0</v>
      </c>
      <c r="B1263" s="2" t="s">
        <v>7</v>
      </c>
      <c r="C1263" s="3">
        <v>32.3</v>
      </c>
      <c r="D1263" s="4">
        <v>2.0</v>
      </c>
      <c r="E1263" s="2" t="s">
        <v>8</v>
      </c>
      <c r="F1263" s="2" t="s">
        <v>14</v>
      </c>
      <c r="G1263" s="5">
        <v>14119.62</v>
      </c>
    </row>
    <row r="1264">
      <c r="A1264" s="1">
        <v>61.0</v>
      </c>
      <c r="B1264" s="2" t="s">
        <v>7</v>
      </c>
      <c r="C1264" s="3">
        <v>23.655</v>
      </c>
      <c r="D1264" s="4">
        <v>0.0</v>
      </c>
      <c r="E1264" s="2" t="s">
        <v>8</v>
      </c>
      <c r="F1264" s="2" t="s">
        <v>11</v>
      </c>
      <c r="G1264" s="5">
        <v>13129.60345</v>
      </c>
    </row>
    <row r="1265">
      <c r="A1265" s="1">
        <v>61.0</v>
      </c>
      <c r="B1265" s="2" t="s">
        <v>10</v>
      </c>
      <c r="C1265" s="3">
        <v>44.0</v>
      </c>
      <c r="D1265" s="4">
        <v>0.0</v>
      </c>
      <c r="E1265" s="2" t="s">
        <v>8</v>
      </c>
      <c r="F1265" s="2" t="s">
        <v>13</v>
      </c>
      <c r="G1265" s="5">
        <v>13063.883</v>
      </c>
    </row>
    <row r="1266">
      <c r="A1266" s="1">
        <v>61.0</v>
      </c>
      <c r="B1266" s="2" t="s">
        <v>10</v>
      </c>
      <c r="C1266" s="3">
        <v>28.2</v>
      </c>
      <c r="D1266" s="4">
        <v>0.0</v>
      </c>
      <c r="E1266" s="2" t="s">
        <v>8</v>
      </c>
      <c r="F1266" s="2" t="s">
        <v>13</v>
      </c>
      <c r="G1266" s="5">
        <v>13041.921</v>
      </c>
    </row>
    <row r="1267">
      <c r="A1267" s="1">
        <v>61.0</v>
      </c>
      <c r="B1267" s="2" t="s">
        <v>10</v>
      </c>
      <c r="C1267" s="3">
        <v>33.33</v>
      </c>
      <c r="D1267" s="4">
        <v>4.0</v>
      </c>
      <c r="E1267" s="2" t="s">
        <v>8</v>
      </c>
      <c r="F1267" s="2" t="s">
        <v>9</v>
      </c>
      <c r="G1267" s="5">
        <v>36580.28216</v>
      </c>
    </row>
    <row r="1268">
      <c r="A1268" s="1">
        <v>61.0</v>
      </c>
      <c r="B1268" s="2" t="s">
        <v>7</v>
      </c>
      <c r="C1268" s="3">
        <v>38.38</v>
      </c>
      <c r="D1268" s="4">
        <v>0.0</v>
      </c>
      <c r="E1268" s="2" t="s">
        <v>8</v>
      </c>
      <c r="F1268" s="2" t="s">
        <v>14</v>
      </c>
      <c r="G1268" s="5">
        <v>12950.0712</v>
      </c>
    </row>
    <row r="1269">
      <c r="A1269" s="1">
        <v>61.0</v>
      </c>
      <c r="B1269" s="2" t="s">
        <v>7</v>
      </c>
      <c r="C1269" s="3">
        <v>36.3</v>
      </c>
      <c r="D1269" s="4">
        <v>1.0</v>
      </c>
      <c r="E1269" s="2" t="s">
        <v>12</v>
      </c>
      <c r="F1269" s="2" t="s">
        <v>13</v>
      </c>
      <c r="G1269" s="5">
        <v>47403.88</v>
      </c>
    </row>
    <row r="1270">
      <c r="A1270" s="1">
        <v>61.0</v>
      </c>
      <c r="B1270" s="2" t="s">
        <v>7</v>
      </c>
      <c r="C1270" s="3">
        <v>33.535</v>
      </c>
      <c r="D1270" s="4">
        <v>0.0</v>
      </c>
      <c r="E1270" s="2" t="s">
        <v>8</v>
      </c>
      <c r="F1270" s="2" t="s">
        <v>11</v>
      </c>
      <c r="G1270" s="5">
        <v>13143.33665</v>
      </c>
    </row>
    <row r="1271">
      <c r="A1271" s="1">
        <v>61.0</v>
      </c>
      <c r="B1271" s="2" t="s">
        <v>10</v>
      </c>
      <c r="C1271" s="3">
        <v>29.07</v>
      </c>
      <c r="D1271" s="4">
        <v>0.0</v>
      </c>
      <c r="E1271" s="2" t="s">
        <v>12</v>
      </c>
      <c r="F1271" s="2" t="s">
        <v>14</v>
      </c>
      <c r="G1271" s="5">
        <v>29141.3603</v>
      </c>
    </row>
    <row r="1272">
      <c r="A1272" s="1">
        <v>62.0</v>
      </c>
      <c r="B1272" s="2" t="s">
        <v>10</v>
      </c>
      <c r="C1272" s="3">
        <v>26.29</v>
      </c>
      <c r="D1272" s="4">
        <v>0.0</v>
      </c>
      <c r="E1272" s="2" t="s">
        <v>12</v>
      </c>
      <c r="F1272" s="2" t="s">
        <v>9</v>
      </c>
      <c r="G1272" s="5">
        <v>27808.7251</v>
      </c>
    </row>
    <row r="1273">
      <c r="A1273" s="1">
        <v>62.0</v>
      </c>
      <c r="B1273" s="2" t="s">
        <v>10</v>
      </c>
      <c r="C1273" s="3">
        <v>32.965</v>
      </c>
      <c r="D1273" s="4">
        <v>3.0</v>
      </c>
      <c r="E1273" s="2" t="s">
        <v>8</v>
      </c>
      <c r="F1273" s="2" t="s">
        <v>14</v>
      </c>
      <c r="G1273" s="5">
        <v>15612.19335</v>
      </c>
    </row>
    <row r="1274">
      <c r="A1274" s="1">
        <v>62.0</v>
      </c>
      <c r="B1274" s="2" t="s">
        <v>7</v>
      </c>
      <c r="C1274" s="3">
        <v>27.55</v>
      </c>
      <c r="D1274" s="4">
        <v>1.0</v>
      </c>
      <c r="E1274" s="2" t="s">
        <v>8</v>
      </c>
      <c r="F1274" s="2" t="s">
        <v>14</v>
      </c>
      <c r="G1274" s="5">
        <v>13937.6665</v>
      </c>
    </row>
    <row r="1275">
      <c r="A1275" s="1">
        <v>62.0</v>
      </c>
      <c r="B1275" s="2" t="s">
        <v>7</v>
      </c>
      <c r="C1275" s="3">
        <v>30.02</v>
      </c>
      <c r="D1275" s="4">
        <v>0.0</v>
      </c>
      <c r="E1275" s="2" t="s">
        <v>8</v>
      </c>
      <c r="F1275" s="2" t="s">
        <v>14</v>
      </c>
      <c r="G1275" s="5">
        <v>13352.0998</v>
      </c>
    </row>
    <row r="1276">
      <c r="A1276" s="1">
        <v>62.0</v>
      </c>
      <c r="B1276" s="2" t="s">
        <v>7</v>
      </c>
      <c r="C1276" s="3">
        <v>31.46</v>
      </c>
      <c r="D1276" s="4">
        <v>1.0</v>
      </c>
      <c r="E1276" s="2" t="s">
        <v>8</v>
      </c>
      <c r="F1276" s="2" t="s">
        <v>9</v>
      </c>
      <c r="G1276" s="5">
        <v>27000.98473</v>
      </c>
    </row>
    <row r="1277">
      <c r="A1277" s="1">
        <v>62.0</v>
      </c>
      <c r="B1277" s="2" t="s">
        <v>10</v>
      </c>
      <c r="C1277" s="3">
        <v>38.095</v>
      </c>
      <c r="D1277" s="4">
        <v>2.0</v>
      </c>
      <c r="E1277" s="2" t="s">
        <v>8</v>
      </c>
      <c r="F1277" s="2" t="s">
        <v>11</v>
      </c>
      <c r="G1277" s="5">
        <v>15230.32405</v>
      </c>
    </row>
    <row r="1278">
      <c r="A1278" s="1">
        <v>62.0</v>
      </c>
      <c r="B1278" s="2" t="s">
        <v>10</v>
      </c>
      <c r="C1278" s="3">
        <v>39.2</v>
      </c>
      <c r="D1278" s="4">
        <v>0.0</v>
      </c>
      <c r="E1278" s="2" t="s">
        <v>8</v>
      </c>
      <c r="F1278" s="2" t="s">
        <v>13</v>
      </c>
      <c r="G1278" s="5">
        <v>13470.86</v>
      </c>
    </row>
    <row r="1279">
      <c r="A1279" s="1">
        <v>62.0</v>
      </c>
      <c r="B1279" s="2" t="s">
        <v>10</v>
      </c>
      <c r="C1279" s="3">
        <v>31.73</v>
      </c>
      <c r="D1279" s="4">
        <v>0.0</v>
      </c>
      <c r="E1279" s="2" t="s">
        <v>8</v>
      </c>
      <c r="F1279" s="2" t="s">
        <v>11</v>
      </c>
      <c r="G1279" s="5">
        <v>14043.4767</v>
      </c>
    </row>
    <row r="1280">
      <c r="A1280" s="1">
        <v>62.0</v>
      </c>
      <c r="B1280" s="2" t="s">
        <v>7</v>
      </c>
      <c r="C1280" s="3">
        <v>21.4</v>
      </c>
      <c r="D1280" s="4">
        <v>0.0</v>
      </c>
      <c r="E1280" s="2" t="s">
        <v>8</v>
      </c>
      <c r="F1280" s="2" t="s">
        <v>13</v>
      </c>
      <c r="G1280" s="5">
        <v>12957.118</v>
      </c>
    </row>
    <row r="1281">
      <c r="A1281" s="1">
        <v>62.0</v>
      </c>
      <c r="B1281" s="2" t="s">
        <v>10</v>
      </c>
      <c r="C1281" s="3">
        <v>36.86</v>
      </c>
      <c r="D1281" s="4">
        <v>1.0</v>
      </c>
      <c r="E1281" s="2" t="s">
        <v>8</v>
      </c>
      <c r="F1281" s="2" t="s">
        <v>11</v>
      </c>
      <c r="G1281" s="5">
        <v>31620.00106</v>
      </c>
    </row>
    <row r="1282">
      <c r="A1282" s="1">
        <v>62.0</v>
      </c>
      <c r="B1282" s="2" t="s">
        <v>7</v>
      </c>
      <c r="C1282" s="3">
        <v>32.015</v>
      </c>
      <c r="D1282" s="4">
        <v>0.0</v>
      </c>
      <c r="E1282" s="2" t="s">
        <v>12</v>
      </c>
      <c r="F1282" s="2" t="s">
        <v>11</v>
      </c>
      <c r="G1282" s="5">
        <v>45710.20785</v>
      </c>
    </row>
    <row r="1283">
      <c r="A1283" s="1">
        <v>62.0</v>
      </c>
      <c r="B1283" s="2" t="s">
        <v>7</v>
      </c>
      <c r="C1283" s="3">
        <v>37.4</v>
      </c>
      <c r="D1283" s="4">
        <v>0.0</v>
      </c>
      <c r="E1283" s="2" t="s">
        <v>8</v>
      </c>
      <c r="F1283" s="2" t="s">
        <v>13</v>
      </c>
      <c r="G1283" s="5">
        <v>12979.358</v>
      </c>
    </row>
    <row r="1284">
      <c r="A1284" s="1">
        <v>62.0</v>
      </c>
      <c r="B1284" s="2" t="s">
        <v>10</v>
      </c>
      <c r="C1284" s="3">
        <v>29.92</v>
      </c>
      <c r="D1284" s="4">
        <v>0.0</v>
      </c>
      <c r="E1284" s="2" t="s">
        <v>8</v>
      </c>
      <c r="F1284" s="2" t="s">
        <v>9</v>
      </c>
      <c r="G1284" s="5">
        <v>13457.9608</v>
      </c>
    </row>
    <row r="1285">
      <c r="A1285" s="1">
        <v>62.0</v>
      </c>
      <c r="B1285" s="2" t="s">
        <v>7</v>
      </c>
      <c r="C1285" s="3">
        <v>32.11</v>
      </c>
      <c r="D1285" s="4">
        <v>0.0</v>
      </c>
      <c r="E1285" s="2" t="s">
        <v>8</v>
      </c>
      <c r="F1285" s="2" t="s">
        <v>11</v>
      </c>
      <c r="G1285" s="5">
        <v>13555.0049</v>
      </c>
    </row>
    <row r="1286">
      <c r="A1286" s="1">
        <v>62.0</v>
      </c>
      <c r="B1286" s="2" t="s">
        <v>10</v>
      </c>
      <c r="C1286" s="3">
        <v>25.0</v>
      </c>
      <c r="D1286" s="4">
        <v>0.0</v>
      </c>
      <c r="E1286" s="2" t="s">
        <v>8</v>
      </c>
      <c r="F1286" s="2" t="s">
        <v>13</v>
      </c>
      <c r="G1286" s="5">
        <v>13451.122</v>
      </c>
    </row>
    <row r="1287">
      <c r="A1287" s="1">
        <v>62.0</v>
      </c>
      <c r="B1287" s="2" t="s">
        <v>10</v>
      </c>
      <c r="C1287" s="3">
        <v>33.2</v>
      </c>
      <c r="D1287" s="4">
        <v>0.0</v>
      </c>
      <c r="E1287" s="2" t="s">
        <v>8</v>
      </c>
      <c r="F1287" s="2" t="s">
        <v>13</v>
      </c>
      <c r="G1287" s="5">
        <v>13462.52</v>
      </c>
    </row>
    <row r="1288">
      <c r="A1288" s="1">
        <v>62.0</v>
      </c>
      <c r="B1288" s="2" t="s">
        <v>10</v>
      </c>
      <c r="C1288" s="3">
        <v>39.16</v>
      </c>
      <c r="D1288" s="4">
        <v>0.0</v>
      </c>
      <c r="E1288" s="2" t="s">
        <v>8</v>
      </c>
      <c r="F1288" s="2" t="s">
        <v>9</v>
      </c>
      <c r="G1288" s="5">
        <v>13470.8044</v>
      </c>
    </row>
    <row r="1289">
      <c r="A1289" s="1">
        <v>62.0</v>
      </c>
      <c r="B1289" s="2" t="s">
        <v>7</v>
      </c>
      <c r="C1289" s="3">
        <v>39.93</v>
      </c>
      <c r="D1289" s="4">
        <v>0.0</v>
      </c>
      <c r="E1289" s="2" t="s">
        <v>8</v>
      </c>
      <c r="F1289" s="2" t="s">
        <v>9</v>
      </c>
      <c r="G1289" s="5">
        <v>12982.8747</v>
      </c>
    </row>
    <row r="1290">
      <c r="A1290" s="1">
        <v>62.0</v>
      </c>
      <c r="B1290" s="2" t="s">
        <v>10</v>
      </c>
      <c r="C1290" s="3">
        <v>30.495</v>
      </c>
      <c r="D1290" s="4">
        <v>2.0</v>
      </c>
      <c r="E1290" s="2" t="s">
        <v>8</v>
      </c>
      <c r="F1290" s="2" t="s">
        <v>14</v>
      </c>
      <c r="G1290" s="5">
        <v>15019.76005</v>
      </c>
    </row>
    <row r="1291">
      <c r="A1291" s="1">
        <v>62.0</v>
      </c>
      <c r="B1291" s="2" t="s">
        <v>10</v>
      </c>
      <c r="C1291" s="3">
        <v>32.68</v>
      </c>
      <c r="D1291" s="4">
        <v>0.0</v>
      </c>
      <c r="E1291" s="2" t="s">
        <v>8</v>
      </c>
      <c r="F1291" s="2" t="s">
        <v>14</v>
      </c>
      <c r="G1291" s="5">
        <v>13844.7972</v>
      </c>
    </row>
    <row r="1292">
      <c r="A1292" s="1">
        <v>62.0</v>
      </c>
      <c r="B1292" s="2" t="s">
        <v>7</v>
      </c>
      <c r="C1292" s="3">
        <v>30.875</v>
      </c>
      <c r="D1292" s="4">
        <v>3.0</v>
      </c>
      <c r="E1292" s="2" t="s">
        <v>12</v>
      </c>
      <c r="F1292" s="2" t="s">
        <v>14</v>
      </c>
      <c r="G1292" s="5">
        <v>46718.16325</v>
      </c>
    </row>
    <row r="1293">
      <c r="A1293" s="1">
        <v>62.0</v>
      </c>
      <c r="B1293" s="2" t="s">
        <v>7</v>
      </c>
      <c r="C1293" s="3">
        <v>26.695</v>
      </c>
      <c r="D1293" s="4">
        <v>0.0</v>
      </c>
      <c r="E1293" s="2" t="s">
        <v>12</v>
      </c>
      <c r="F1293" s="2" t="s">
        <v>11</v>
      </c>
      <c r="G1293" s="5">
        <v>28101.33305</v>
      </c>
    </row>
    <row r="1294">
      <c r="A1294" s="1">
        <v>62.0</v>
      </c>
      <c r="B1294" s="2" t="s">
        <v>7</v>
      </c>
      <c r="C1294" s="3">
        <v>38.83</v>
      </c>
      <c r="D1294" s="4">
        <v>0.0</v>
      </c>
      <c r="E1294" s="2" t="s">
        <v>8</v>
      </c>
      <c r="F1294" s="2" t="s">
        <v>9</v>
      </c>
      <c r="G1294" s="5">
        <v>12981.3457</v>
      </c>
    </row>
    <row r="1295">
      <c r="A1295" s="1">
        <v>63.0</v>
      </c>
      <c r="B1295" s="2" t="s">
        <v>10</v>
      </c>
      <c r="C1295" s="3">
        <v>23.085</v>
      </c>
      <c r="D1295" s="4">
        <v>0.0</v>
      </c>
      <c r="E1295" s="2" t="s">
        <v>8</v>
      </c>
      <c r="F1295" s="2" t="s">
        <v>11</v>
      </c>
      <c r="G1295" s="5">
        <v>14451.83515</v>
      </c>
    </row>
    <row r="1296">
      <c r="A1296" s="1">
        <v>63.0</v>
      </c>
      <c r="B1296" s="2" t="s">
        <v>7</v>
      </c>
      <c r="C1296" s="3">
        <v>28.31</v>
      </c>
      <c r="D1296" s="4">
        <v>0.0</v>
      </c>
      <c r="E1296" s="2" t="s">
        <v>8</v>
      </c>
      <c r="F1296" s="2" t="s">
        <v>14</v>
      </c>
      <c r="G1296" s="5">
        <v>13770.0979</v>
      </c>
    </row>
    <row r="1297">
      <c r="A1297" s="1">
        <v>63.0</v>
      </c>
      <c r="B1297" s="2" t="s">
        <v>7</v>
      </c>
      <c r="C1297" s="3">
        <v>35.09</v>
      </c>
      <c r="D1297" s="4">
        <v>0.0</v>
      </c>
      <c r="E1297" s="2" t="s">
        <v>12</v>
      </c>
      <c r="F1297" s="2" t="s">
        <v>9</v>
      </c>
      <c r="G1297" s="5">
        <v>47055.5321</v>
      </c>
    </row>
    <row r="1298">
      <c r="A1298" s="1">
        <v>63.0</v>
      </c>
      <c r="B1298" s="2" t="s">
        <v>7</v>
      </c>
      <c r="C1298" s="3">
        <v>41.47</v>
      </c>
      <c r="D1298" s="4">
        <v>0.0</v>
      </c>
      <c r="E1298" s="2" t="s">
        <v>8</v>
      </c>
      <c r="F1298" s="2" t="s">
        <v>9</v>
      </c>
      <c r="G1298" s="5">
        <v>13405.3903</v>
      </c>
    </row>
    <row r="1299">
      <c r="A1299" s="1">
        <v>63.0</v>
      </c>
      <c r="B1299" s="2" t="s">
        <v>10</v>
      </c>
      <c r="C1299" s="3">
        <v>37.7</v>
      </c>
      <c r="D1299" s="4">
        <v>0.0</v>
      </c>
      <c r="E1299" s="2" t="s">
        <v>12</v>
      </c>
      <c r="F1299" s="2" t="s">
        <v>13</v>
      </c>
      <c r="G1299" s="5">
        <v>48824.45</v>
      </c>
    </row>
    <row r="1300">
      <c r="A1300" s="1">
        <v>63.0</v>
      </c>
      <c r="B1300" s="2" t="s">
        <v>10</v>
      </c>
      <c r="C1300" s="3">
        <v>31.8</v>
      </c>
      <c r="D1300" s="4">
        <v>0.0</v>
      </c>
      <c r="E1300" s="2" t="s">
        <v>8</v>
      </c>
      <c r="F1300" s="2" t="s">
        <v>13</v>
      </c>
      <c r="G1300" s="5">
        <v>13880.949</v>
      </c>
    </row>
    <row r="1301">
      <c r="A1301" s="1">
        <v>63.0</v>
      </c>
      <c r="B1301" s="2" t="s">
        <v>10</v>
      </c>
      <c r="C1301" s="3">
        <v>27.74</v>
      </c>
      <c r="D1301" s="4">
        <v>0.0</v>
      </c>
      <c r="E1301" s="2" t="s">
        <v>12</v>
      </c>
      <c r="F1301" s="2" t="s">
        <v>11</v>
      </c>
      <c r="G1301" s="5">
        <v>29523.1656</v>
      </c>
    </row>
    <row r="1302">
      <c r="A1302" s="1">
        <v>63.0</v>
      </c>
      <c r="B1302" s="2" t="s">
        <v>10</v>
      </c>
      <c r="C1302" s="3">
        <v>32.2</v>
      </c>
      <c r="D1302" s="4">
        <v>2.0</v>
      </c>
      <c r="E1302" s="2" t="s">
        <v>12</v>
      </c>
      <c r="F1302" s="2" t="s">
        <v>13</v>
      </c>
      <c r="G1302" s="5">
        <v>47305.305</v>
      </c>
    </row>
    <row r="1303">
      <c r="A1303" s="1">
        <v>63.0</v>
      </c>
      <c r="B1303" s="2" t="s">
        <v>10</v>
      </c>
      <c r="C1303" s="3">
        <v>26.22</v>
      </c>
      <c r="D1303" s="4">
        <v>0.0</v>
      </c>
      <c r="E1303" s="2" t="s">
        <v>8</v>
      </c>
      <c r="F1303" s="2" t="s">
        <v>14</v>
      </c>
      <c r="G1303" s="5">
        <v>14256.1928</v>
      </c>
    </row>
    <row r="1304">
      <c r="A1304" s="1">
        <v>63.0</v>
      </c>
      <c r="B1304" s="2" t="s">
        <v>7</v>
      </c>
      <c r="C1304" s="3">
        <v>36.765</v>
      </c>
      <c r="D1304" s="4">
        <v>0.0</v>
      </c>
      <c r="E1304" s="2" t="s">
        <v>8</v>
      </c>
      <c r="F1304" s="2" t="s">
        <v>11</v>
      </c>
      <c r="G1304" s="5">
        <v>13981.85035</v>
      </c>
    </row>
    <row r="1305">
      <c r="A1305" s="1">
        <v>63.0</v>
      </c>
      <c r="B1305" s="2" t="s">
        <v>10</v>
      </c>
      <c r="C1305" s="3">
        <v>26.98</v>
      </c>
      <c r="D1305" s="4">
        <v>0.0</v>
      </c>
      <c r="E1305" s="2" t="s">
        <v>12</v>
      </c>
      <c r="F1305" s="2" t="s">
        <v>14</v>
      </c>
      <c r="G1305" s="5">
        <v>28950.4692</v>
      </c>
    </row>
    <row r="1306">
      <c r="A1306" s="1">
        <v>63.0</v>
      </c>
      <c r="B1306" s="2" t="s">
        <v>7</v>
      </c>
      <c r="C1306" s="3">
        <v>41.325</v>
      </c>
      <c r="D1306" s="4">
        <v>3.0</v>
      </c>
      <c r="E1306" s="2" t="s">
        <v>8</v>
      </c>
      <c r="F1306" s="2" t="s">
        <v>14</v>
      </c>
      <c r="G1306" s="5">
        <v>15555.18875</v>
      </c>
    </row>
    <row r="1307">
      <c r="A1307" s="1">
        <v>63.0</v>
      </c>
      <c r="B1307" s="2" t="s">
        <v>10</v>
      </c>
      <c r="C1307" s="3">
        <v>36.3</v>
      </c>
      <c r="D1307" s="4">
        <v>0.0</v>
      </c>
      <c r="E1307" s="2" t="s">
        <v>8</v>
      </c>
      <c r="F1307" s="2" t="s">
        <v>9</v>
      </c>
      <c r="G1307" s="5">
        <v>13887.204</v>
      </c>
    </row>
    <row r="1308">
      <c r="A1308" s="1">
        <v>63.0</v>
      </c>
      <c r="B1308" s="2" t="s">
        <v>7</v>
      </c>
      <c r="C1308" s="3">
        <v>30.8</v>
      </c>
      <c r="D1308" s="4">
        <v>0.0</v>
      </c>
      <c r="E1308" s="2" t="s">
        <v>8</v>
      </c>
      <c r="F1308" s="2" t="s">
        <v>13</v>
      </c>
      <c r="G1308" s="5">
        <v>13390.559</v>
      </c>
    </row>
    <row r="1309">
      <c r="A1309" s="1">
        <v>63.0</v>
      </c>
      <c r="B1309" s="2" t="s">
        <v>7</v>
      </c>
      <c r="C1309" s="3">
        <v>33.1</v>
      </c>
      <c r="D1309" s="4">
        <v>0.0</v>
      </c>
      <c r="E1309" s="2" t="s">
        <v>8</v>
      </c>
      <c r="F1309" s="2" t="s">
        <v>13</v>
      </c>
      <c r="G1309" s="5">
        <v>13393.756</v>
      </c>
    </row>
    <row r="1310">
      <c r="A1310" s="1">
        <v>63.0</v>
      </c>
      <c r="B1310" s="2" t="s">
        <v>7</v>
      </c>
      <c r="C1310" s="3">
        <v>39.8</v>
      </c>
      <c r="D1310" s="4">
        <v>3.0</v>
      </c>
      <c r="E1310" s="2" t="s">
        <v>8</v>
      </c>
      <c r="F1310" s="2" t="s">
        <v>13</v>
      </c>
      <c r="G1310" s="5">
        <v>15170.069</v>
      </c>
    </row>
    <row r="1311">
      <c r="A1311" s="1">
        <v>63.0</v>
      </c>
      <c r="B1311" s="2" t="s">
        <v>10</v>
      </c>
      <c r="C1311" s="3">
        <v>35.2</v>
      </c>
      <c r="D1311" s="4">
        <v>1.0</v>
      </c>
      <c r="E1311" s="2" t="s">
        <v>8</v>
      </c>
      <c r="F1311" s="2" t="s">
        <v>9</v>
      </c>
      <c r="G1311" s="5">
        <v>14474.675</v>
      </c>
    </row>
    <row r="1312">
      <c r="A1312" s="1">
        <v>63.0</v>
      </c>
      <c r="B1312" s="2" t="s">
        <v>10</v>
      </c>
      <c r="C1312" s="3">
        <v>36.85</v>
      </c>
      <c r="D1312" s="4">
        <v>0.0</v>
      </c>
      <c r="E1312" s="2" t="s">
        <v>8</v>
      </c>
      <c r="F1312" s="2" t="s">
        <v>9</v>
      </c>
      <c r="G1312" s="5">
        <v>13887.9685</v>
      </c>
    </row>
    <row r="1313">
      <c r="A1313" s="1">
        <v>63.0</v>
      </c>
      <c r="B1313" s="2" t="s">
        <v>7</v>
      </c>
      <c r="C1313" s="3">
        <v>21.66</v>
      </c>
      <c r="D1313" s="4">
        <v>1.0</v>
      </c>
      <c r="E1313" s="2" t="s">
        <v>8</v>
      </c>
      <c r="F1313" s="2" t="s">
        <v>14</v>
      </c>
      <c r="G1313" s="5">
        <v>14349.8544</v>
      </c>
    </row>
    <row r="1314">
      <c r="A1314" s="1">
        <v>63.0</v>
      </c>
      <c r="B1314" s="2" t="s">
        <v>7</v>
      </c>
      <c r="C1314" s="3">
        <v>31.445</v>
      </c>
      <c r="D1314" s="4">
        <v>0.0</v>
      </c>
      <c r="E1314" s="2" t="s">
        <v>8</v>
      </c>
      <c r="F1314" s="2" t="s">
        <v>11</v>
      </c>
      <c r="G1314" s="5">
        <v>13974.45555</v>
      </c>
    </row>
    <row r="1315">
      <c r="A1315" s="1">
        <v>63.0</v>
      </c>
      <c r="B1315" s="2" t="s">
        <v>7</v>
      </c>
      <c r="C1315" s="3">
        <v>33.66</v>
      </c>
      <c r="D1315" s="4">
        <v>3.0</v>
      </c>
      <c r="E1315" s="2" t="s">
        <v>8</v>
      </c>
      <c r="F1315" s="2" t="s">
        <v>9</v>
      </c>
      <c r="G1315" s="5">
        <v>15161.5344</v>
      </c>
    </row>
    <row r="1316">
      <c r="A1316" s="1">
        <v>63.0</v>
      </c>
      <c r="B1316" s="2" t="s">
        <v>10</v>
      </c>
      <c r="C1316" s="3">
        <v>25.08</v>
      </c>
      <c r="D1316" s="4">
        <v>0.0</v>
      </c>
      <c r="E1316" s="2" t="s">
        <v>8</v>
      </c>
      <c r="F1316" s="2" t="s">
        <v>14</v>
      </c>
      <c r="G1316" s="5">
        <v>14254.6082</v>
      </c>
    </row>
    <row r="1317">
      <c r="A1317" s="1">
        <v>63.0</v>
      </c>
      <c r="B1317" s="2" t="s">
        <v>10</v>
      </c>
      <c r="C1317" s="3">
        <v>21.66</v>
      </c>
      <c r="D1317" s="4">
        <v>0.0</v>
      </c>
      <c r="E1317" s="2" t="s">
        <v>8</v>
      </c>
      <c r="F1317" s="2" t="s">
        <v>11</v>
      </c>
      <c r="G1317" s="5">
        <v>14449.8544</v>
      </c>
    </row>
    <row r="1318">
      <c r="A1318" s="1">
        <v>64.0</v>
      </c>
      <c r="B1318" s="2" t="s">
        <v>7</v>
      </c>
      <c r="C1318" s="3">
        <v>24.7</v>
      </c>
      <c r="D1318" s="4">
        <v>1.0</v>
      </c>
      <c r="E1318" s="2" t="s">
        <v>8</v>
      </c>
      <c r="F1318" s="2" t="s">
        <v>14</v>
      </c>
      <c r="G1318" s="5">
        <v>30166.61817</v>
      </c>
    </row>
    <row r="1319">
      <c r="A1319" s="1">
        <v>64.0</v>
      </c>
      <c r="B1319" s="2" t="s">
        <v>10</v>
      </c>
      <c r="C1319" s="3">
        <v>31.3</v>
      </c>
      <c r="D1319" s="4">
        <v>2.0</v>
      </c>
      <c r="E1319" s="2" t="s">
        <v>12</v>
      </c>
      <c r="F1319" s="2" t="s">
        <v>13</v>
      </c>
      <c r="G1319" s="5">
        <v>47291.055</v>
      </c>
    </row>
    <row r="1320">
      <c r="A1320" s="1">
        <v>64.0</v>
      </c>
      <c r="B1320" s="2" t="s">
        <v>10</v>
      </c>
      <c r="C1320" s="3">
        <v>39.33</v>
      </c>
      <c r="D1320" s="4">
        <v>0.0</v>
      </c>
      <c r="E1320" s="2" t="s">
        <v>8</v>
      </c>
      <c r="F1320" s="2" t="s">
        <v>11</v>
      </c>
      <c r="G1320" s="5">
        <v>14901.5167</v>
      </c>
    </row>
    <row r="1321">
      <c r="A1321" s="1">
        <v>64.0</v>
      </c>
      <c r="B1321" s="2" t="s">
        <v>10</v>
      </c>
      <c r="C1321" s="3">
        <v>33.8</v>
      </c>
      <c r="D1321" s="4">
        <v>1.0</v>
      </c>
      <c r="E1321" s="2" t="s">
        <v>12</v>
      </c>
      <c r="F1321" s="2" t="s">
        <v>13</v>
      </c>
      <c r="G1321" s="5">
        <v>47928.03</v>
      </c>
    </row>
    <row r="1322">
      <c r="A1322" s="1">
        <v>64.0</v>
      </c>
      <c r="B1322" s="2" t="s">
        <v>7</v>
      </c>
      <c r="C1322" s="3">
        <v>34.5</v>
      </c>
      <c r="D1322" s="4">
        <v>0.0</v>
      </c>
      <c r="E1322" s="2" t="s">
        <v>8</v>
      </c>
      <c r="F1322" s="2" t="s">
        <v>13</v>
      </c>
      <c r="G1322" s="5">
        <v>13822.803</v>
      </c>
    </row>
    <row r="1323">
      <c r="A1323" s="1">
        <v>64.0</v>
      </c>
      <c r="B1323" s="2" t="s">
        <v>10</v>
      </c>
      <c r="C1323" s="3">
        <v>30.115</v>
      </c>
      <c r="D1323" s="4">
        <v>3.0</v>
      </c>
      <c r="E1323" s="2" t="s">
        <v>8</v>
      </c>
      <c r="F1323" s="2" t="s">
        <v>14</v>
      </c>
      <c r="G1323" s="5">
        <v>16455.70785</v>
      </c>
    </row>
    <row r="1324">
      <c r="A1324" s="1">
        <v>64.0</v>
      </c>
      <c r="B1324" s="2" t="s">
        <v>7</v>
      </c>
      <c r="C1324" s="3">
        <v>25.6</v>
      </c>
      <c r="D1324" s="4">
        <v>2.0</v>
      </c>
      <c r="E1324" s="2" t="s">
        <v>8</v>
      </c>
      <c r="F1324" s="2" t="s">
        <v>13</v>
      </c>
      <c r="G1324" s="5">
        <v>14988.432</v>
      </c>
    </row>
    <row r="1325">
      <c r="A1325" s="1">
        <v>64.0</v>
      </c>
      <c r="B1325" s="2" t="s">
        <v>10</v>
      </c>
      <c r="C1325" s="3">
        <v>32.965</v>
      </c>
      <c r="D1325" s="4">
        <v>0.0</v>
      </c>
      <c r="E1325" s="2" t="s">
        <v>8</v>
      </c>
      <c r="F1325" s="2" t="s">
        <v>14</v>
      </c>
      <c r="G1325" s="5">
        <v>14692.66935</v>
      </c>
    </row>
    <row r="1326">
      <c r="A1326" s="1">
        <v>64.0</v>
      </c>
      <c r="B1326" s="2" t="s">
        <v>7</v>
      </c>
      <c r="C1326" s="3">
        <v>39.16</v>
      </c>
      <c r="D1326" s="4">
        <v>1.0</v>
      </c>
      <c r="E1326" s="2" t="s">
        <v>8</v>
      </c>
      <c r="F1326" s="2" t="s">
        <v>9</v>
      </c>
      <c r="G1326" s="5">
        <v>14418.2804</v>
      </c>
    </row>
    <row r="1327">
      <c r="A1327" s="1">
        <v>64.0</v>
      </c>
      <c r="B1327" s="2" t="s">
        <v>7</v>
      </c>
      <c r="C1327" s="3">
        <v>33.88</v>
      </c>
      <c r="D1327" s="4">
        <v>0.0</v>
      </c>
      <c r="E1327" s="2" t="s">
        <v>12</v>
      </c>
      <c r="F1327" s="2" t="s">
        <v>9</v>
      </c>
      <c r="G1327" s="5">
        <v>46889.2612</v>
      </c>
    </row>
    <row r="1328">
      <c r="A1328" s="1">
        <v>64.0</v>
      </c>
      <c r="B1328" s="2" t="s">
        <v>7</v>
      </c>
      <c r="C1328" s="3">
        <v>40.48</v>
      </c>
      <c r="D1328" s="4">
        <v>0.0</v>
      </c>
      <c r="E1328" s="2" t="s">
        <v>8</v>
      </c>
      <c r="F1328" s="2" t="s">
        <v>9</v>
      </c>
      <c r="G1328" s="5">
        <v>13831.1152</v>
      </c>
    </row>
    <row r="1329">
      <c r="A1329" s="1">
        <v>64.0</v>
      </c>
      <c r="B1329" s="2" t="s">
        <v>10</v>
      </c>
      <c r="C1329" s="3">
        <v>39.05</v>
      </c>
      <c r="D1329" s="4">
        <v>3.0</v>
      </c>
      <c r="E1329" s="2" t="s">
        <v>8</v>
      </c>
      <c r="F1329" s="2" t="s">
        <v>9</v>
      </c>
      <c r="G1329" s="5">
        <v>16085.1275</v>
      </c>
    </row>
    <row r="1330">
      <c r="A1330" s="1">
        <v>64.0</v>
      </c>
      <c r="B1330" s="2" t="s">
        <v>7</v>
      </c>
      <c r="C1330" s="3">
        <v>38.19</v>
      </c>
      <c r="D1330" s="4">
        <v>0.0</v>
      </c>
      <c r="E1330" s="2" t="s">
        <v>8</v>
      </c>
      <c r="F1330" s="2" t="s">
        <v>11</v>
      </c>
      <c r="G1330" s="5">
        <v>14410.9321</v>
      </c>
    </row>
    <row r="1331">
      <c r="A1331" s="1">
        <v>64.0</v>
      </c>
      <c r="B1331" s="2" t="s">
        <v>10</v>
      </c>
      <c r="C1331" s="3">
        <v>22.99</v>
      </c>
      <c r="D1331" s="4">
        <v>0.0</v>
      </c>
      <c r="E1331" s="2" t="s">
        <v>12</v>
      </c>
      <c r="F1331" s="2" t="s">
        <v>9</v>
      </c>
      <c r="G1331" s="5">
        <v>27037.9141</v>
      </c>
    </row>
    <row r="1332">
      <c r="A1332" s="1">
        <v>64.0</v>
      </c>
      <c r="B1332" s="2" t="s">
        <v>7</v>
      </c>
      <c r="C1332" s="3">
        <v>37.905</v>
      </c>
      <c r="D1332" s="4">
        <v>0.0</v>
      </c>
      <c r="E1332" s="2" t="s">
        <v>8</v>
      </c>
      <c r="F1332" s="2" t="s">
        <v>14</v>
      </c>
      <c r="G1332" s="5">
        <v>14210.53595</v>
      </c>
    </row>
    <row r="1333">
      <c r="A1333" s="1">
        <v>64.0</v>
      </c>
      <c r="B1333" s="2" t="s">
        <v>10</v>
      </c>
      <c r="C1333" s="3">
        <v>39.7</v>
      </c>
      <c r="D1333" s="4">
        <v>0.0</v>
      </c>
      <c r="E1333" s="2" t="s">
        <v>8</v>
      </c>
      <c r="F1333" s="2" t="s">
        <v>13</v>
      </c>
      <c r="G1333" s="5">
        <v>14319.031</v>
      </c>
    </row>
    <row r="1334">
      <c r="A1334" s="1">
        <v>64.0</v>
      </c>
      <c r="B1334" s="2" t="s">
        <v>10</v>
      </c>
      <c r="C1334" s="3">
        <v>35.97</v>
      </c>
      <c r="D1334" s="4">
        <v>0.0</v>
      </c>
      <c r="E1334" s="2" t="s">
        <v>8</v>
      </c>
      <c r="F1334" s="2" t="s">
        <v>9</v>
      </c>
      <c r="G1334" s="5">
        <v>14313.8463</v>
      </c>
    </row>
    <row r="1335">
      <c r="A1335" s="1">
        <v>64.0</v>
      </c>
      <c r="B1335" s="2" t="s">
        <v>10</v>
      </c>
      <c r="C1335" s="3">
        <v>31.825</v>
      </c>
      <c r="D1335" s="4">
        <v>2.0</v>
      </c>
      <c r="E1335" s="2" t="s">
        <v>8</v>
      </c>
      <c r="F1335" s="2" t="s">
        <v>11</v>
      </c>
      <c r="G1335" s="5">
        <v>16069.08475</v>
      </c>
    </row>
    <row r="1336">
      <c r="A1336" s="1">
        <v>64.0</v>
      </c>
      <c r="B1336" s="2" t="s">
        <v>10</v>
      </c>
      <c r="C1336" s="3">
        <v>26.885</v>
      </c>
      <c r="D1336" s="4">
        <v>0.0</v>
      </c>
      <c r="E1336" s="2" t="s">
        <v>12</v>
      </c>
      <c r="F1336" s="2" t="s">
        <v>14</v>
      </c>
      <c r="G1336" s="5">
        <v>29330.98315</v>
      </c>
    </row>
    <row r="1337">
      <c r="A1337" s="1">
        <v>64.0</v>
      </c>
      <c r="B1337" s="2" t="s">
        <v>7</v>
      </c>
      <c r="C1337" s="3">
        <v>26.41</v>
      </c>
      <c r="D1337" s="4">
        <v>0.0</v>
      </c>
      <c r="E1337" s="2" t="s">
        <v>8</v>
      </c>
      <c r="F1337" s="2" t="s">
        <v>11</v>
      </c>
      <c r="G1337" s="5">
        <v>14394.5579</v>
      </c>
    </row>
    <row r="1338">
      <c r="A1338" s="1">
        <v>64.0</v>
      </c>
      <c r="B1338" s="2" t="s">
        <v>7</v>
      </c>
      <c r="C1338" s="3">
        <v>36.96</v>
      </c>
      <c r="D1338" s="4">
        <v>2.0</v>
      </c>
      <c r="E1338" s="2" t="s">
        <v>12</v>
      </c>
      <c r="F1338" s="2" t="s">
        <v>9</v>
      </c>
      <c r="G1338" s="5">
        <v>49577.6624</v>
      </c>
    </row>
    <row r="1339">
      <c r="A1339" s="1">
        <v>64.0</v>
      </c>
      <c r="B1339" s="2" t="s">
        <v>7</v>
      </c>
      <c r="C1339" s="3">
        <v>23.76</v>
      </c>
      <c r="D1339" s="4">
        <v>0.0</v>
      </c>
      <c r="E1339" s="2" t="s">
        <v>12</v>
      </c>
      <c r="F1339" s="2" t="s">
        <v>9</v>
      </c>
      <c r="G1339" s="5">
        <v>26926.5144</v>
      </c>
    </row>
    <row r="1340">
      <c r="A1340" s="6"/>
      <c r="C1340" s="6"/>
      <c r="D1340" s="7"/>
      <c r="E1340" s="8"/>
    </row>
    <row r="1341">
      <c r="A1341" s="6"/>
      <c r="C1341" s="6"/>
      <c r="D1341" s="7"/>
      <c r="E1341" s="8"/>
    </row>
  </sheetData>
  <autoFilter ref="$A$1:$G$1339">
    <sortState ref="A1:G1339">
      <sortCondition ref="A1:A1339"/>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65.75"/>
    <col customWidth="1" min="3" max="3" width="18.5"/>
    <col customWidth="1" min="4" max="4" width="52.0"/>
  </cols>
  <sheetData>
    <row r="1" ht="30.75" customHeight="1">
      <c r="A1" s="9" t="s">
        <v>15</v>
      </c>
    </row>
    <row r="2">
      <c r="A2" s="10"/>
      <c r="B2" s="11"/>
      <c r="C2" s="10"/>
      <c r="D2" s="12"/>
      <c r="E2" s="13"/>
    </row>
    <row r="3" ht="40.5" customHeight="1">
      <c r="A3" s="14" t="s">
        <v>16</v>
      </c>
      <c r="B3" s="15" t="s">
        <v>17</v>
      </c>
      <c r="C3" s="16" t="s">
        <v>18</v>
      </c>
      <c r="D3" s="14" t="s">
        <v>19</v>
      </c>
      <c r="E3" s="17"/>
      <c r="F3" s="17"/>
      <c r="G3" s="17"/>
      <c r="H3" s="17"/>
      <c r="I3" s="17"/>
      <c r="J3" s="17"/>
      <c r="K3" s="17"/>
      <c r="L3" s="17"/>
      <c r="M3" s="17"/>
      <c r="N3" s="17"/>
      <c r="O3" s="17"/>
      <c r="P3" s="17"/>
      <c r="Q3" s="17"/>
      <c r="R3" s="17"/>
      <c r="S3" s="17"/>
      <c r="T3" s="17"/>
      <c r="U3" s="17"/>
      <c r="V3" s="17"/>
    </row>
    <row r="4" ht="33.0" customHeight="1">
      <c r="A4" s="18" t="s">
        <v>20</v>
      </c>
      <c r="B4" s="19" t="s">
        <v>21</v>
      </c>
      <c r="C4" s="20">
        <f>AVERAGE(DATASET!A:A,DATASET!A1)</f>
        <v>39.20702541</v>
      </c>
      <c r="D4" s="21" t="s">
        <v>22</v>
      </c>
    </row>
    <row r="5">
      <c r="A5" s="18" t="s">
        <v>23</v>
      </c>
      <c r="B5" s="19" t="s">
        <v>24</v>
      </c>
      <c r="C5" s="20">
        <f>AVERAGE(DATASET!C2:C1004)</f>
        <v>30.66339686</v>
      </c>
      <c r="D5" s="21" t="s">
        <v>25</v>
      </c>
    </row>
    <row r="6">
      <c r="A6" s="18" t="s">
        <v>26</v>
      </c>
      <c r="B6" s="19" t="s">
        <v>27</v>
      </c>
      <c r="C6" s="20">
        <f>AVERAGEIF(DATASET!E2:E1004,"yes",DATASET!A2:A1004)</f>
        <v>38.51459854</v>
      </c>
      <c r="D6" s="22" t="s">
        <v>28</v>
      </c>
    </row>
    <row r="7">
      <c r="A7" s="18" t="s">
        <v>29</v>
      </c>
      <c r="B7" s="19" t="s">
        <v>30</v>
      </c>
      <c r="C7" s="23">
        <f>AVERAGEIF(DATASET!$E$2:$E1004,"yes",DATASET!$C$2:C1004)</f>
        <v>30.70844891</v>
      </c>
      <c r="D7" s="21" t="s">
        <v>31</v>
      </c>
    </row>
    <row r="8">
      <c r="A8" s="18" t="s">
        <v>32</v>
      </c>
      <c r="B8" s="19" t="s">
        <v>33</v>
      </c>
      <c r="C8" s="20" t="str">
        <f>if(ROUND(C9,0)= ROUND(C10,0),"Ya","Tidak")</f>
        <v>Tidak</v>
      </c>
      <c r="D8" s="22" t="s">
        <v>34</v>
      </c>
    </row>
    <row r="9">
      <c r="A9" s="18" t="s">
        <v>35</v>
      </c>
      <c r="B9" s="24" t="s">
        <v>36</v>
      </c>
      <c r="C9" s="20">
        <f t="array" ref="C9">VARP(if(DATASET!E2:E1004 = "yes",DATASET!G2:G1004))</f>
        <v>132721153.1</v>
      </c>
      <c r="D9" s="25"/>
    </row>
    <row r="10">
      <c r="A10" s="18"/>
      <c r="B10" s="24" t="s">
        <v>37</v>
      </c>
      <c r="C10" s="20">
        <f t="array" ref="C10">VARP(if(DATASET!E2:E1004 = "no",DATASET!G2:G1004))</f>
        <v>35891656</v>
      </c>
      <c r="D10" s="25"/>
    </row>
    <row r="11">
      <c r="A11" s="18" t="s">
        <v>38</v>
      </c>
      <c r="B11" s="19" t="s">
        <v>39</v>
      </c>
      <c r="C11" s="20" t="str">
        <f>if(ROUND(C12,0)= ROUND(C13,0),"Ya","Tidak")</f>
        <v>Tidak</v>
      </c>
      <c r="D11" s="26" t="s">
        <v>40</v>
      </c>
    </row>
    <row r="12">
      <c r="A12" s="18"/>
      <c r="B12" s="24" t="s">
        <v>41</v>
      </c>
      <c r="C12" s="20">
        <f>AVERAGEIFS(DATASET!A2:A1004,DATASET!E2:E1004,"yes",DATASET!B2:B1004,"female")</f>
        <v>38.60869565</v>
      </c>
      <c r="D12" s="27"/>
    </row>
    <row r="13">
      <c r="A13" s="18"/>
      <c r="B13" s="24" t="s">
        <v>42</v>
      </c>
      <c r="C13" s="20">
        <f>AVERAGEIFS(DATASET!A2:A1004,DATASET!E2:E1004,"yes",DATASET!B2:B1004,"male")</f>
        <v>38.44654088</v>
      </c>
      <c r="D13" s="28"/>
    </row>
    <row r="14">
      <c r="A14" s="18" t="s">
        <v>43</v>
      </c>
      <c r="B14" s="19" t="s">
        <v>44</v>
      </c>
      <c r="C14" s="29" t="str">
        <f>IF(C15&gt;C16,"Perokok","Non-Perokok")</f>
        <v>Perokok</v>
      </c>
      <c r="D14" s="26" t="s">
        <v>45</v>
      </c>
    </row>
    <row r="15">
      <c r="A15" s="18"/>
      <c r="B15" s="24" t="s">
        <v>46</v>
      </c>
      <c r="C15" s="23">
        <f>AVERAGEIF(DATASET!$E$2:$E1004,"yes",DATASET!$G$2:G1004)</f>
        <v>32050.23183</v>
      </c>
      <c r="D15" s="27"/>
    </row>
    <row r="16">
      <c r="A16" s="18"/>
      <c r="B16" s="24" t="s">
        <v>47</v>
      </c>
      <c r="C16" s="23">
        <f>AVERAGEIF(DATASET!$E$2:$E1004,"no",DATASET!$G$2:G1004)</f>
        <v>8434.268298</v>
      </c>
      <c r="D16" s="28"/>
    </row>
    <row r="17">
      <c r="A17" s="18" t="s">
        <v>48</v>
      </c>
      <c r="B17" s="19" t="s">
        <v>49</v>
      </c>
      <c r="C17" s="20"/>
      <c r="D17" s="26" t="s">
        <v>50</v>
      </c>
    </row>
    <row r="18">
      <c r="A18" s="18"/>
      <c r="B18" s="24" t="s">
        <v>51</v>
      </c>
      <c r="C18" s="23">
        <f>AVERAGEIFS(DATASET!$G$2:G1004,DATASET!$E$2:$E1004,"yes",DATASET!$C$2:$C1004,"&gt;25")</f>
        <v>35116.90966</v>
      </c>
      <c r="D18" s="27"/>
    </row>
    <row r="19">
      <c r="A19" s="18"/>
      <c r="B19" s="24" t="s">
        <v>52</v>
      </c>
      <c r="C19" s="23">
        <f>AVERAGEIFS(DATASET!$G$2:G1004,DATASET!$E$2:$E1004,"no",DATASET!$C$2:$C1004,"&gt;25")</f>
        <v>8629.58961</v>
      </c>
      <c r="D19" s="28"/>
    </row>
    <row r="20">
      <c r="A20" s="18" t="s">
        <v>53</v>
      </c>
      <c r="B20" s="19" t="s">
        <v>54</v>
      </c>
      <c r="C20" s="30" t="s">
        <v>55</v>
      </c>
      <c r="D20" s="26" t="s">
        <v>56</v>
      </c>
    </row>
    <row r="21" ht="18.75" customHeight="1">
      <c r="A21" s="18"/>
      <c r="B21" s="24" t="s">
        <v>57</v>
      </c>
      <c r="C21" s="20">
        <f>averageif(DATASET!B2:B1004,"male",DATASET!C2:C1004)</f>
        <v>30.9431287</v>
      </c>
      <c r="D21" s="27"/>
    </row>
    <row r="22" ht="18.75" customHeight="1">
      <c r="A22" s="18"/>
      <c r="B22" s="24" t="s">
        <v>58</v>
      </c>
      <c r="C22" s="20">
        <f>averageif(DATASET!B2:B1004,"female",DATASET!C2:C1004)</f>
        <v>30.37774924</v>
      </c>
      <c r="D22" s="28"/>
    </row>
    <row r="23">
      <c r="A23" s="18" t="s">
        <v>59</v>
      </c>
      <c r="B23" s="19" t="s">
        <v>60</v>
      </c>
      <c r="C23" s="20"/>
      <c r="D23" s="26" t="s">
        <v>61</v>
      </c>
    </row>
    <row r="24">
      <c r="A24" s="31"/>
      <c r="B24" s="24" t="s">
        <v>62</v>
      </c>
      <c r="C24" s="20">
        <f>averageif(DATASET!E2:E1004,"yes",DATASET!C2:C1004)</f>
        <v>30.70844891</v>
      </c>
      <c r="D24" s="27"/>
    </row>
    <row r="25" ht="21.75" customHeight="1">
      <c r="A25" s="31"/>
      <c r="B25" s="24" t="s">
        <v>63</v>
      </c>
      <c r="C25" s="20">
        <f>averageif(DATASET!E2:E1004,"no",DATASET!C2:C1004)</f>
        <v>30.65179511</v>
      </c>
      <c r="D25" s="28"/>
    </row>
    <row r="26">
      <c r="A26" s="10"/>
      <c r="B26" s="11"/>
      <c r="C26" s="32"/>
      <c r="D26" s="12"/>
    </row>
    <row r="27">
      <c r="A27" s="10"/>
      <c r="B27" s="11"/>
      <c r="C27" s="32"/>
      <c r="D27" s="12"/>
    </row>
    <row r="28">
      <c r="A28" s="10"/>
      <c r="B28" s="11"/>
      <c r="C28" s="32"/>
      <c r="D28" s="12"/>
    </row>
    <row r="29">
      <c r="A29" s="10"/>
      <c r="B29" s="11"/>
      <c r="C29" s="32"/>
      <c r="D29" s="12"/>
    </row>
    <row r="30">
      <c r="A30" s="10"/>
      <c r="B30" s="11"/>
      <c r="C30" s="32"/>
      <c r="D30" s="12"/>
    </row>
    <row r="31">
      <c r="A31" s="10"/>
      <c r="B31" s="11"/>
      <c r="C31" s="32"/>
      <c r="D31" s="12"/>
    </row>
    <row r="32">
      <c r="A32" s="10"/>
      <c r="B32" s="11"/>
      <c r="C32" s="32"/>
      <c r="D32" s="12"/>
    </row>
    <row r="33">
      <c r="A33" s="10"/>
      <c r="B33" s="11"/>
      <c r="C33" s="32"/>
      <c r="D33" s="12"/>
    </row>
    <row r="34">
      <c r="A34" s="10"/>
      <c r="B34" s="11"/>
      <c r="C34" s="32"/>
      <c r="D34" s="12"/>
    </row>
    <row r="35">
      <c r="A35" s="10"/>
      <c r="B35" s="11"/>
      <c r="C35" s="32"/>
      <c r="D35" s="12"/>
    </row>
    <row r="36">
      <c r="A36" s="10"/>
      <c r="B36" s="11"/>
      <c r="C36" s="32"/>
      <c r="D36" s="12"/>
    </row>
    <row r="37">
      <c r="A37" s="10"/>
      <c r="B37" s="11"/>
      <c r="C37" s="32"/>
      <c r="D37" s="12"/>
    </row>
    <row r="38">
      <c r="A38" s="10"/>
      <c r="B38" s="11"/>
      <c r="C38" s="32"/>
      <c r="D38" s="12"/>
    </row>
    <row r="39">
      <c r="A39" s="10"/>
      <c r="B39" s="11"/>
      <c r="C39" s="32"/>
      <c r="D39" s="12"/>
    </row>
    <row r="40">
      <c r="A40" s="10"/>
      <c r="B40" s="11"/>
      <c r="C40" s="32"/>
      <c r="D40" s="12"/>
    </row>
    <row r="41">
      <c r="A41" s="10"/>
      <c r="B41" s="11"/>
      <c r="C41" s="32"/>
      <c r="D41" s="12"/>
    </row>
    <row r="42">
      <c r="A42" s="10"/>
      <c r="B42" s="11"/>
      <c r="C42" s="32"/>
      <c r="D42" s="12"/>
    </row>
    <row r="43">
      <c r="A43" s="10"/>
      <c r="B43" s="11"/>
      <c r="C43" s="32"/>
      <c r="D43" s="12"/>
    </row>
    <row r="44">
      <c r="A44" s="10"/>
      <c r="B44" s="11"/>
      <c r="C44" s="32"/>
      <c r="D44" s="12"/>
    </row>
    <row r="45">
      <c r="A45" s="10"/>
      <c r="B45" s="11"/>
      <c r="C45" s="32"/>
      <c r="D45" s="12"/>
    </row>
    <row r="46">
      <c r="A46" s="10"/>
      <c r="B46" s="11"/>
      <c r="C46" s="32"/>
      <c r="D46" s="12"/>
    </row>
    <row r="47">
      <c r="A47" s="10"/>
      <c r="B47" s="11"/>
      <c r="C47" s="32"/>
      <c r="D47" s="12"/>
    </row>
    <row r="48">
      <c r="A48" s="10"/>
      <c r="B48" s="11"/>
      <c r="C48" s="32"/>
      <c r="D48" s="12"/>
    </row>
    <row r="49">
      <c r="A49" s="10"/>
      <c r="B49" s="11"/>
      <c r="C49" s="32"/>
      <c r="D49" s="12"/>
    </row>
    <row r="50">
      <c r="A50" s="10"/>
      <c r="B50" s="11"/>
      <c r="C50" s="32"/>
      <c r="D50" s="12"/>
    </row>
    <row r="51">
      <c r="A51" s="10"/>
      <c r="B51" s="11"/>
      <c r="C51" s="32"/>
      <c r="D51" s="12"/>
    </row>
    <row r="52">
      <c r="A52" s="10"/>
      <c r="B52" s="11"/>
      <c r="C52" s="32"/>
      <c r="D52" s="12"/>
    </row>
    <row r="53">
      <c r="A53" s="10"/>
      <c r="B53" s="11"/>
      <c r="C53" s="32"/>
      <c r="D53" s="12"/>
    </row>
    <row r="54">
      <c r="A54" s="10"/>
      <c r="B54" s="11"/>
      <c r="C54" s="32"/>
      <c r="D54" s="12"/>
    </row>
    <row r="55">
      <c r="A55" s="10"/>
      <c r="B55" s="11"/>
      <c r="C55" s="32"/>
      <c r="D55" s="12"/>
    </row>
    <row r="56">
      <c r="A56" s="10"/>
      <c r="B56" s="11"/>
      <c r="C56" s="32"/>
      <c r="D56" s="12"/>
    </row>
    <row r="57">
      <c r="A57" s="10"/>
      <c r="B57" s="11"/>
      <c r="C57" s="32"/>
      <c r="D57" s="12"/>
    </row>
    <row r="58">
      <c r="A58" s="10"/>
      <c r="B58" s="11"/>
      <c r="C58" s="32"/>
      <c r="D58" s="12"/>
    </row>
    <row r="59">
      <c r="A59" s="10"/>
      <c r="B59" s="11"/>
      <c r="C59" s="32"/>
      <c r="D59" s="12"/>
    </row>
    <row r="60">
      <c r="A60" s="10"/>
      <c r="B60" s="11"/>
      <c r="C60" s="32"/>
      <c r="D60" s="12"/>
    </row>
    <row r="61">
      <c r="A61" s="10"/>
      <c r="B61" s="11"/>
      <c r="C61" s="32"/>
      <c r="D61" s="12"/>
    </row>
    <row r="62">
      <c r="A62" s="10"/>
      <c r="B62" s="11"/>
      <c r="C62" s="32"/>
      <c r="D62" s="12"/>
    </row>
    <row r="63">
      <c r="A63" s="10"/>
      <c r="B63" s="11"/>
      <c r="C63" s="32"/>
      <c r="D63" s="12"/>
    </row>
    <row r="64">
      <c r="A64" s="10"/>
      <c r="B64" s="11"/>
      <c r="C64" s="32"/>
      <c r="D64" s="12"/>
    </row>
    <row r="65">
      <c r="A65" s="10"/>
      <c r="B65" s="11"/>
      <c r="C65" s="32"/>
      <c r="D65" s="12"/>
    </row>
    <row r="66">
      <c r="A66" s="10"/>
      <c r="B66" s="11"/>
      <c r="C66" s="32"/>
      <c r="D66" s="12"/>
    </row>
    <row r="67">
      <c r="A67" s="10"/>
      <c r="B67" s="11"/>
      <c r="C67" s="32"/>
      <c r="D67" s="12"/>
    </row>
    <row r="68">
      <c r="A68" s="10"/>
      <c r="B68" s="11"/>
      <c r="C68" s="32"/>
      <c r="D68" s="12"/>
    </row>
    <row r="69">
      <c r="A69" s="10"/>
      <c r="B69" s="11"/>
      <c r="C69" s="32"/>
      <c r="D69" s="12"/>
    </row>
    <row r="70">
      <c r="A70" s="10"/>
      <c r="B70" s="11"/>
      <c r="C70" s="32"/>
      <c r="D70" s="12"/>
    </row>
    <row r="71">
      <c r="A71" s="10"/>
      <c r="B71" s="11"/>
      <c r="C71" s="32"/>
      <c r="D71" s="12"/>
    </row>
    <row r="72">
      <c r="A72" s="10"/>
      <c r="B72" s="11"/>
      <c r="C72" s="32"/>
      <c r="D72" s="12"/>
    </row>
    <row r="73">
      <c r="A73" s="10"/>
      <c r="B73" s="11"/>
      <c r="C73" s="32"/>
      <c r="D73" s="12"/>
    </row>
    <row r="74">
      <c r="A74" s="10"/>
      <c r="B74" s="11"/>
      <c r="C74" s="32"/>
      <c r="D74" s="12"/>
    </row>
    <row r="75">
      <c r="A75" s="10"/>
      <c r="B75" s="11"/>
      <c r="C75" s="32"/>
      <c r="D75" s="12"/>
    </row>
    <row r="76">
      <c r="A76" s="10"/>
      <c r="B76" s="11"/>
      <c r="C76" s="32"/>
      <c r="D76" s="12"/>
    </row>
    <row r="77">
      <c r="A77" s="10"/>
      <c r="B77" s="11"/>
      <c r="C77" s="32"/>
      <c r="D77" s="12"/>
    </row>
    <row r="78">
      <c r="A78" s="10"/>
      <c r="B78" s="11"/>
      <c r="C78" s="32"/>
      <c r="D78" s="12"/>
    </row>
    <row r="79">
      <c r="A79" s="10"/>
      <c r="B79" s="11"/>
      <c r="C79" s="32"/>
      <c r="D79" s="12"/>
    </row>
    <row r="80">
      <c r="A80" s="10"/>
      <c r="B80" s="11"/>
      <c r="C80" s="32"/>
      <c r="D80" s="12"/>
    </row>
    <row r="81">
      <c r="A81" s="10"/>
      <c r="B81" s="11"/>
      <c r="C81" s="32"/>
      <c r="D81" s="12"/>
    </row>
    <row r="82">
      <c r="A82" s="10"/>
      <c r="B82" s="11"/>
      <c r="C82" s="32"/>
      <c r="D82" s="12"/>
    </row>
    <row r="83">
      <c r="A83" s="10"/>
      <c r="B83" s="11"/>
      <c r="C83" s="32"/>
      <c r="D83" s="12"/>
    </row>
    <row r="84">
      <c r="A84" s="10"/>
      <c r="B84" s="11"/>
      <c r="C84" s="32"/>
      <c r="D84" s="12"/>
    </row>
    <row r="85">
      <c r="A85" s="10"/>
      <c r="B85" s="11"/>
      <c r="C85" s="32"/>
      <c r="D85" s="12"/>
    </row>
    <row r="86">
      <c r="A86" s="10"/>
      <c r="B86" s="11"/>
      <c r="C86" s="32"/>
      <c r="D86" s="12"/>
    </row>
    <row r="87">
      <c r="A87" s="10"/>
      <c r="B87" s="11"/>
      <c r="C87" s="32"/>
      <c r="D87" s="12"/>
    </row>
    <row r="88">
      <c r="A88" s="10"/>
      <c r="B88" s="11"/>
      <c r="C88" s="32"/>
      <c r="D88" s="12"/>
    </row>
    <row r="89">
      <c r="A89" s="10"/>
      <c r="B89" s="11"/>
      <c r="C89" s="32"/>
      <c r="D89" s="12"/>
    </row>
    <row r="90">
      <c r="A90" s="10"/>
      <c r="B90" s="11"/>
      <c r="C90" s="32"/>
      <c r="D90" s="12"/>
    </row>
    <row r="91">
      <c r="A91" s="10"/>
      <c r="B91" s="11"/>
      <c r="C91" s="32"/>
      <c r="D91" s="12"/>
    </row>
    <row r="92">
      <c r="A92" s="10"/>
      <c r="B92" s="11"/>
      <c r="C92" s="32"/>
      <c r="D92" s="12"/>
    </row>
    <row r="93">
      <c r="A93" s="10"/>
      <c r="B93" s="11"/>
      <c r="C93" s="32"/>
      <c r="D93" s="12"/>
    </row>
    <row r="94">
      <c r="A94" s="10"/>
      <c r="B94" s="11"/>
      <c r="C94" s="32"/>
      <c r="D94" s="12"/>
    </row>
    <row r="95">
      <c r="A95" s="10"/>
      <c r="B95" s="11"/>
      <c r="C95" s="32"/>
      <c r="D95" s="12"/>
    </row>
    <row r="96">
      <c r="A96" s="10"/>
      <c r="B96" s="11"/>
      <c r="C96" s="32"/>
      <c r="D96" s="12"/>
    </row>
    <row r="97">
      <c r="A97" s="10"/>
      <c r="B97" s="11"/>
      <c r="C97" s="32"/>
      <c r="D97" s="12"/>
    </row>
    <row r="98">
      <c r="A98" s="10"/>
      <c r="B98" s="11"/>
      <c r="C98" s="32"/>
      <c r="D98" s="12"/>
    </row>
    <row r="99">
      <c r="A99" s="10"/>
      <c r="B99" s="11"/>
      <c r="C99" s="32"/>
      <c r="D99" s="12"/>
    </row>
    <row r="100">
      <c r="A100" s="10"/>
      <c r="B100" s="11"/>
      <c r="C100" s="32"/>
      <c r="D100" s="12"/>
    </row>
    <row r="101">
      <c r="A101" s="10"/>
      <c r="B101" s="11"/>
      <c r="C101" s="32"/>
      <c r="D101" s="12"/>
    </row>
    <row r="102">
      <c r="A102" s="10"/>
      <c r="B102" s="11"/>
      <c r="C102" s="32"/>
      <c r="D102" s="12"/>
    </row>
    <row r="103">
      <c r="A103" s="10"/>
      <c r="B103" s="11"/>
      <c r="C103" s="32"/>
      <c r="D103" s="12"/>
    </row>
    <row r="104">
      <c r="A104" s="10"/>
      <c r="B104" s="11"/>
      <c r="C104" s="32"/>
      <c r="D104" s="12"/>
    </row>
    <row r="105">
      <c r="A105" s="10"/>
      <c r="B105" s="11"/>
      <c r="C105" s="32"/>
      <c r="D105" s="12"/>
    </row>
    <row r="106">
      <c r="A106" s="10"/>
      <c r="B106" s="11"/>
      <c r="C106" s="32"/>
      <c r="D106" s="12"/>
    </row>
    <row r="107">
      <c r="A107" s="10"/>
      <c r="B107" s="11"/>
      <c r="C107" s="32"/>
      <c r="D107" s="12"/>
    </row>
    <row r="108">
      <c r="A108" s="10"/>
      <c r="B108" s="11"/>
      <c r="C108" s="32"/>
      <c r="D108" s="12"/>
    </row>
    <row r="109">
      <c r="A109" s="10"/>
      <c r="B109" s="11"/>
      <c r="C109" s="32"/>
      <c r="D109" s="12"/>
    </row>
    <row r="110">
      <c r="A110" s="10"/>
      <c r="B110" s="11"/>
      <c r="C110" s="32"/>
      <c r="D110" s="12"/>
    </row>
    <row r="111">
      <c r="A111" s="10"/>
      <c r="B111" s="11"/>
      <c r="C111" s="32"/>
      <c r="D111" s="12"/>
    </row>
    <row r="112">
      <c r="A112" s="10"/>
      <c r="B112" s="11"/>
      <c r="C112" s="32"/>
      <c r="D112" s="12"/>
    </row>
    <row r="113">
      <c r="A113" s="10"/>
      <c r="B113" s="11"/>
      <c r="C113" s="32"/>
      <c r="D113" s="12"/>
    </row>
    <row r="114">
      <c r="A114" s="10"/>
      <c r="B114" s="11"/>
      <c r="C114" s="32"/>
      <c r="D114" s="12"/>
    </row>
    <row r="115">
      <c r="A115" s="10"/>
      <c r="B115" s="11"/>
      <c r="C115" s="32"/>
      <c r="D115" s="12"/>
    </row>
    <row r="116">
      <c r="A116" s="10"/>
      <c r="B116" s="11"/>
      <c r="C116" s="32"/>
      <c r="D116" s="12"/>
    </row>
    <row r="117">
      <c r="A117" s="10"/>
      <c r="B117" s="11"/>
      <c r="C117" s="32"/>
      <c r="D117" s="12"/>
    </row>
    <row r="118">
      <c r="A118" s="10"/>
      <c r="B118" s="11"/>
      <c r="C118" s="32"/>
      <c r="D118" s="12"/>
    </row>
    <row r="119">
      <c r="A119" s="10"/>
      <c r="B119" s="11"/>
      <c r="C119" s="32"/>
      <c r="D119" s="12"/>
    </row>
    <row r="120">
      <c r="A120" s="10"/>
      <c r="B120" s="11"/>
      <c r="C120" s="32"/>
      <c r="D120" s="12"/>
    </row>
    <row r="121">
      <c r="A121" s="10"/>
      <c r="B121" s="11"/>
      <c r="C121" s="32"/>
      <c r="D121" s="12"/>
    </row>
    <row r="122">
      <c r="A122" s="10"/>
      <c r="B122" s="11"/>
      <c r="C122" s="32"/>
      <c r="D122" s="12"/>
    </row>
    <row r="123">
      <c r="A123" s="10"/>
      <c r="B123" s="11"/>
      <c r="C123" s="32"/>
      <c r="D123" s="12"/>
    </row>
    <row r="124">
      <c r="A124" s="10"/>
      <c r="B124" s="11"/>
      <c r="C124" s="32"/>
      <c r="D124" s="12"/>
    </row>
    <row r="125">
      <c r="A125" s="10"/>
      <c r="B125" s="11"/>
      <c r="C125" s="32"/>
      <c r="D125" s="12"/>
    </row>
    <row r="126">
      <c r="A126" s="10"/>
      <c r="B126" s="11"/>
      <c r="C126" s="32"/>
      <c r="D126" s="12"/>
    </row>
    <row r="127">
      <c r="A127" s="10"/>
      <c r="B127" s="11"/>
      <c r="C127" s="32"/>
      <c r="D127" s="12"/>
    </row>
    <row r="128">
      <c r="A128" s="10"/>
      <c r="B128" s="11"/>
      <c r="C128" s="32"/>
      <c r="D128" s="12"/>
    </row>
    <row r="129">
      <c r="A129" s="10"/>
      <c r="B129" s="11"/>
      <c r="C129" s="32"/>
      <c r="D129" s="12"/>
    </row>
    <row r="130">
      <c r="A130" s="10"/>
      <c r="B130" s="11"/>
      <c r="C130" s="32"/>
      <c r="D130" s="12"/>
    </row>
    <row r="131">
      <c r="A131" s="10"/>
      <c r="B131" s="11"/>
      <c r="C131" s="32"/>
      <c r="D131" s="12"/>
    </row>
    <row r="132">
      <c r="A132" s="10"/>
      <c r="B132" s="11"/>
      <c r="C132" s="32"/>
      <c r="D132" s="12"/>
    </row>
    <row r="133">
      <c r="A133" s="10"/>
      <c r="B133" s="11"/>
      <c r="C133" s="32"/>
      <c r="D133" s="12"/>
    </row>
    <row r="134">
      <c r="A134" s="10"/>
      <c r="B134" s="11"/>
      <c r="C134" s="32"/>
      <c r="D134" s="12"/>
    </row>
    <row r="135">
      <c r="A135" s="10"/>
      <c r="B135" s="11"/>
      <c r="C135" s="32"/>
      <c r="D135" s="12"/>
    </row>
    <row r="136">
      <c r="A136" s="10"/>
      <c r="B136" s="11"/>
      <c r="C136" s="32"/>
      <c r="D136" s="12"/>
    </row>
    <row r="137">
      <c r="A137" s="10"/>
      <c r="B137" s="11"/>
      <c r="C137" s="32"/>
      <c r="D137" s="12"/>
    </row>
    <row r="138">
      <c r="A138" s="10"/>
      <c r="B138" s="11"/>
      <c r="C138" s="32"/>
      <c r="D138" s="12"/>
    </row>
    <row r="139">
      <c r="A139" s="10"/>
      <c r="B139" s="11"/>
      <c r="C139" s="32"/>
      <c r="D139" s="12"/>
    </row>
    <row r="140">
      <c r="A140" s="10"/>
      <c r="B140" s="11"/>
      <c r="C140" s="32"/>
      <c r="D140" s="12"/>
    </row>
    <row r="141">
      <c r="A141" s="10"/>
      <c r="B141" s="11"/>
      <c r="C141" s="32"/>
      <c r="D141" s="12"/>
    </row>
    <row r="142">
      <c r="A142" s="10"/>
      <c r="B142" s="11"/>
      <c r="C142" s="32"/>
      <c r="D142" s="12"/>
    </row>
    <row r="143">
      <c r="A143" s="10"/>
      <c r="B143" s="11"/>
      <c r="C143" s="32"/>
      <c r="D143" s="12"/>
    </row>
    <row r="144">
      <c r="A144" s="10"/>
      <c r="B144" s="11"/>
      <c r="C144" s="32"/>
      <c r="D144" s="12"/>
    </row>
    <row r="145">
      <c r="A145" s="10"/>
      <c r="B145" s="11"/>
      <c r="C145" s="32"/>
      <c r="D145" s="12"/>
    </row>
    <row r="146">
      <c r="A146" s="10"/>
      <c r="B146" s="11"/>
      <c r="C146" s="32"/>
      <c r="D146" s="12"/>
    </row>
    <row r="147">
      <c r="A147" s="10"/>
      <c r="B147" s="11"/>
      <c r="C147" s="32"/>
      <c r="D147" s="12"/>
    </row>
    <row r="148">
      <c r="A148" s="10"/>
      <c r="B148" s="11"/>
      <c r="C148" s="32"/>
      <c r="D148" s="12"/>
    </row>
    <row r="149">
      <c r="A149" s="10"/>
      <c r="B149" s="11"/>
      <c r="C149" s="32"/>
      <c r="D149" s="12"/>
    </row>
    <row r="150">
      <c r="A150" s="10"/>
      <c r="B150" s="11"/>
      <c r="C150" s="32"/>
      <c r="D150" s="12"/>
    </row>
    <row r="151">
      <c r="A151" s="10"/>
      <c r="B151" s="11"/>
      <c r="C151" s="32"/>
      <c r="D151" s="12"/>
    </row>
    <row r="152">
      <c r="A152" s="10"/>
      <c r="B152" s="11"/>
      <c r="C152" s="32"/>
      <c r="D152" s="12"/>
    </row>
    <row r="153">
      <c r="A153" s="10"/>
      <c r="B153" s="11"/>
      <c r="C153" s="32"/>
      <c r="D153" s="12"/>
    </row>
    <row r="154">
      <c r="A154" s="10"/>
      <c r="B154" s="11"/>
      <c r="C154" s="32"/>
      <c r="D154" s="12"/>
    </row>
    <row r="155">
      <c r="A155" s="10"/>
      <c r="B155" s="11"/>
      <c r="C155" s="32"/>
      <c r="D155" s="12"/>
    </row>
    <row r="156">
      <c r="A156" s="10"/>
      <c r="B156" s="11"/>
      <c r="C156" s="32"/>
      <c r="D156" s="12"/>
    </row>
    <row r="157">
      <c r="A157" s="10"/>
      <c r="B157" s="11"/>
      <c r="C157" s="32"/>
      <c r="D157" s="12"/>
    </row>
    <row r="158">
      <c r="A158" s="10"/>
      <c r="B158" s="11"/>
      <c r="C158" s="32"/>
      <c r="D158" s="12"/>
    </row>
    <row r="159">
      <c r="A159" s="10"/>
      <c r="B159" s="11"/>
      <c r="C159" s="32"/>
      <c r="D159" s="12"/>
    </row>
    <row r="160">
      <c r="A160" s="10"/>
      <c r="B160" s="11"/>
      <c r="C160" s="32"/>
      <c r="D160" s="12"/>
    </row>
    <row r="161">
      <c r="A161" s="10"/>
      <c r="B161" s="11"/>
      <c r="C161" s="32"/>
      <c r="D161" s="12"/>
    </row>
    <row r="162">
      <c r="A162" s="10"/>
      <c r="B162" s="11"/>
      <c r="C162" s="32"/>
      <c r="D162" s="12"/>
    </row>
    <row r="163">
      <c r="A163" s="10"/>
      <c r="B163" s="11"/>
      <c r="C163" s="32"/>
      <c r="D163" s="12"/>
    </row>
    <row r="164">
      <c r="A164" s="10"/>
      <c r="B164" s="11"/>
      <c r="C164" s="32"/>
      <c r="D164" s="12"/>
    </row>
    <row r="165">
      <c r="A165" s="10"/>
      <c r="B165" s="11"/>
      <c r="C165" s="32"/>
      <c r="D165" s="12"/>
    </row>
    <row r="166">
      <c r="A166" s="10"/>
      <c r="B166" s="11"/>
      <c r="C166" s="32"/>
      <c r="D166" s="12"/>
    </row>
    <row r="167">
      <c r="A167" s="10"/>
      <c r="B167" s="11"/>
      <c r="C167" s="32"/>
      <c r="D167" s="12"/>
    </row>
    <row r="168">
      <c r="A168" s="10"/>
      <c r="B168" s="11"/>
      <c r="C168" s="32"/>
      <c r="D168" s="12"/>
    </row>
    <row r="169">
      <c r="A169" s="10"/>
      <c r="B169" s="11"/>
      <c r="C169" s="32"/>
      <c r="D169" s="12"/>
    </row>
    <row r="170">
      <c r="A170" s="10"/>
      <c r="B170" s="11"/>
      <c r="C170" s="32"/>
      <c r="D170" s="12"/>
    </row>
    <row r="171">
      <c r="A171" s="10"/>
      <c r="B171" s="11"/>
      <c r="C171" s="32"/>
      <c r="D171" s="12"/>
    </row>
    <row r="172">
      <c r="A172" s="10"/>
      <c r="B172" s="11"/>
      <c r="C172" s="32"/>
      <c r="D172" s="12"/>
    </row>
    <row r="173">
      <c r="A173" s="10"/>
      <c r="B173" s="11"/>
      <c r="C173" s="32"/>
      <c r="D173" s="12"/>
    </row>
    <row r="174">
      <c r="A174" s="10"/>
      <c r="B174" s="11"/>
      <c r="C174" s="32"/>
      <c r="D174" s="12"/>
    </row>
    <row r="175">
      <c r="A175" s="10"/>
      <c r="B175" s="11"/>
      <c r="C175" s="32"/>
      <c r="D175" s="12"/>
    </row>
    <row r="176">
      <c r="A176" s="10"/>
      <c r="B176" s="11"/>
      <c r="C176" s="32"/>
      <c r="D176" s="12"/>
    </row>
    <row r="177">
      <c r="A177" s="10"/>
      <c r="B177" s="11"/>
      <c r="C177" s="32"/>
      <c r="D177" s="12"/>
    </row>
    <row r="178">
      <c r="A178" s="10"/>
      <c r="B178" s="11"/>
      <c r="C178" s="32"/>
      <c r="D178" s="12"/>
    </row>
    <row r="179">
      <c r="A179" s="10"/>
      <c r="B179" s="11"/>
      <c r="C179" s="32"/>
      <c r="D179" s="12"/>
    </row>
    <row r="180">
      <c r="A180" s="10"/>
      <c r="B180" s="11"/>
      <c r="C180" s="32"/>
      <c r="D180" s="12"/>
    </row>
    <row r="181">
      <c r="A181" s="10"/>
      <c r="B181" s="11"/>
      <c r="C181" s="32"/>
      <c r="D181" s="12"/>
    </row>
    <row r="182">
      <c r="A182" s="10"/>
      <c r="B182" s="11"/>
      <c r="C182" s="32"/>
      <c r="D182" s="12"/>
    </row>
    <row r="183">
      <c r="A183" s="10"/>
      <c r="B183" s="11"/>
      <c r="C183" s="32"/>
      <c r="D183" s="12"/>
    </row>
    <row r="184">
      <c r="A184" s="10"/>
      <c r="B184" s="11"/>
      <c r="C184" s="32"/>
      <c r="D184" s="12"/>
    </row>
    <row r="185">
      <c r="A185" s="10"/>
      <c r="B185" s="11"/>
      <c r="C185" s="32"/>
      <c r="D185" s="12"/>
    </row>
    <row r="186">
      <c r="A186" s="10"/>
      <c r="B186" s="11"/>
      <c r="C186" s="32"/>
      <c r="D186" s="12"/>
    </row>
    <row r="187">
      <c r="A187" s="10"/>
      <c r="B187" s="11"/>
      <c r="C187" s="32"/>
      <c r="D187" s="12"/>
    </row>
    <row r="188">
      <c r="A188" s="10"/>
      <c r="B188" s="11"/>
      <c r="C188" s="32"/>
      <c r="D188" s="12"/>
    </row>
    <row r="189">
      <c r="A189" s="10"/>
      <c r="B189" s="11"/>
      <c r="C189" s="32"/>
      <c r="D189" s="12"/>
    </row>
    <row r="190">
      <c r="A190" s="10"/>
      <c r="B190" s="11"/>
      <c r="C190" s="32"/>
      <c r="D190" s="12"/>
    </row>
    <row r="191">
      <c r="A191" s="10"/>
      <c r="B191" s="11"/>
      <c r="C191" s="32"/>
      <c r="D191" s="12"/>
    </row>
    <row r="192">
      <c r="A192" s="10"/>
      <c r="B192" s="11"/>
      <c r="C192" s="32"/>
      <c r="D192" s="12"/>
    </row>
    <row r="193">
      <c r="A193" s="10"/>
      <c r="B193" s="11"/>
      <c r="C193" s="32"/>
      <c r="D193" s="12"/>
    </row>
    <row r="194">
      <c r="A194" s="10"/>
      <c r="B194" s="11"/>
      <c r="C194" s="32"/>
      <c r="D194" s="12"/>
    </row>
    <row r="195">
      <c r="A195" s="10"/>
      <c r="B195" s="11"/>
      <c r="C195" s="32"/>
      <c r="D195" s="12"/>
    </row>
    <row r="196">
      <c r="A196" s="10"/>
      <c r="B196" s="11"/>
      <c r="C196" s="32"/>
      <c r="D196" s="12"/>
    </row>
    <row r="197">
      <c r="A197" s="10"/>
      <c r="B197" s="11"/>
      <c r="C197" s="32"/>
      <c r="D197" s="12"/>
    </row>
    <row r="198">
      <c r="A198" s="10"/>
      <c r="B198" s="11"/>
      <c r="C198" s="32"/>
      <c r="D198" s="12"/>
    </row>
    <row r="199">
      <c r="A199" s="10"/>
      <c r="B199" s="11"/>
      <c r="C199" s="32"/>
      <c r="D199" s="12"/>
    </row>
    <row r="200">
      <c r="A200" s="10"/>
      <c r="B200" s="11"/>
      <c r="C200" s="32"/>
      <c r="D200" s="12"/>
    </row>
    <row r="201">
      <c r="A201" s="10"/>
      <c r="B201" s="11"/>
      <c r="C201" s="32"/>
      <c r="D201" s="12"/>
    </row>
    <row r="202">
      <c r="A202" s="10"/>
      <c r="B202" s="11"/>
      <c r="C202" s="32"/>
      <c r="D202" s="12"/>
    </row>
    <row r="203">
      <c r="A203" s="10"/>
      <c r="B203" s="11"/>
      <c r="C203" s="32"/>
      <c r="D203" s="12"/>
    </row>
    <row r="204">
      <c r="A204" s="10"/>
      <c r="B204" s="11"/>
      <c r="C204" s="32"/>
      <c r="D204" s="12"/>
    </row>
    <row r="205">
      <c r="A205" s="10"/>
      <c r="B205" s="11"/>
      <c r="C205" s="32"/>
      <c r="D205" s="12"/>
    </row>
    <row r="206">
      <c r="A206" s="10"/>
      <c r="B206" s="11"/>
      <c r="C206" s="32"/>
      <c r="D206" s="12"/>
    </row>
    <row r="207">
      <c r="A207" s="10"/>
      <c r="B207" s="11"/>
      <c r="C207" s="32"/>
      <c r="D207" s="12"/>
    </row>
    <row r="208">
      <c r="A208" s="10"/>
      <c r="B208" s="11"/>
      <c r="C208" s="32"/>
      <c r="D208" s="12"/>
    </row>
    <row r="209">
      <c r="A209" s="10"/>
      <c r="B209" s="11"/>
      <c r="C209" s="32"/>
      <c r="D209" s="12"/>
    </row>
    <row r="210">
      <c r="A210" s="10"/>
      <c r="B210" s="11"/>
      <c r="C210" s="32"/>
      <c r="D210" s="12"/>
    </row>
    <row r="211">
      <c r="A211" s="10"/>
      <c r="B211" s="11"/>
      <c r="C211" s="32"/>
      <c r="D211" s="12"/>
    </row>
    <row r="212">
      <c r="A212" s="10"/>
      <c r="B212" s="11"/>
      <c r="C212" s="32"/>
      <c r="D212" s="12"/>
    </row>
    <row r="213">
      <c r="A213" s="10"/>
      <c r="B213" s="11"/>
      <c r="C213" s="32"/>
      <c r="D213" s="12"/>
    </row>
    <row r="214">
      <c r="A214" s="10"/>
      <c r="B214" s="11"/>
      <c r="C214" s="32"/>
      <c r="D214" s="12"/>
    </row>
    <row r="215">
      <c r="A215" s="10"/>
      <c r="B215" s="11"/>
      <c r="C215" s="32"/>
      <c r="D215" s="12"/>
    </row>
    <row r="216">
      <c r="A216" s="10"/>
      <c r="B216" s="11"/>
      <c r="C216" s="32"/>
      <c r="D216" s="12"/>
    </row>
    <row r="217">
      <c r="A217" s="10"/>
      <c r="B217" s="11"/>
      <c r="C217" s="32"/>
      <c r="D217" s="12"/>
    </row>
    <row r="218">
      <c r="A218" s="10"/>
      <c r="B218" s="11"/>
      <c r="C218" s="32"/>
      <c r="D218" s="12"/>
    </row>
    <row r="219">
      <c r="A219" s="10"/>
      <c r="B219" s="11"/>
      <c r="C219" s="32"/>
      <c r="D219" s="12"/>
    </row>
    <row r="220">
      <c r="A220" s="10"/>
      <c r="B220" s="11"/>
      <c r="C220" s="32"/>
      <c r="D220" s="12"/>
    </row>
    <row r="221">
      <c r="A221" s="10"/>
      <c r="B221" s="11"/>
      <c r="C221" s="32"/>
      <c r="D221" s="12"/>
    </row>
    <row r="222">
      <c r="A222" s="10"/>
      <c r="B222" s="11"/>
      <c r="C222" s="32"/>
      <c r="D222" s="12"/>
    </row>
    <row r="223">
      <c r="A223" s="10"/>
      <c r="B223" s="11"/>
      <c r="C223" s="32"/>
      <c r="D223" s="12"/>
    </row>
    <row r="224">
      <c r="A224" s="10"/>
      <c r="B224" s="11"/>
      <c r="C224" s="32"/>
      <c r="D224" s="12"/>
    </row>
    <row r="225">
      <c r="A225" s="10"/>
      <c r="B225" s="11"/>
      <c r="C225" s="32"/>
      <c r="D225" s="12"/>
    </row>
    <row r="226">
      <c r="A226" s="10"/>
      <c r="B226" s="11"/>
      <c r="C226" s="32"/>
      <c r="D226" s="12"/>
    </row>
    <row r="227">
      <c r="A227" s="10"/>
      <c r="B227" s="11"/>
      <c r="C227" s="32"/>
      <c r="D227" s="12"/>
    </row>
    <row r="228">
      <c r="A228" s="10"/>
      <c r="B228" s="11"/>
      <c r="C228" s="32"/>
      <c r="D228" s="12"/>
    </row>
    <row r="229">
      <c r="A229" s="10"/>
      <c r="B229" s="11"/>
      <c r="C229" s="32"/>
      <c r="D229" s="12"/>
    </row>
    <row r="230">
      <c r="A230" s="10"/>
      <c r="B230" s="11"/>
      <c r="C230" s="32"/>
      <c r="D230" s="12"/>
    </row>
    <row r="231">
      <c r="A231" s="10"/>
      <c r="B231" s="11"/>
      <c r="C231" s="32"/>
      <c r="D231" s="12"/>
    </row>
    <row r="232">
      <c r="A232" s="10"/>
      <c r="B232" s="11"/>
      <c r="C232" s="32"/>
      <c r="D232" s="12"/>
    </row>
    <row r="233">
      <c r="A233" s="10"/>
      <c r="B233" s="11"/>
      <c r="C233" s="32"/>
      <c r="D233" s="12"/>
    </row>
    <row r="234">
      <c r="A234" s="10"/>
      <c r="B234" s="11"/>
      <c r="C234" s="32"/>
      <c r="D234" s="12"/>
    </row>
    <row r="235">
      <c r="A235" s="10"/>
      <c r="B235" s="11"/>
      <c r="C235" s="32"/>
      <c r="D235" s="12"/>
    </row>
    <row r="236">
      <c r="A236" s="10"/>
      <c r="B236" s="11"/>
      <c r="C236" s="32"/>
      <c r="D236" s="12"/>
    </row>
    <row r="237">
      <c r="A237" s="10"/>
      <c r="B237" s="11"/>
      <c r="C237" s="32"/>
      <c r="D237" s="12"/>
    </row>
    <row r="238">
      <c r="A238" s="10"/>
      <c r="B238" s="11"/>
      <c r="C238" s="32"/>
      <c r="D238" s="12"/>
    </row>
    <row r="239">
      <c r="A239" s="10"/>
      <c r="B239" s="11"/>
      <c r="C239" s="32"/>
      <c r="D239" s="12"/>
    </row>
    <row r="240">
      <c r="A240" s="10"/>
      <c r="B240" s="11"/>
      <c r="C240" s="32"/>
      <c r="D240" s="12"/>
    </row>
    <row r="241">
      <c r="A241" s="10"/>
      <c r="B241" s="11"/>
      <c r="C241" s="32"/>
      <c r="D241" s="12"/>
    </row>
    <row r="242">
      <c r="A242" s="10"/>
      <c r="B242" s="11"/>
      <c r="C242" s="32"/>
      <c r="D242" s="12"/>
    </row>
    <row r="243">
      <c r="A243" s="10"/>
      <c r="B243" s="11"/>
      <c r="C243" s="32"/>
      <c r="D243" s="12"/>
    </row>
    <row r="244">
      <c r="A244" s="10"/>
      <c r="B244" s="11"/>
      <c r="C244" s="32"/>
      <c r="D244" s="12"/>
    </row>
    <row r="245">
      <c r="A245" s="10"/>
      <c r="B245" s="11"/>
      <c r="C245" s="32"/>
      <c r="D245" s="12"/>
    </row>
    <row r="246">
      <c r="A246" s="10"/>
      <c r="B246" s="11"/>
      <c r="C246" s="32"/>
      <c r="D246" s="12"/>
    </row>
    <row r="247">
      <c r="A247" s="10"/>
      <c r="B247" s="11"/>
      <c r="C247" s="32"/>
      <c r="D247" s="12"/>
    </row>
    <row r="248">
      <c r="A248" s="10"/>
      <c r="B248" s="11"/>
      <c r="C248" s="32"/>
      <c r="D248" s="12"/>
    </row>
    <row r="249">
      <c r="A249" s="10"/>
      <c r="B249" s="11"/>
      <c r="C249" s="32"/>
      <c r="D249" s="12"/>
    </row>
    <row r="250">
      <c r="A250" s="10"/>
      <c r="B250" s="11"/>
      <c r="C250" s="32"/>
      <c r="D250" s="12"/>
    </row>
    <row r="251">
      <c r="A251" s="10"/>
      <c r="B251" s="11"/>
      <c r="C251" s="32"/>
      <c r="D251" s="12"/>
    </row>
    <row r="252">
      <c r="A252" s="10"/>
      <c r="B252" s="11"/>
      <c r="C252" s="32"/>
      <c r="D252" s="12"/>
    </row>
    <row r="253">
      <c r="A253" s="10"/>
      <c r="B253" s="11"/>
      <c r="C253" s="32"/>
      <c r="D253" s="12"/>
    </row>
    <row r="254">
      <c r="A254" s="10"/>
      <c r="B254" s="11"/>
      <c r="C254" s="32"/>
      <c r="D254" s="12"/>
    </row>
    <row r="255">
      <c r="A255" s="10"/>
      <c r="B255" s="11"/>
      <c r="C255" s="32"/>
      <c r="D255" s="12"/>
    </row>
    <row r="256">
      <c r="A256" s="10"/>
      <c r="B256" s="11"/>
      <c r="C256" s="32"/>
      <c r="D256" s="12"/>
    </row>
    <row r="257">
      <c r="A257" s="10"/>
      <c r="B257" s="11"/>
      <c r="C257" s="32"/>
      <c r="D257" s="12"/>
    </row>
    <row r="258">
      <c r="A258" s="10"/>
      <c r="B258" s="11"/>
      <c r="C258" s="32"/>
      <c r="D258" s="12"/>
    </row>
    <row r="259">
      <c r="A259" s="10"/>
      <c r="B259" s="11"/>
      <c r="C259" s="32"/>
      <c r="D259" s="12"/>
    </row>
    <row r="260">
      <c r="A260" s="10"/>
      <c r="B260" s="11"/>
      <c r="C260" s="32"/>
      <c r="D260" s="12"/>
    </row>
    <row r="261">
      <c r="A261" s="10"/>
      <c r="B261" s="11"/>
      <c r="C261" s="32"/>
      <c r="D261" s="12"/>
    </row>
    <row r="262">
      <c r="A262" s="10"/>
      <c r="B262" s="11"/>
      <c r="C262" s="32"/>
      <c r="D262" s="12"/>
    </row>
    <row r="263">
      <c r="A263" s="10"/>
      <c r="B263" s="11"/>
      <c r="C263" s="32"/>
      <c r="D263" s="12"/>
    </row>
    <row r="264">
      <c r="A264" s="10"/>
      <c r="B264" s="11"/>
      <c r="C264" s="32"/>
      <c r="D264" s="12"/>
    </row>
    <row r="265">
      <c r="A265" s="10"/>
      <c r="B265" s="11"/>
      <c r="C265" s="32"/>
      <c r="D265" s="12"/>
    </row>
    <row r="266">
      <c r="A266" s="10"/>
      <c r="B266" s="11"/>
      <c r="C266" s="32"/>
      <c r="D266" s="12"/>
    </row>
    <row r="267">
      <c r="A267" s="10"/>
      <c r="B267" s="11"/>
      <c r="C267" s="32"/>
      <c r="D267" s="12"/>
    </row>
    <row r="268">
      <c r="A268" s="10"/>
      <c r="B268" s="11"/>
      <c r="C268" s="32"/>
      <c r="D268" s="12"/>
    </row>
    <row r="269">
      <c r="A269" s="10"/>
      <c r="B269" s="11"/>
      <c r="C269" s="32"/>
      <c r="D269" s="12"/>
    </row>
    <row r="270">
      <c r="A270" s="10"/>
      <c r="B270" s="11"/>
      <c r="C270" s="32"/>
      <c r="D270" s="12"/>
    </row>
    <row r="271">
      <c r="A271" s="10"/>
      <c r="B271" s="11"/>
      <c r="C271" s="32"/>
      <c r="D271" s="12"/>
    </row>
    <row r="272">
      <c r="A272" s="10"/>
      <c r="B272" s="11"/>
      <c r="C272" s="32"/>
      <c r="D272" s="12"/>
    </row>
    <row r="273">
      <c r="A273" s="10"/>
      <c r="B273" s="11"/>
      <c r="C273" s="32"/>
      <c r="D273" s="12"/>
    </row>
    <row r="274">
      <c r="A274" s="10"/>
      <c r="B274" s="11"/>
      <c r="C274" s="32"/>
      <c r="D274" s="12"/>
    </row>
    <row r="275">
      <c r="A275" s="10"/>
      <c r="B275" s="11"/>
      <c r="C275" s="32"/>
      <c r="D275" s="12"/>
    </row>
    <row r="276">
      <c r="A276" s="10"/>
      <c r="B276" s="11"/>
      <c r="C276" s="32"/>
      <c r="D276" s="12"/>
    </row>
    <row r="277">
      <c r="A277" s="10"/>
      <c r="B277" s="11"/>
      <c r="C277" s="32"/>
      <c r="D277" s="12"/>
    </row>
    <row r="278">
      <c r="A278" s="10"/>
      <c r="B278" s="11"/>
      <c r="C278" s="32"/>
      <c r="D278" s="12"/>
    </row>
    <row r="279">
      <c r="A279" s="10"/>
      <c r="B279" s="11"/>
      <c r="C279" s="32"/>
      <c r="D279" s="12"/>
    </row>
    <row r="280">
      <c r="A280" s="10"/>
      <c r="B280" s="11"/>
      <c r="C280" s="32"/>
      <c r="D280" s="12"/>
    </row>
    <row r="281">
      <c r="A281" s="10"/>
      <c r="B281" s="11"/>
      <c r="C281" s="32"/>
      <c r="D281" s="12"/>
    </row>
    <row r="282">
      <c r="A282" s="10"/>
      <c r="B282" s="11"/>
      <c r="C282" s="32"/>
      <c r="D282" s="12"/>
    </row>
    <row r="283">
      <c r="A283" s="10"/>
      <c r="B283" s="11"/>
      <c r="C283" s="32"/>
      <c r="D283" s="12"/>
    </row>
    <row r="284">
      <c r="A284" s="10"/>
      <c r="B284" s="11"/>
      <c r="C284" s="32"/>
      <c r="D284" s="12"/>
    </row>
    <row r="285">
      <c r="A285" s="10"/>
      <c r="B285" s="11"/>
      <c r="C285" s="32"/>
      <c r="D285" s="12"/>
    </row>
    <row r="286">
      <c r="A286" s="10"/>
      <c r="B286" s="11"/>
      <c r="C286" s="32"/>
      <c r="D286" s="12"/>
    </row>
    <row r="287">
      <c r="A287" s="10"/>
      <c r="B287" s="11"/>
      <c r="C287" s="32"/>
      <c r="D287" s="12"/>
    </row>
    <row r="288">
      <c r="A288" s="10"/>
      <c r="B288" s="11"/>
      <c r="C288" s="32"/>
      <c r="D288" s="12"/>
    </row>
    <row r="289">
      <c r="A289" s="10"/>
      <c r="B289" s="11"/>
      <c r="C289" s="32"/>
      <c r="D289" s="12"/>
    </row>
    <row r="290">
      <c r="A290" s="10"/>
      <c r="B290" s="11"/>
      <c r="C290" s="32"/>
      <c r="D290" s="12"/>
    </row>
    <row r="291">
      <c r="A291" s="10"/>
      <c r="B291" s="11"/>
      <c r="C291" s="32"/>
      <c r="D291" s="12"/>
    </row>
    <row r="292">
      <c r="A292" s="10"/>
      <c r="B292" s="11"/>
      <c r="C292" s="32"/>
      <c r="D292" s="12"/>
    </row>
    <row r="293">
      <c r="A293" s="10"/>
      <c r="B293" s="11"/>
      <c r="C293" s="32"/>
      <c r="D293" s="12"/>
    </row>
    <row r="294">
      <c r="A294" s="10"/>
      <c r="B294" s="11"/>
      <c r="C294" s="32"/>
      <c r="D294" s="12"/>
    </row>
    <row r="295">
      <c r="A295" s="10"/>
      <c r="B295" s="11"/>
      <c r="C295" s="32"/>
      <c r="D295" s="12"/>
    </row>
    <row r="296">
      <c r="A296" s="10"/>
      <c r="B296" s="11"/>
      <c r="C296" s="32"/>
      <c r="D296" s="12"/>
    </row>
    <row r="297">
      <c r="A297" s="10"/>
      <c r="B297" s="11"/>
      <c r="C297" s="32"/>
      <c r="D297" s="12"/>
    </row>
    <row r="298">
      <c r="A298" s="10"/>
      <c r="B298" s="11"/>
      <c r="C298" s="32"/>
      <c r="D298" s="12"/>
    </row>
    <row r="299">
      <c r="A299" s="10"/>
      <c r="B299" s="11"/>
      <c r="C299" s="32"/>
      <c r="D299" s="12"/>
    </row>
    <row r="300">
      <c r="A300" s="10"/>
      <c r="B300" s="11"/>
      <c r="C300" s="32"/>
      <c r="D300" s="12"/>
    </row>
    <row r="301">
      <c r="A301" s="10"/>
      <c r="B301" s="11"/>
      <c r="C301" s="32"/>
      <c r="D301" s="12"/>
    </row>
    <row r="302">
      <c r="A302" s="10"/>
      <c r="B302" s="11"/>
      <c r="C302" s="32"/>
      <c r="D302" s="12"/>
    </row>
    <row r="303">
      <c r="A303" s="10"/>
      <c r="B303" s="11"/>
      <c r="C303" s="32"/>
      <c r="D303" s="12"/>
    </row>
    <row r="304">
      <c r="A304" s="10"/>
      <c r="B304" s="11"/>
      <c r="C304" s="32"/>
      <c r="D304" s="12"/>
    </row>
    <row r="305">
      <c r="A305" s="10"/>
      <c r="B305" s="11"/>
      <c r="C305" s="32"/>
      <c r="D305" s="12"/>
    </row>
    <row r="306">
      <c r="A306" s="10"/>
      <c r="B306" s="11"/>
      <c r="C306" s="32"/>
      <c r="D306" s="12"/>
    </row>
    <row r="307">
      <c r="A307" s="10"/>
      <c r="B307" s="11"/>
      <c r="C307" s="32"/>
      <c r="D307" s="12"/>
    </row>
    <row r="308">
      <c r="A308" s="10"/>
      <c r="B308" s="11"/>
      <c r="C308" s="32"/>
      <c r="D308" s="12"/>
    </row>
    <row r="309">
      <c r="A309" s="10"/>
      <c r="B309" s="11"/>
      <c r="C309" s="32"/>
      <c r="D309" s="12"/>
    </row>
    <row r="310">
      <c r="A310" s="10"/>
      <c r="B310" s="11"/>
      <c r="C310" s="32"/>
      <c r="D310" s="12"/>
    </row>
    <row r="311">
      <c r="A311" s="10"/>
      <c r="B311" s="11"/>
      <c r="C311" s="32"/>
      <c r="D311" s="12"/>
    </row>
    <row r="312">
      <c r="A312" s="10"/>
      <c r="B312" s="11"/>
      <c r="C312" s="32"/>
      <c r="D312" s="12"/>
    </row>
    <row r="313">
      <c r="A313" s="10"/>
      <c r="B313" s="11"/>
      <c r="C313" s="32"/>
      <c r="D313" s="12"/>
    </row>
    <row r="314">
      <c r="A314" s="10"/>
      <c r="B314" s="11"/>
      <c r="C314" s="32"/>
      <c r="D314" s="12"/>
    </row>
    <row r="315">
      <c r="A315" s="10"/>
      <c r="B315" s="11"/>
      <c r="C315" s="32"/>
      <c r="D315" s="12"/>
    </row>
    <row r="316">
      <c r="A316" s="10"/>
      <c r="B316" s="11"/>
      <c r="C316" s="32"/>
      <c r="D316" s="12"/>
    </row>
    <row r="317">
      <c r="A317" s="10"/>
      <c r="B317" s="11"/>
      <c r="C317" s="32"/>
      <c r="D317" s="12"/>
    </row>
    <row r="318">
      <c r="A318" s="10"/>
      <c r="B318" s="11"/>
      <c r="C318" s="32"/>
      <c r="D318" s="12"/>
    </row>
    <row r="319">
      <c r="A319" s="10"/>
      <c r="B319" s="11"/>
      <c r="C319" s="32"/>
      <c r="D319" s="12"/>
    </row>
    <row r="320">
      <c r="A320" s="10"/>
      <c r="B320" s="11"/>
      <c r="C320" s="32"/>
      <c r="D320" s="12"/>
    </row>
    <row r="321">
      <c r="A321" s="10"/>
      <c r="B321" s="11"/>
      <c r="C321" s="32"/>
      <c r="D321" s="12"/>
    </row>
    <row r="322">
      <c r="A322" s="10"/>
      <c r="B322" s="11"/>
      <c r="C322" s="32"/>
      <c r="D322" s="12"/>
    </row>
    <row r="323">
      <c r="A323" s="10"/>
      <c r="B323" s="11"/>
      <c r="C323" s="32"/>
      <c r="D323" s="12"/>
    </row>
    <row r="324">
      <c r="A324" s="10"/>
      <c r="B324" s="11"/>
      <c r="C324" s="32"/>
      <c r="D324" s="12"/>
    </row>
    <row r="325">
      <c r="A325" s="10"/>
      <c r="B325" s="11"/>
      <c r="C325" s="32"/>
      <c r="D325" s="12"/>
    </row>
    <row r="326">
      <c r="A326" s="10"/>
      <c r="B326" s="11"/>
      <c r="C326" s="32"/>
      <c r="D326" s="12"/>
    </row>
    <row r="327">
      <c r="A327" s="10"/>
      <c r="B327" s="11"/>
      <c r="C327" s="32"/>
      <c r="D327" s="12"/>
    </row>
    <row r="328">
      <c r="A328" s="10"/>
      <c r="B328" s="11"/>
      <c r="C328" s="32"/>
      <c r="D328" s="12"/>
    </row>
    <row r="329">
      <c r="A329" s="10"/>
      <c r="B329" s="11"/>
      <c r="C329" s="32"/>
      <c r="D329" s="12"/>
    </row>
    <row r="330">
      <c r="A330" s="10"/>
      <c r="B330" s="11"/>
      <c r="C330" s="32"/>
      <c r="D330" s="12"/>
    </row>
    <row r="331">
      <c r="A331" s="10"/>
      <c r="B331" s="11"/>
      <c r="C331" s="32"/>
      <c r="D331" s="12"/>
    </row>
    <row r="332">
      <c r="A332" s="10"/>
      <c r="B332" s="11"/>
      <c r="C332" s="32"/>
      <c r="D332" s="12"/>
    </row>
    <row r="333">
      <c r="A333" s="10"/>
      <c r="B333" s="11"/>
      <c r="C333" s="32"/>
      <c r="D333" s="12"/>
    </row>
    <row r="334">
      <c r="A334" s="10"/>
      <c r="B334" s="11"/>
      <c r="C334" s="32"/>
      <c r="D334" s="12"/>
    </row>
    <row r="335">
      <c r="A335" s="10"/>
      <c r="B335" s="11"/>
      <c r="C335" s="32"/>
      <c r="D335" s="12"/>
    </row>
    <row r="336">
      <c r="A336" s="10"/>
      <c r="B336" s="11"/>
      <c r="C336" s="32"/>
      <c r="D336" s="12"/>
    </row>
    <row r="337">
      <c r="A337" s="10"/>
      <c r="B337" s="11"/>
      <c r="C337" s="32"/>
      <c r="D337" s="12"/>
    </row>
    <row r="338">
      <c r="A338" s="10"/>
      <c r="B338" s="11"/>
      <c r="C338" s="32"/>
      <c r="D338" s="12"/>
    </row>
    <row r="339">
      <c r="A339" s="10"/>
      <c r="B339" s="11"/>
      <c r="C339" s="32"/>
      <c r="D339" s="12"/>
    </row>
    <row r="340">
      <c r="A340" s="10"/>
      <c r="B340" s="11"/>
      <c r="C340" s="32"/>
      <c r="D340" s="12"/>
    </row>
    <row r="341">
      <c r="A341" s="10"/>
      <c r="B341" s="11"/>
      <c r="C341" s="32"/>
      <c r="D341" s="12"/>
    </row>
    <row r="342">
      <c r="A342" s="10"/>
      <c r="B342" s="11"/>
      <c r="C342" s="32"/>
      <c r="D342" s="12"/>
    </row>
    <row r="343">
      <c r="A343" s="10"/>
      <c r="B343" s="11"/>
      <c r="C343" s="32"/>
      <c r="D343" s="12"/>
    </row>
    <row r="344">
      <c r="A344" s="10"/>
      <c r="B344" s="11"/>
      <c r="C344" s="32"/>
      <c r="D344" s="12"/>
    </row>
    <row r="345">
      <c r="A345" s="10"/>
      <c r="B345" s="11"/>
      <c r="C345" s="32"/>
      <c r="D345" s="12"/>
    </row>
    <row r="346">
      <c r="A346" s="10"/>
      <c r="B346" s="11"/>
      <c r="C346" s="32"/>
      <c r="D346" s="12"/>
    </row>
    <row r="347">
      <c r="A347" s="10"/>
      <c r="B347" s="11"/>
      <c r="C347" s="32"/>
      <c r="D347" s="12"/>
    </row>
    <row r="348">
      <c r="A348" s="10"/>
      <c r="B348" s="11"/>
      <c r="C348" s="32"/>
      <c r="D348" s="12"/>
    </row>
    <row r="349">
      <c r="A349" s="10"/>
      <c r="B349" s="11"/>
      <c r="C349" s="32"/>
      <c r="D349" s="12"/>
    </row>
    <row r="350">
      <c r="A350" s="10"/>
      <c r="B350" s="11"/>
      <c r="C350" s="32"/>
      <c r="D350" s="12"/>
    </row>
    <row r="351">
      <c r="A351" s="10"/>
      <c r="B351" s="11"/>
      <c r="C351" s="32"/>
      <c r="D351" s="12"/>
    </row>
    <row r="352">
      <c r="A352" s="10"/>
      <c r="B352" s="11"/>
      <c r="C352" s="32"/>
      <c r="D352" s="12"/>
    </row>
    <row r="353">
      <c r="A353" s="10"/>
      <c r="B353" s="11"/>
      <c r="C353" s="32"/>
      <c r="D353" s="12"/>
    </row>
    <row r="354">
      <c r="A354" s="10"/>
      <c r="B354" s="11"/>
      <c r="C354" s="32"/>
      <c r="D354" s="12"/>
    </row>
    <row r="355">
      <c r="A355" s="10"/>
      <c r="B355" s="11"/>
      <c r="C355" s="32"/>
      <c r="D355" s="12"/>
    </row>
    <row r="356">
      <c r="A356" s="10"/>
      <c r="B356" s="11"/>
      <c r="C356" s="32"/>
      <c r="D356" s="12"/>
    </row>
    <row r="357">
      <c r="A357" s="10"/>
      <c r="B357" s="11"/>
      <c r="C357" s="32"/>
      <c r="D357" s="12"/>
    </row>
    <row r="358">
      <c r="A358" s="10"/>
      <c r="B358" s="11"/>
      <c r="C358" s="32"/>
      <c r="D358" s="12"/>
    </row>
    <row r="359">
      <c r="A359" s="10"/>
      <c r="B359" s="11"/>
      <c r="C359" s="32"/>
      <c r="D359" s="12"/>
    </row>
    <row r="360">
      <c r="A360" s="10"/>
      <c r="B360" s="11"/>
      <c r="C360" s="32"/>
      <c r="D360" s="12"/>
    </row>
    <row r="361">
      <c r="A361" s="10"/>
      <c r="B361" s="11"/>
      <c r="C361" s="32"/>
      <c r="D361" s="12"/>
    </row>
    <row r="362">
      <c r="A362" s="10"/>
      <c r="B362" s="11"/>
      <c r="C362" s="32"/>
      <c r="D362" s="12"/>
    </row>
    <row r="363">
      <c r="A363" s="10"/>
      <c r="B363" s="11"/>
      <c r="C363" s="32"/>
      <c r="D363" s="12"/>
    </row>
    <row r="364">
      <c r="A364" s="10"/>
      <c r="B364" s="11"/>
      <c r="C364" s="32"/>
      <c r="D364" s="12"/>
    </row>
    <row r="365">
      <c r="A365" s="10"/>
      <c r="B365" s="11"/>
      <c r="C365" s="32"/>
      <c r="D365" s="12"/>
    </row>
    <row r="366">
      <c r="A366" s="10"/>
      <c r="B366" s="11"/>
      <c r="C366" s="32"/>
      <c r="D366" s="12"/>
    </row>
    <row r="367">
      <c r="A367" s="10"/>
      <c r="B367" s="11"/>
      <c r="C367" s="32"/>
      <c r="D367" s="12"/>
    </row>
    <row r="368">
      <c r="A368" s="10"/>
      <c r="B368" s="11"/>
      <c r="C368" s="32"/>
      <c r="D368" s="12"/>
    </row>
    <row r="369">
      <c r="A369" s="10"/>
      <c r="B369" s="11"/>
      <c r="C369" s="32"/>
      <c r="D369" s="12"/>
    </row>
    <row r="370">
      <c r="A370" s="10"/>
      <c r="B370" s="11"/>
      <c r="C370" s="32"/>
      <c r="D370" s="12"/>
    </row>
    <row r="371">
      <c r="A371" s="10"/>
      <c r="B371" s="11"/>
      <c r="C371" s="32"/>
      <c r="D371" s="12"/>
    </row>
    <row r="372">
      <c r="A372" s="10"/>
      <c r="B372" s="11"/>
      <c r="C372" s="32"/>
      <c r="D372" s="12"/>
    </row>
    <row r="373">
      <c r="A373" s="10"/>
      <c r="B373" s="11"/>
      <c r="C373" s="32"/>
      <c r="D373" s="12"/>
    </row>
    <row r="374">
      <c r="A374" s="10"/>
      <c r="B374" s="11"/>
      <c r="C374" s="32"/>
      <c r="D374" s="12"/>
    </row>
    <row r="375">
      <c r="A375" s="10"/>
      <c r="B375" s="11"/>
      <c r="C375" s="32"/>
      <c r="D375" s="12"/>
    </row>
    <row r="376">
      <c r="A376" s="10"/>
      <c r="B376" s="11"/>
      <c r="C376" s="32"/>
      <c r="D376" s="12"/>
    </row>
    <row r="377">
      <c r="A377" s="10"/>
      <c r="B377" s="11"/>
      <c r="C377" s="32"/>
      <c r="D377" s="12"/>
    </row>
    <row r="378">
      <c r="A378" s="10"/>
      <c r="B378" s="11"/>
      <c r="C378" s="32"/>
      <c r="D378" s="12"/>
    </row>
    <row r="379">
      <c r="A379" s="10"/>
      <c r="B379" s="11"/>
      <c r="C379" s="32"/>
      <c r="D379" s="12"/>
    </row>
    <row r="380">
      <c r="A380" s="10"/>
      <c r="B380" s="11"/>
      <c r="C380" s="32"/>
      <c r="D380" s="12"/>
    </row>
    <row r="381">
      <c r="A381" s="10"/>
      <c r="B381" s="11"/>
      <c r="C381" s="32"/>
      <c r="D381" s="12"/>
    </row>
    <row r="382">
      <c r="A382" s="10"/>
      <c r="B382" s="11"/>
      <c r="C382" s="32"/>
      <c r="D382" s="12"/>
    </row>
    <row r="383">
      <c r="A383" s="10"/>
      <c r="B383" s="11"/>
      <c r="C383" s="32"/>
      <c r="D383" s="12"/>
    </row>
    <row r="384">
      <c r="A384" s="10"/>
      <c r="B384" s="11"/>
      <c r="C384" s="32"/>
      <c r="D384" s="12"/>
    </row>
    <row r="385">
      <c r="A385" s="10"/>
      <c r="B385" s="11"/>
      <c r="C385" s="32"/>
      <c r="D385" s="12"/>
    </row>
    <row r="386">
      <c r="A386" s="10"/>
      <c r="B386" s="11"/>
      <c r="C386" s="32"/>
      <c r="D386" s="12"/>
    </row>
    <row r="387">
      <c r="A387" s="10"/>
      <c r="B387" s="11"/>
      <c r="C387" s="32"/>
      <c r="D387" s="12"/>
    </row>
    <row r="388">
      <c r="A388" s="10"/>
      <c r="B388" s="11"/>
      <c r="C388" s="32"/>
      <c r="D388" s="12"/>
    </row>
    <row r="389">
      <c r="A389" s="10"/>
      <c r="B389" s="11"/>
      <c r="C389" s="32"/>
      <c r="D389" s="12"/>
    </row>
    <row r="390">
      <c r="A390" s="10"/>
      <c r="B390" s="11"/>
      <c r="C390" s="32"/>
      <c r="D390" s="12"/>
    </row>
    <row r="391">
      <c r="A391" s="10"/>
      <c r="B391" s="11"/>
      <c r="C391" s="32"/>
      <c r="D391" s="12"/>
    </row>
    <row r="392">
      <c r="A392" s="10"/>
      <c r="B392" s="11"/>
      <c r="C392" s="32"/>
      <c r="D392" s="12"/>
    </row>
    <row r="393">
      <c r="A393" s="10"/>
      <c r="B393" s="11"/>
      <c r="C393" s="32"/>
      <c r="D393" s="12"/>
    </row>
    <row r="394">
      <c r="A394" s="10"/>
      <c r="B394" s="11"/>
      <c r="C394" s="32"/>
      <c r="D394" s="12"/>
    </row>
    <row r="395">
      <c r="A395" s="10"/>
      <c r="B395" s="11"/>
      <c r="C395" s="32"/>
      <c r="D395" s="12"/>
    </row>
    <row r="396">
      <c r="A396" s="10"/>
      <c r="B396" s="11"/>
      <c r="C396" s="32"/>
      <c r="D396" s="12"/>
    </row>
    <row r="397">
      <c r="A397" s="10"/>
      <c r="B397" s="11"/>
      <c r="C397" s="32"/>
      <c r="D397" s="12"/>
    </row>
    <row r="398">
      <c r="A398" s="10"/>
      <c r="B398" s="11"/>
      <c r="C398" s="32"/>
      <c r="D398" s="12"/>
    </row>
    <row r="399">
      <c r="A399" s="10"/>
      <c r="B399" s="11"/>
      <c r="C399" s="32"/>
      <c r="D399" s="12"/>
    </row>
    <row r="400">
      <c r="A400" s="10"/>
      <c r="B400" s="11"/>
      <c r="C400" s="32"/>
      <c r="D400" s="12"/>
    </row>
    <row r="401">
      <c r="A401" s="10"/>
      <c r="B401" s="11"/>
      <c r="C401" s="32"/>
      <c r="D401" s="12"/>
    </row>
    <row r="402">
      <c r="A402" s="10"/>
      <c r="B402" s="11"/>
      <c r="C402" s="32"/>
      <c r="D402" s="12"/>
    </row>
    <row r="403">
      <c r="A403" s="10"/>
      <c r="B403" s="11"/>
      <c r="C403" s="32"/>
      <c r="D403" s="12"/>
    </row>
    <row r="404">
      <c r="A404" s="10"/>
      <c r="B404" s="11"/>
      <c r="C404" s="32"/>
      <c r="D404" s="12"/>
    </row>
    <row r="405">
      <c r="A405" s="10"/>
      <c r="B405" s="11"/>
      <c r="C405" s="32"/>
      <c r="D405" s="12"/>
    </row>
    <row r="406">
      <c r="A406" s="10"/>
      <c r="B406" s="11"/>
      <c r="C406" s="32"/>
      <c r="D406" s="12"/>
    </row>
    <row r="407">
      <c r="A407" s="10"/>
      <c r="B407" s="11"/>
      <c r="C407" s="32"/>
      <c r="D407" s="12"/>
    </row>
    <row r="408">
      <c r="A408" s="10"/>
      <c r="B408" s="11"/>
      <c r="C408" s="32"/>
      <c r="D408" s="12"/>
    </row>
    <row r="409">
      <c r="A409" s="10"/>
      <c r="B409" s="11"/>
      <c r="C409" s="32"/>
      <c r="D409" s="12"/>
    </row>
    <row r="410">
      <c r="A410" s="10"/>
      <c r="B410" s="11"/>
      <c r="C410" s="32"/>
      <c r="D410" s="12"/>
    </row>
    <row r="411">
      <c r="A411" s="10"/>
      <c r="B411" s="11"/>
      <c r="C411" s="32"/>
      <c r="D411" s="12"/>
    </row>
    <row r="412">
      <c r="A412" s="10"/>
      <c r="B412" s="11"/>
      <c r="C412" s="32"/>
      <c r="D412" s="12"/>
    </row>
    <row r="413">
      <c r="A413" s="10"/>
      <c r="B413" s="11"/>
      <c r="C413" s="32"/>
      <c r="D413" s="12"/>
    </row>
    <row r="414">
      <c r="A414" s="10"/>
      <c r="B414" s="11"/>
      <c r="C414" s="32"/>
      <c r="D414" s="12"/>
    </row>
    <row r="415">
      <c r="A415" s="10"/>
      <c r="B415" s="11"/>
      <c r="C415" s="32"/>
      <c r="D415" s="12"/>
    </row>
    <row r="416">
      <c r="A416" s="10"/>
      <c r="B416" s="11"/>
      <c r="C416" s="32"/>
      <c r="D416" s="12"/>
    </row>
    <row r="417">
      <c r="A417" s="10"/>
      <c r="B417" s="11"/>
      <c r="C417" s="32"/>
      <c r="D417" s="12"/>
    </row>
    <row r="418">
      <c r="A418" s="10"/>
      <c r="B418" s="11"/>
      <c r="C418" s="32"/>
      <c r="D418" s="12"/>
    </row>
    <row r="419">
      <c r="A419" s="10"/>
      <c r="B419" s="11"/>
      <c r="C419" s="32"/>
      <c r="D419" s="12"/>
    </row>
    <row r="420">
      <c r="A420" s="10"/>
      <c r="B420" s="11"/>
      <c r="C420" s="32"/>
      <c r="D420" s="12"/>
    </row>
    <row r="421">
      <c r="A421" s="10"/>
      <c r="B421" s="11"/>
      <c r="C421" s="32"/>
      <c r="D421" s="12"/>
    </row>
    <row r="422">
      <c r="A422" s="10"/>
      <c r="B422" s="11"/>
      <c r="C422" s="32"/>
      <c r="D422" s="12"/>
    </row>
    <row r="423">
      <c r="A423" s="10"/>
      <c r="B423" s="11"/>
      <c r="C423" s="32"/>
      <c r="D423" s="12"/>
    </row>
    <row r="424">
      <c r="A424" s="10"/>
      <c r="B424" s="11"/>
      <c r="C424" s="32"/>
      <c r="D424" s="12"/>
    </row>
    <row r="425">
      <c r="A425" s="10"/>
      <c r="B425" s="11"/>
      <c r="C425" s="32"/>
      <c r="D425" s="12"/>
    </row>
    <row r="426">
      <c r="A426" s="10"/>
      <c r="B426" s="11"/>
      <c r="C426" s="32"/>
      <c r="D426" s="12"/>
    </row>
    <row r="427">
      <c r="A427" s="10"/>
      <c r="B427" s="11"/>
      <c r="C427" s="32"/>
      <c r="D427" s="12"/>
    </row>
    <row r="428">
      <c r="A428" s="10"/>
      <c r="B428" s="11"/>
      <c r="C428" s="32"/>
      <c r="D428" s="12"/>
    </row>
    <row r="429">
      <c r="A429" s="10"/>
      <c r="B429" s="11"/>
      <c r="C429" s="32"/>
      <c r="D429" s="12"/>
    </row>
    <row r="430">
      <c r="A430" s="10"/>
      <c r="B430" s="11"/>
      <c r="C430" s="32"/>
      <c r="D430" s="12"/>
    </row>
    <row r="431">
      <c r="A431" s="10"/>
      <c r="B431" s="11"/>
      <c r="C431" s="32"/>
      <c r="D431" s="12"/>
    </row>
    <row r="432">
      <c r="A432" s="10"/>
      <c r="B432" s="11"/>
      <c r="C432" s="32"/>
      <c r="D432" s="12"/>
    </row>
    <row r="433">
      <c r="A433" s="10"/>
      <c r="B433" s="11"/>
      <c r="C433" s="32"/>
      <c r="D433" s="12"/>
    </row>
    <row r="434">
      <c r="A434" s="10"/>
      <c r="B434" s="11"/>
      <c r="C434" s="32"/>
      <c r="D434" s="12"/>
    </row>
    <row r="435">
      <c r="A435" s="10"/>
      <c r="B435" s="11"/>
      <c r="C435" s="32"/>
      <c r="D435" s="12"/>
    </row>
    <row r="436">
      <c r="A436" s="10"/>
      <c r="B436" s="11"/>
      <c r="C436" s="32"/>
      <c r="D436" s="12"/>
    </row>
    <row r="437">
      <c r="A437" s="10"/>
      <c r="B437" s="11"/>
      <c r="C437" s="32"/>
      <c r="D437" s="12"/>
    </row>
    <row r="438">
      <c r="A438" s="10"/>
      <c r="B438" s="11"/>
      <c r="C438" s="32"/>
      <c r="D438" s="12"/>
    </row>
    <row r="439">
      <c r="A439" s="10"/>
      <c r="B439" s="11"/>
      <c r="C439" s="32"/>
      <c r="D439" s="12"/>
    </row>
    <row r="440">
      <c r="A440" s="10"/>
      <c r="B440" s="11"/>
      <c r="C440" s="32"/>
      <c r="D440" s="12"/>
    </row>
    <row r="441">
      <c r="A441" s="10"/>
      <c r="B441" s="11"/>
      <c r="C441" s="32"/>
      <c r="D441" s="12"/>
    </row>
    <row r="442">
      <c r="A442" s="10"/>
      <c r="B442" s="11"/>
      <c r="C442" s="32"/>
      <c r="D442" s="12"/>
    </row>
    <row r="443">
      <c r="A443" s="10"/>
      <c r="B443" s="11"/>
      <c r="C443" s="32"/>
      <c r="D443" s="12"/>
    </row>
    <row r="444">
      <c r="A444" s="10"/>
      <c r="B444" s="11"/>
      <c r="C444" s="32"/>
      <c r="D444" s="12"/>
    </row>
    <row r="445">
      <c r="A445" s="10"/>
      <c r="B445" s="11"/>
      <c r="C445" s="32"/>
      <c r="D445" s="12"/>
    </row>
    <row r="446">
      <c r="A446" s="10"/>
      <c r="B446" s="11"/>
      <c r="C446" s="32"/>
      <c r="D446" s="12"/>
    </row>
    <row r="447">
      <c r="A447" s="10"/>
      <c r="B447" s="11"/>
      <c r="C447" s="32"/>
      <c r="D447" s="12"/>
    </row>
    <row r="448">
      <c r="A448" s="10"/>
      <c r="B448" s="11"/>
      <c r="C448" s="32"/>
      <c r="D448" s="12"/>
    </row>
    <row r="449">
      <c r="A449" s="10"/>
      <c r="B449" s="11"/>
      <c r="C449" s="32"/>
      <c r="D449" s="12"/>
    </row>
    <row r="450">
      <c r="A450" s="10"/>
      <c r="B450" s="11"/>
      <c r="C450" s="32"/>
      <c r="D450" s="12"/>
    </row>
    <row r="451">
      <c r="A451" s="10"/>
      <c r="B451" s="11"/>
      <c r="C451" s="32"/>
      <c r="D451" s="12"/>
    </row>
    <row r="452">
      <c r="A452" s="10"/>
      <c r="B452" s="11"/>
      <c r="C452" s="32"/>
      <c r="D452" s="12"/>
    </row>
    <row r="453">
      <c r="A453" s="10"/>
      <c r="B453" s="11"/>
      <c r="C453" s="32"/>
      <c r="D453" s="12"/>
    </row>
    <row r="454">
      <c r="A454" s="10"/>
      <c r="B454" s="11"/>
      <c r="C454" s="32"/>
      <c r="D454" s="12"/>
    </row>
    <row r="455">
      <c r="A455" s="10"/>
      <c r="B455" s="11"/>
      <c r="C455" s="32"/>
      <c r="D455" s="12"/>
    </row>
    <row r="456">
      <c r="A456" s="10"/>
      <c r="B456" s="11"/>
      <c r="C456" s="32"/>
      <c r="D456" s="12"/>
    </row>
    <row r="457">
      <c r="A457" s="10"/>
      <c r="B457" s="11"/>
      <c r="C457" s="32"/>
      <c r="D457" s="12"/>
    </row>
    <row r="458">
      <c r="A458" s="10"/>
      <c r="B458" s="11"/>
      <c r="C458" s="32"/>
      <c r="D458" s="12"/>
    </row>
    <row r="459">
      <c r="A459" s="10"/>
      <c r="B459" s="11"/>
      <c r="C459" s="32"/>
      <c r="D459" s="12"/>
    </row>
    <row r="460">
      <c r="A460" s="10"/>
      <c r="B460" s="11"/>
      <c r="C460" s="32"/>
      <c r="D460" s="12"/>
    </row>
    <row r="461">
      <c r="A461" s="10"/>
      <c r="B461" s="11"/>
      <c r="C461" s="32"/>
      <c r="D461" s="12"/>
    </row>
    <row r="462">
      <c r="A462" s="10"/>
      <c r="B462" s="11"/>
      <c r="C462" s="32"/>
      <c r="D462" s="12"/>
    </row>
    <row r="463">
      <c r="A463" s="10"/>
      <c r="B463" s="11"/>
      <c r="C463" s="32"/>
      <c r="D463" s="12"/>
    </row>
    <row r="464">
      <c r="A464" s="10"/>
      <c r="B464" s="11"/>
      <c r="C464" s="32"/>
      <c r="D464" s="12"/>
    </row>
    <row r="465">
      <c r="A465" s="10"/>
      <c r="B465" s="11"/>
      <c r="C465" s="32"/>
      <c r="D465" s="12"/>
    </row>
    <row r="466">
      <c r="A466" s="10"/>
      <c r="B466" s="11"/>
      <c r="C466" s="32"/>
      <c r="D466" s="12"/>
    </row>
    <row r="467">
      <c r="A467" s="10"/>
      <c r="B467" s="11"/>
      <c r="C467" s="32"/>
      <c r="D467" s="12"/>
    </row>
    <row r="468">
      <c r="A468" s="10"/>
      <c r="B468" s="11"/>
      <c r="C468" s="32"/>
      <c r="D468" s="12"/>
    </row>
    <row r="469">
      <c r="A469" s="10"/>
      <c r="B469" s="11"/>
      <c r="C469" s="32"/>
      <c r="D469" s="12"/>
    </row>
    <row r="470">
      <c r="A470" s="10"/>
      <c r="B470" s="11"/>
      <c r="C470" s="32"/>
      <c r="D470" s="12"/>
    </row>
    <row r="471">
      <c r="A471" s="10"/>
      <c r="B471" s="11"/>
      <c r="C471" s="32"/>
      <c r="D471" s="12"/>
    </row>
    <row r="472">
      <c r="A472" s="10"/>
      <c r="B472" s="11"/>
      <c r="C472" s="32"/>
      <c r="D472" s="12"/>
    </row>
    <row r="473">
      <c r="A473" s="10"/>
      <c r="B473" s="11"/>
      <c r="C473" s="32"/>
      <c r="D473" s="12"/>
    </row>
    <row r="474">
      <c r="A474" s="10"/>
      <c r="B474" s="11"/>
      <c r="C474" s="32"/>
      <c r="D474" s="12"/>
    </row>
    <row r="475">
      <c r="A475" s="10"/>
      <c r="B475" s="11"/>
      <c r="C475" s="32"/>
      <c r="D475" s="12"/>
    </row>
    <row r="476">
      <c r="A476" s="10"/>
      <c r="B476" s="11"/>
      <c r="C476" s="32"/>
      <c r="D476" s="12"/>
    </row>
    <row r="477">
      <c r="A477" s="10"/>
      <c r="B477" s="11"/>
      <c r="C477" s="32"/>
      <c r="D477" s="12"/>
    </row>
    <row r="478">
      <c r="A478" s="10"/>
      <c r="B478" s="11"/>
      <c r="C478" s="32"/>
      <c r="D478" s="12"/>
    </row>
    <row r="479">
      <c r="A479" s="10"/>
      <c r="B479" s="11"/>
      <c r="C479" s="32"/>
      <c r="D479" s="12"/>
    </row>
    <row r="480">
      <c r="A480" s="10"/>
      <c r="B480" s="11"/>
      <c r="C480" s="32"/>
      <c r="D480" s="12"/>
    </row>
    <row r="481">
      <c r="A481" s="10"/>
      <c r="B481" s="11"/>
      <c r="C481" s="32"/>
      <c r="D481" s="12"/>
    </row>
    <row r="482">
      <c r="A482" s="10"/>
      <c r="B482" s="11"/>
      <c r="C482" s="32"/>
      <c r="D482" s="12"/>
    </row>
    <row r="483">
      <c r="A483" s="10"/>
      <c r="B483" s="11"/>
      <c r="C483" s="32"/>
      <c r="D483" s="12"/>
    </row>
    <row r="484">
      <c r="A484" s="10"/>
      <c r="B484" s="11"/>
      <c r="C484" s="32"/>
      <c r="D484" s="12"/>
    </row>
    <row r="485">
      <c r="A485" s="10"/>
      <c r="B485" s="11"/>
      <c r="C485" s="32"/>
      <c r="D485" s="12"/>
    </row>
    <row r="486">
      <c r="A486" s="10"/>
      <c r="B486" s="11"/>
      <c r="C486" s="32"/>
      <c r="D486" s="12"/>
    </row>
    <row r="487">
      <c r="A487" s="10"/>
      <c r="B487" s="11"/>
      <c r="C487" s="32"/>
      <c r="D487" s="12"/>
    </row>
    <row r="488">
      <c r="A488" s="10"/>
      <c r="B488" s="11"/>
      <c r="C488" s="32"/>
      <c r="D488" s="12"/>
    </row>
    <row r="489">
      <c r="A489" s="10"/>
      <c r="B489" s="11"/>
      <c r="C489" s="32"/>
      <c r="D489" s="12"/>
    </row>
    <row r="490">
      <c r="A490" s="10"/>
      <c r="B490" s="11"/>
      <c r="C490" s="32"/>
      <c r="D490" s="12"/>
    </row>
    <row r="491">
      <c r="A491" s="10"/>
      <c r="B491" s="11"/>
      <c r="C491" s="32"/>
      <c r="D491" s="12"/>
    </row>
    <row r="492">
      <c r="A492" s="10"/>
      <c r="B492" s="11"/>
      <c r="C492" s="32"/>
      <c r="D492" s="12"/>
    </row>
    <row r="493">
      <c r="A493" s="10"/>
      <c r="B493" s="11"/>
      <c r="C493" s="32"/>
      <c r="D493" s="12"/>
    </row>
    <row r="494">
      <c r="A494" s="10"/>
      <c r="B494" s="11"/>
      <c r="C494" s="32"/>
      <c r="D494" s="12"/>
    </row>
    <row r="495">
      <c r="A495" s="10"/>
      <c r="B495" s="11"/>
      <c r="C495" s="32"/>
      <c r="D495" s="12"/>
    </row>
    <row r="496">
      <c r="A496" s="10"/>
      <c r="B496" s="11"/>
      <c r="C496" s="32"/>
      <c r="D496" s="12"/>
    </row>
    <row r="497">
      <c r="A497" s="10"/>
      <c r="B497" s="11"/>
      <c r="C497" s="32"/>
      <c r="D497" s="12"/>
    </row>
    <row r="498">
      <c r="A498" s="10"/>
      <c r="B498" s="11"/>
      <c r="C498" s="32"/>
      <c r="D498" s="12"/>
    </row>
    <row r="499">
      <c r="A499" s="10"/>
      <c r="B499" s="11"/>
      <c r="C499" s="32"/>
      <c r="D499" s="12"/>
    </row>
    <row r="500">
      <c r="A500" s="10"/>
      <c r="B500" s="11"/>
      <c r="C500" s="32"/>
      <c r="D500" s="12"/>
    </row>
    <row r="501">
      <c r="A501" s="10"/>
      <c r="B501" s="11"/>
      <c r="C501" s="32"/>
      <c r="D501" s="12"/>
    </row>
    <row r="502">
      <c r="A502" s="10"/>
      <c r="B502" s="11"/>
      <c r="C502" s="32"/>
      <c r="D502" s="12"/>
    </row>
    <row r="503">
      <c r="A503" s="10"/>
      <c r="B503" s="11"/>
      <c r="C503" s="32"/>
      <c r="D503" s="12"/>
    </row>
    <row r="504">
      <c r="A504" s="10"/>
      <c r="B504" s="11"/>
      <c r="C504" s="32"/>
      <c r="D504" s="12"/>
    </row>
    <row r="505">
      <c r="A505" s="10"/>
      <c r="B505" s="11"/>
      <c r="C505" s="32"/>
      <c r="D505" s="12"/>
    </row>
    <row r="506">
      <c r="A506" s="10"/>
      <c r="B506" s="11"/>
      <c r="C506" s="32"/>
      <c r="D506" s="12"/>
    </row>
    <row r="507">
      <c r="A507" s="10"/>
      <c r="B507" s="11"/>
      <c r="C507" s="32"/>
      <c r="D507" s="12"/>
    </row>
    <row r="508">
      <c r="A508" s="10"/>
      <c r="B508" s="11"/>
      <c r="C508" s="32"/>
      <c r="D508" s="12"/>
    </row>
    <row r="509">
      <c r="A509" s="10"/>
      <c r="B509" s="11"/>
      <c r="C509" s="32"/>
      <c r="D509" s="12"/>
    </row>
    <row r="510">
      <c r="A510" s="10"/>
      <c r="B510" s="11"/>
      <c r="C510" s="32"/>
      <c r="D510" s="12"/>
    </row>
    <row r="511">
      <c r="A511" s="10"/>
      <c r="B511" s="11"/>
      <c r="C511" s="32"/>
      <c r="D511" s="12"/>
    </row>
    <row r="512">
      <c r="A512" s="10"/>
      <c r="B512" s="11"/>
      <c r="C512" s="32"/>
      <c r="D512" s="12"/>
    </row>
    <row r="513">
      <c r="A513" s="10"/>
      <c r="B513" s="11"/>
      <c r="C513" s="32"/>
      <c r="D513" s="12"/>
    </row>
    <row r="514">
      <c r="A514" s="10"/>
      <c r="B514" s="11"/>
      <c r="C514" s="32"/>
      <c r="D514" s="12"/>
    </row>
    <row r="515">
      <c r="A515" s="10"/>
      <c r="B515" s="11"/>
      <c r="C515" s="32"/>
      <c r="D515" s="12"/>
    </row>
    <row r="516">
      <c r="A516" s="10"/>
      <c r="B516" s="11"/>
      <c r="C516" s="32"/>
      <c r="D516" s="12"/>
    </row>
    <row r="517">
      <c r="A517" s="10"/>
      <c r="B517" s="11"/>
      <c r="C517" s="32"/>
      <c r="D517" s="12"/>
    </row>
    <row r="518">
      <c r="A518" s="10"/>
      <c r="B518" s="11"/>
      <c r="C518" s="32"/>
      <c r="D518" s="12"/>
    </row>
    <row r="519">
      <c r="A519" s="10"/>
      <c r="B519" s="11"/>
      <c r="C519" s="32"/>
      <c r="D519" s="12"/>
    </row>
    <row r="520">
      <c r="A520" s="10"/>
      <c r="B520" s="11"/>
      <c r="C520" s="32"/>
      <c r="D520" s="12"/>
    </row>
    <row r="521">
      <c r="A521" s="10"/>
      <c r="B521" s="11"/>
      <c r="C521" s="32"/>
      <c r="D521" s="12"/>
    </row>
    <row r="522">
      <c r="A522" s="10"/>
      <c r="B522" s="11"/>
      <c r="C522" s="32"/>
      <c r="D522" s="12"/>
    </row>
    <row r="523">
      <c r="A523" s="10"/>
      <c r="B523" s="11"/>
      <c r="C523" s="32"/>
      <c r="D523" s="12"/>
    </row>
    <row r="524">
      <c r="A524" s="10"/>
      <c r="B524" s="11"/>
      <c r="C524" s="32"/>
      <c r="D524" s="12"/>
    </row>
    <row r="525">
      <c r="A525" s="10"/>
      <c r="B525" s="11"/>
      <c r="C525" s="32"/>
      <c r="D525" s="12"/>
    </row>
    <row r="526">
      <c r="A526" s="10"/>
      <c r="B526" s="11"/>
      <c r="C526" s="32"/>
      <c r="D526" s="12"/>
    </row>
    <row r="527">
      <c r="A527" s="10"/>
      <c r="B527" s="11"/>
      <c r="C527" s="32"/>
      <c r="D527" s="12"/>
    </row>
    <row r="528">
      <c r="A528" s="10"/>
      <c r="B528" s="11"/>
      <c r="C528" s="32"/>
      <c r="D528" s="12"/>
    </row>
    <row r="529">
      <c r="A529" s="10"/>
      <c r="B529" s="11"/>
      <c r="C529" s="32"/>
      <c r="D529" s="12"/>
    </row>
    <row r="530">
      <c r="A530" s="10"/>
      <c r="B530" s="11"/>
      <c r="C530" s="32"/>
      <c r="D530" s="12"/>
    </row>
    <row r="531">
      <c r="A531" s="10"/>
      <c r="B531" s="11"/>
      <c r="C531" s="32"/>
      <c r="D531" s="12"/>
    </row>
    <row r="532">
      <c r="A532" s="10"/>
      <c r="B532" s="11"/>
      <c r="C532" s="32"/>
      <c r="D532" s="12"/>
    </row>
    <row r="533">
      <c r="A533" s="10"/>
      <c r="B533" s="11"/>
      <c r="C533" s="32"/>
      <c r="D533" s="12"/>
    </row>
    <row r="534">
      <c r="A534" s="10"/>
      <c r="B534" s="11"/>
      <c r="C534" s="32"/>
      <c r="D534" s="12"/>
    </row>
    <row r="535">
      <c r="A535" s="10"/>
      <c r="B535" s="11"/>
      <c r="C535" s="32"/>
      <c r="D535" s="12"/>
    </row>
    <row r="536">
      <c r="A536" s="10"/>
      <c r="B536" s="11"/>
      <c r="C536" s="32"/>
      <c r="D536" s="12"/>
    </row>
    <row r="537">
      <c r="A537" s="10"/>
      <c r="B537" s="11"/>
      <c r="C537" s="32"/>
      <c r="D537" s="12"/>
    </row>
    <row r="538">
      <c r="A538" s="10"/>
      <c r="B538" s="11"/>
      <c r="C538" s="32"/>
      <c r="D538" s="12"/>
    </row>
    <row r="539">
      <c r="A539" s="10"/>
      <c r="B539" s="11"/>
      <c r="C539" s="32"/>
      <c r="D539" s="12"/>
    </row>
    <row r="540">
      <c r="A540" s="10"/>
      <c r="B540" s="11"/>
      <c r="C540" s="32"/>
      <c r="D540" s="12"/>
    </row>
    <row r="541">
      <c r="A541" s="10"/>
      <c r="B541" s="11"/>
      <c r="C541" s="32"/>
      <c r="D541" s="12"/>
    </row>
    <row r="542">
      <c r="A542" s="10"/>
      <c r="B542" s="11"/>
      <c r="C542" s="32"/>
      <c r="D542" s="12"/>
    </row>
    <row r="543">
      <c r="A543" s="10"/>
      <c r="B543" s="11"/>
      <c r="C543" s="32"/>
      <c r="D543" s="12"/>
    </row>
    <row r="544">
      <c r="A544" s="10"/>
      <c r="B544" s="11"/>
      <c r="C544" s="32"/>
      <c r="D544" s="12"/>
    </row>
    <row r="545">
      <c r="A545" s="10"/>
      <c r="B545" s="11"/>
      <c r="C545" s="32"/>
      <c r="D545" s="12"/>
    </row>
    <row r="546">
      <c r="A546" s="10"/>
      <c r="B546" s="11"/>
      <c r="C546" s="32"/>
      <c r="D546" s="12"/>
    </row>
    <row r="547">
      <c r="A547" s="10"/>
      <c r="B547" s="11"/>
      <c r="C547" s="32"/>
      <c r="D547" s="12"/>
    </row>
    <row r="548">
      <c r="A548" s="10"/>
      <c r="B548" s="11"/>
      <c r="C548" s="32"/>
      <c r="D548" s="12"/>
    </row>
    <row r="549">
      <c r="A549" s="10"/>
      <c r="B549" s="11"/>
      <c r="C549" s="32"/>
      <c r="D549" s="12"/>
    </row>
    <row r="550">
      <c r="A550" s="10"/>
      <c r="B550" s="11"/>
      <c r="C550" s="32"/>
      <c r="D550" s="12"/>
    </row>
    <row r="551">
      <c r="A551" s="10"/>
      <c r="B551" s="11"/>
      <c r="C551" s="32"/>
      <c r="D551" s="12"/>
    </row>
    <row r="552">
      <c r="A552" s="10"/>
      <c r="B552" s="11"/>
      <c r="C552" s="32"/>
      <c r="D552" s="12"/>
    </row>
    <row r="553">
      <c r="A553" s="10"/>
      <c r="B553" s="11"/>
      <c r="C553" s="32"/>
      <c r="D553" s="12"/>
    </row>
    <row r="554">
      <c r="A554" s="10"/>
      <c r="B554" s="11"/>
      <c r="C554" s="32"/>
      <c r="D554" s="12"/>
    </row>
    <row r="555">
      <c r="A555" s="10"/>
      <c r="B555" s="11"/>
      <c r="C555" s="32"/>
      <c r="D555" s="12"/>
    </row>
    <row r="556">
      <c r="A556" s="10"/>
      <c r="B556" s="11"/>
      <c r="C556" s="32"/>
      <c r="D556" s="12"/>
    </row>
    <row r="557">
      <c r="A557" s="10"/>
      <c r="B557" s="11"/>
      <c r="C557" s="32"/>
      <c r="D557" s="12"/>
    </row>
    <row r="558">
      <c r="A558" s="10"/>
      <c r="B558" s="11"/>
      <c r="C558" s="32"/>
      <c r="D558" s="12"/>
    </row>
    <row r="559">
      <c r="A559" s="10"/>
      <c r="B559" s="11"/>
      <c r="C559" s="32"/>
      <c r="D559" s="12"/>
    </row>
    <row r="560">
      <c r="A560" s="10"/>
      <c r="B560" s="11"/>
      <c r="C560" s="32"/>
      <c r="D560" s="12"/>
    </row>
    <row r="561">
      <c r="A561" s="10"/>
      <c r="B561" s="11"/>
      <c r="C561" s="32"/>
      <c r="D561" s="12"/>
    </row>
    <row r="562">
      <c r="A562" s="10"/>
      <c r="B562" s="11"/>
      <c r="C562" s="32"/>
      <c r="D562" s="12"/>
    </row>
    <row r="563">
      <c r="A563" s="10"/>
      <c r="B563" s="11"/>
      <c r="C563" s="32"/>
      <c r="D563" s="12"/>
    </row>
    <row r="564">
      <c r="A564" s="10"/>
      <c r="B564" s="11"/>
      <c r="C564" s="32"/>
      <c r="D564" s="12"/>
    </row>
    <row r="565">
      <c r="A565" s="10"/>
      <c r="B565" s="11"/>
      <c r="C565" s="32"/>
      <c r="D565" s="12"/>
    </row>
    <row r="566">
      <c r="A566" s="10"/>
      <c r="B566" s="11"/>
      <c r="C566" s="32"/>
      <c r="D566" s="12"/>
    </row>
    <row r="567">
      <c r="A567" s="10"/>
      <c r="B567" s="11"/>
      <c r="C567" s="32"/>
      <c r="D567" s="12"/>
    </row>
    <row r="568">
      <c r="A568" s="10"/>
      <c r="B568" s="11"/>
      <c r="C568" s="32"/>
      <c r="D568" s="12"/>
    </row>
    <row r="569">
      <c r="A569" s="10"/>
      <c r="B569" s="11"/>
      <c r="C569" s="32"/>
      <c r="D569" s="12"/>
    </row>
    <row r="570">
      <c r="A570" s="10"/>
      <c r="B570" s="11"/>
      <c r="C570" s="32"/>
      <c r="D570" s="12"/>
    </row>
    <row r="571">
      <c r="A571" s="10"/>
      <c r="B571" s="11"/>
      <c r="C571" s="32"/>
      <c r="D571" s="12"/>
    </row>
    <row r="572">
      <c r="A572" s="10"/>
      <c r="B572" s="11"/>
      <c r="C572" s="32"/>
      <c r="D572" s="12"/>
    </row>
    <row r="573">
      <c r="A573" s="10"/>
      <c r="B573" s="11"/>
      <c r="C573" s="32"/>
      <c r="D573" s="12"/>
    </row>
    <row r="574">
      <c r="A574" s="10"/>
      <c r="B574" s="11"/>
      <c r="C574" s="32"/>
      <c r="D574" s="12"/>
    </row>
    <row r="575">
      <c r="A575" s="10"/>
      <c r="B575" s="11"/>
      <c r="C575" s="32"/>
      <c r="D575" s="12"/>
    </row>
    <row r="576">
      <c r="A576" s="10"/>
      <c r="B576" s="11"/>
      <c r="C576" s="32"/>
      <c r="D576" s="12"/>
    </row>
    <row r="577">
      <c r="A577" s="10"/>
      <c r="B577" s="11"/>
      <c r="C577" s="32"/>
      <c r="D577" s="12"/>
    </row>
    <row r="578">
      <c r="A578" s="10"/>
      <c r="B578" s="11"/>
      <c r="C578" s="32"/>
      <c r="D578" s="12"/>
    </row>
    <row r="579">
      <c r="A579" s="10"/>
      <c r="B579" s="11"/>
      <c r="C579" s="32"/>
      <c r="D579" s="12"/>
    </row>
    <row r="580">
      <c r="A580" s="10"/>
      <c r="B580" s="11"/>
      <c r="C580" s="32"/>
      <c r="D580" s="12"/>
    </row>
    <row r="581">
      <c r="A581" s="10"/>
      <c r="B581" s="11"/>
      <c r="C581" s="32"/>
      <c r="D581" s="12"/>
    </row>
    <row r="582">
      <c r="A582" s="10"/>
      <c r="B582" s="11"/>
      <c r="C582" s="32"/>
      <c r="D582" s="12"/>
    </row>
    <row r="583">
      <c r="A583" s="10"/>
      <c r="B583" s="11"/>
      <c r="C583" s="32"/>
      <c r="D583" s="12"/>
    </row>
    <row r="584">
      <c r="A584" s="10"/>
      <c r="B584" s="11"/>
      <c r="C584" s="32"/>
      <c r="D584" s="12"/>
    </row>
    <row r="585">
      <c r="A585" s="10"/>
      <c r="B585" s="11"/>
      <c r="C585" s="32"/>
      <c r="D585" s="12"/>
    </row>
    <row r="586">
      <c r="A586" s="10"/>
      <c r="B586" s="11"/>
      <c r="C586" s="32"/>
      <c r="D586" s="12"/>
    </row>
    <row r="587">
      <c r="A587" s="10"/>
      <c r="B587" s="11"/>
      <c r="C587" s="32"/>
      <c r="D587" s="12"/>
    </row>
    <row r="588">
      <c r="A588" s="10"/>
      <c r="B588" s="11"/>
      <c r="C588" s="32"/>
      <c r="D588" s="12"/>
    </row>
    <row r="589">
      <c r="A589" s="10"/>
      <c r="B589" s="11"/>
      <c r="C589" s="32"/>
      <c r="D589" s="12"/>
    </row>
    <row r="590">
      <c r="A590" s="10"/>
      <c r="B590" s="11"/>
      <c r="C590" s="32"/>
      <c r="D590" s="12"/>
    </row>
    <row r="591">
      <c r="A591" s="10"/>
      <c r="B591" s="11"/>
      <c r="C591" s="32"/>
      <c r="D591" s="12"/>
    </row>
    <row r="592">
      <c r="A592" s="10"/>
      <c r="B592" s="11"/>
      <c r="C592" s="32"/>
      <c r="D592" s="12"/>
    </row>
    <row r="593">
      <c r="A593" s="10"/>
      <c r="B593" s="11"/>
      <c r="C593" s="32"/>
      <c r="D593" s="12"/>
    </row>
    <row r="594">
      <c r="A594" s="10"/>
      <c r="B594" s="11"/>
      <c r="C594" s="32"/>
      <c r="D594" s="12"/>
    </row>
    <row r="595">
      <c r="A595" s="10"/>
      <c r="B595" s="11"/>
      <c r="C595" s="32"/>
      <c r="D595" s="12"/>
    </row>
    <row r="596">
      <c r="A596" s="10"/>
      <c r="B596" s="11"/>
      <c r="C596" s="32"/>
      <c r="D596" s="12"/>
    </row>
    <row r="597">
      <c r="A597" s="10"/>
      <c r="B597" s="11"/>
      <c r="C597" s="32"/>
      <c r="D597" s="12"/>
    </row>
    <row r="598">
      <c r="A598" s="10"/>
      <c r="B598" s="11"/>
      <c r="C598" s="32"/>
      <c r="D598" s="12"/>
    </row>
    <row r="599">
      <c r="A599" s="10"/>
      <c r="B599" s="11"/>
      <c r="C599" s="32"/>
      <c r="D599" s="12"/>
    </row>
    <row r="600">
      <c r="A600" s="10"/>
      <c r="B600" s="11"/>
      <c r="C600" s="32"/>
      <c r="D600" s="12"/>
    </row>
    <row r="601">
      <c r="A601" s="10"/>
      <c r="B601" s="11"/>
      <c r="C601" s="32"/>
      <c r="D601" s="12"/>
    </row>
    <row r="602">
      <c r="A602" s="10"/>
      <c r="B602" s="11"/>
      <c r="C602" s="32"/>
      <c r="D602" s="12"/>
    </row>
    <row r="603">
      <c r="A603" s="10"/>
      <c r="B603" s="11"/>
      <c r="C603" s="32"/>
      <c r="D603" s="12"/>
    </row>
    <row r="604">
      <c r="A604" s="10"/>
      <c r="B604" s="11"/>
      <c r="C604" s="32"/>
      <c r="D604" s="12"/>
    </row>
    <row r="605">
      <c r="A605" s="10"/>
      <c r="B605" s="11"/>
      <c r="C605" s="32"/>
      <c r="D605" s="12"/>
    </row>
    <row r="606">
      <c r="A606" s="10"/>
      <c r="B606" s="11"/>
      <c r="C606" s="32"/>
      <c r="D606" s="12"/>
    </row>
    <row r="607">
      <c r="A607" s="10"/>
      <c r="B607" s="11"/>
      <c r="C607" s="32"/>
      <c r="D607" s="12"/>
    </row>
    <row r="608">
      <c r="A608" s="10"/>
      <c r="B608" s="11"/>
      <c r="C608" s="32"/>
      <c r="D608" s="12"/>
    </row>
    <row r="609">
      <c r="A609" s="10"/>
      <c r="B609" s="11"/>
      <c r="C609" s="32"/>
      <c r="D609" s="12"/>
    </row>
    <row r="610">
      <c r="A610" s="10"/>
      <c r="B610" s="11"/>
      <c r="C610" s="32"/>
      <c r="D610" s="12"/>
    </row>
    <row r="611">
      <c r="A611" s="10"/>
      <c r="B611" s="11"/>
      <c r="C611" s="32"/>
      <c r="D611" s="12"/>
    </row>
    <row r="612">
      <c r="A612" s="10"/>
      <c r="B612" s="11"/>
      <c r="C612" s="32"/>
      <c r="D612" s="12"/>
    </row>
    <row r="613">
      <c r="A613" s="10"/>
      <c r="B613" s="11"/>
      <c r="C613" s="32"/>
      <c r="D613" s="12"/>
    </row>
    <row r="614">
      <c r="A614" s="10"/>
      <c r="B614" s="11"/>
      <c r="C614" s="32"/>
      <c r="D614" s="12"/>
    </row>
    <row r="615">
      <c r="A615" s="10"/>
      <c r="B615" s="11"/>
      <c r="C615" s="32"/>
      <c r="D615" s="12"/>
    </row>
    <row r="616">
      <c r="A616" s="10"/>
      <c r="B616" s="11"/>
      <c r="C616" s="32"/>
      <c r="D616" s="12"/>
    </row>
    <row r="617">
      <c r="A617" s="10"/>
      <c r="B617" s="11"/>
      <c r="C617" s="32"/>
      <c r="D617" s="12"/>
    </row>
    <row r="618">
      <c r="A618" s="10"/>
      <c r="B618" s="11"/>
      <c r="C618" s="32"/>
      <c r="D618" s="12"/>
    </row>
    <row r="619">
      <c r="A619" s="10"/>
      <c r="B619" s="11"/>
      <c r="C619" s="32"/>
      <c r="D619" s="12"/>
    </row>
    <row r="620">
      <c r="A620" s="10"/>
      <c r="B620" s="11"/>
      <c r="C620" s="32"/>
      <c r="D620" s="12"/>
    </row>
    <row r="621">
      <c r="A621" s="10"/>
      <c r="B621" s="11"/>
      <c r="C621" s="32"/>
      <c r="D621" s="12"/>
    </row>
    <row r="622">
      <c r="A622" s="10"/>
      <c r="B622" s="11"/>
      <c r="C622" s="32"/>
      <c r="D622" s="12"/>
    </row>
    <row r="623">
      <c r="A623" s="10"/>
      <c r="B623" s="11"/>
      <c r="C623" s="32"/>
      <c r="D623" s="12"/>
    </row>
    <row r="624">
      <c r="A624" s="10"/>
      <c r="B624" s="11"/>
      <c r="C624" s="32"/>
      <c r="D624" s="12"/>
    </row>
    <row r="625">
      <c r="A625" s="10"/>
      <c r="B625" s="11"/>
      <c r="C625" s="32"/>
      <c r="D625" s="12"/>
    </row>
    <row r="626">
      <c r="A626" s="10"/>
      <c r="B626" s="11"/>
      <c r="C626" s="32"/>
      <c r="D626" s="12"/>
    </row>
    <row r="627">
      <c r="A627" s="10"/>
      <c r="B627" s="11"/>
      <c r="C627" s="32"/>
      <c r="D627" s="12"/>
    </row>
    <row r="628">
      <c r="A628" s="10"/>
      <c r="B628" s="11"/>
      <c r="C628" s="32"/>
      <c r="D628" s="12"/>
    </row>
    <row r="629">
      <c r="A629" s="10"/>
      <c r="B629" s="11"/>
      <c r="C629" s="32"/>
      <c r="D629" s="12"/>
    </row>
    <row r="630">
      <c r="A630" s="10"/>
      <c r="B630" s="11"/>
      <c r="C630" s="32"/>
      <c r="D630" s="12"/>
    </row>
    <row r="631">
      <c r="A631" s="10"/>
      <c r="B631" s="11"/>
      <c r="C631" s="32"/>
      <c r="D631" s="12"/>
    </row>
    <row r="632">
      <c r="A632" s="10"/>
      <c r="B632" s="11"/>
      <c r="C632" s="32"/>
      <c r="D632" s="12"/>
    </row>
    <row r="633">
      <c r="A633" s="10"/>
      <c r="B633" s="11"/>
      <c r="C633" s="32"/>
      <c r="D633" s="12"/>
    </row>
    <row r="634">
      <c r="A634" s="10"/>
      <c r="B634" s="11"/>
      <c r="C634" s="32"/>
      <c r="D634" s="12"/>
    </row>
    <row r="635">
      <c r="A635" s="10"/>
      <c r="B635" s="11"/>
      <c r="C635" s="32"/>
      <c r="D635" s="12"/>
    </row>
    <row r="636">
      <c r="A636" s="10"/>
      <c r="B636" s="11"/>
      <c r="C636" s="32"/>
      <c r="D636" s="12"/>
    </row>
    <row r="637">
      <c r="A637" s="10"/>
      <c r="B637" s="11"/>
      <c r="C637" s="32"/>
      <c r="D637" s="12"/>
    </row>
    <row r="638">
      <c r="A638" s="10"/>
      <c r="B638" s="11"/>
      <c r="C638" s="32"/>
      <c r="D638" s="12"/>
    </row>
    <row r="639">
      <c r="A639" s="10"/>
      <c r="B639" s="11"/>
      <c r="C639" s="32"/>
      <c r="D639" s="12"/>
    </row>
    <row r="640">
      <c r="A640" s="10"/>
      <c r="B640" s="11"/>
      <c r="C640" s="32"/>
      <c r="D640" s="12"/>
    </row>
    <row r="641">
      <c r="A641" s="10"/>
      <c r="B641" s="11"/>
      <c r="C641" s="32"/>
      <c r="D641" s="12"/>
    </row>
    <row r="642">
      <c r="A642" s="10"/>
      <c r="B642" s="11"/>
      <c r="C642" s="32"/>
      <c r="D642" s="12"/>
    </row>
    <row r="643">
      <c r="A643" s="10"/>
      <c r="B643" s="11"/>
      <c r="C643" s="32"/>
      <c r="D643" s="12"/>
    </row>
    <row r="644">
      <c r="A644" s="10"/>
      <c r="B644" s="11"/>
      <c r="C644" s="32"/>
      <c r="D644" s="12"/>
    </row>
    <row r="645">
      <c r="A645" s="10"/>
      <c r="B645" s="11"/>
      <c r="C645" s="32"/>
      <c r="D645" s="12"/>
    </row>
    <row r="646">
      <c r="A646" s="10"/>
      <c r="B646" s="11"/>
      <c r="C646" s="32"/>
      <c r="D646" s="12"/>
    </row>
    <row r="647">
      <c r="A647" s="10"/>
      <c r="B647" s="11"/>
      <c r="C647" s="32"/>
      <c r="D647" s="12"/>
    </row>
    <row r="648">
      <c r="A648" s="10"/>
      <c r="B648" s="11"/>
      <c r="C648" s="32"/>
      <c r="D648" s="12"/>
    </row>
    <row r="649">
      <c r="A649" s="10"/>
      <c r="B649" s="11"/>
      <c r="C649" s="32"/>
      <c r="D649" s="12"/>
    </row>
    <row r="650">
      <c r="A650" s="10"/>
      <c r="B650" s="11"/>
      <c r="C650" s="32"/>
      <c r="D650" s="12"/>
    </row>
    <row r="651">
      <c r="A651" s="10"/>
      <c r="B651" s="11"/>
      <c r="C651" s="32"/>
      <c r="D651" s="12"/>
    </row>
    <row r="652">
      <c r="A652" s="10"/>
      <c r="B652" s="11"/>
      <c r="C652" s="32"/>
      <c r="D652" s="12"/>
    </row>
    <row r="653">
      <c r="A653" s="10"/>
      <c r="B653" s="11"/>
      <c r="C653" s="32"/>
      <c r="D653" s="12"/>
    </row>
    <row r="654">
      <c r="A654" s="10"/>
      <c r="B654" s="11"/>
      <c r="C654" s="32"/>
      <c r="D654" s="12"/>
    </row>
    <row r="655">
      <c r="A655" s="10"/>
      <c r="B655" s="11"/>
      <c r="C655" s="32"/>
      <c r="D655" s="12"/>
    </row>
    <row r="656">
      <c r="A656" s="10"/>
      <c r="B656" s="11"/>
      <c r="C656" s="32"/>
      <c r="D656" s="12"/>
    </row>
    <row r="657">
      <c r="A657" s="10"/>
      <c r="B657" s="11"/>
      <c r="C657" s="32"/>
      <c r="D657" s="12"/>
    </row>
    <row r="658">
      <c r="A658" s="10"/>
      <c r="B658" s="11"/>
      <c r="C658" s="32"/>
      <c r="D658" s="12"/>
    </row>
    <row r="659">
      <c r="A659" s="10"/>
      <c r="B659" s="11"/>
      <c r="C659" s="32"/>
      <c r="D659" s="12"/>
    </row>
    <row r="660">
      <c r="A660" s="10"/>
      <c r="B660" s="11"/>
      <c r="C660" s="32"/>
      <c r="D660" s="12"/>
    </row>
    <row r="661">
      <c r="A661" s="10"/>
      <c r="B661" s="11"/>
      <c r="C661" s="32"/>
      <c r="D661" s="12"/>
    </row>
    <row r="662">
      <c r="A662" s="10"/>
      <c r="B662" s="11"/>
      <c r="C662" s="32"/>
      <c r="D662" s="12"/>
    </row>
    <row r="663">
      <c r="A663" s="10"/>
      <c r="B663" s="11"/>
      <c r="C663" s="32"/>
      <c r="D663" s="12"/>
    </row>
    <row r="664">
      <c r="A664" s="10"/>
      <c r="B664" s="11"/>
      <c r="C664" s="32"/>
      <c r="D664" s="12"/>
    </row>
    <row r="665">
      <c r="A665" s="10"/>
      <c r="B665" s="11"/>
      <c r="C665" s="32"/>
      <c r="D665" s="12"/>
    </row>
    <row r="666">
      <c r="A666" s="10"/>
      <c r="B666" s="11"/>
      <c r="C666" s="32"/>
      <c r="D666" s="12"/>
    </row>
    <row r="667">
      <c r="A667" s="10"/>
      <c r="B667" s="11"/>
      <c r="C667" s="32"/>
      <c r="D667" s="12"/>
    </row>
    <row r="668">
      <c r="A668" s="10"/>
      <c r="B668" s="11"/>
      <c r="C668" s="32"/>
      <c r="D668" s="12"/>
    </row>
    <row r="669">
      <c r="A669" s="10"/>
      <c r="B669" s="11"/>
      <c r="C669" s="32"/>
      <c r="D669" s="12"/>
    </row>
    <row r="670">
      <c r="A670" s="10"/>
      <c r="B670" s="11"/>
      <c r="C670" s="32"/>
      <c r="D670" s="12"/>
    </row>
    <row r="671">
      <c r="A671" s="10"/>
      <c r="B671" s="11"/>
      <c r="C671" s="32"/>
      <c r="D671" s="12"/>
    </row>
    <row r="672">
      <c r="A672" s="10"/>
      <c r="B672" s="11"/>
      <c r="C672" s="32"/>
      <c r="D672" s="12"/>
    </row>
    <row r="673">
      <c r="A673" s="10"/>
      <c r="B673" s="11"/>
      <c r="C673" s="32"/>
      <c r="D673" s="12"/>
    </row>
    <row r="674">
      <c r="A674" s="10"/>
      <c r="B674" s="11"/>
      <c r="C674" s="32"/>
      <c r="D674" s="12"/>
    </row>
    <row r="675">
      <c r="A675" s="10"/>
      <c r="B675" s="11"/>
      <c r="C675" s="32"/>
      <c r="D675" s="12"/>
    </row>
    <row r="676">
      <c r="A676" s="10"/>
      <c r="B676" s="11"/>
      <c r="C676" s="32"/>
      <c r="D676" s="12"/>
    </row>
    <row r="677">
      <c r="A677" s="10"/>
      <c r="B677" s="11"/>
      <c r="C677" s="32"/>
      <c r="D677" s="12"/>
    </row>
    <row r="678">
      <c r="A678" s="10"/>
      <c r="B678" s="11"/>
      <c r="C678" s="32"/>
      <c r="D678" s="12"/>
    </row>
    <row r="679">
      <c r="A679" s="10"/>
      <c r="B679" s="11"/>
      <c r="C679" s="32"/>
      <c r="D679" s="12"/>
    </row>
    <row r="680">
      <c r="A680" s="10"/>
      <c r="B680" s="11"/>
      <c r="C680" s="32"/>
      <c r="D680" s="12"/>
    </row>
    <row r="681">
      <c r="A681" s="10"/>
      <c r="B681" s="11"/>
      <c r="C681" s="32"/>
      <c r="D681" s="12"/>
    </row>
    <row r="682">
      <c r="A682" s="10"/>
      <c r="B682" s="11"/>
      <c r="C682" s="32"/>
      <c r="D682" s="12"/>
    </row>
    <row r="683">
      <c r="A683" s="10"/>
      <c r="B683" s="11"/>
      <c r="C683" s="32"/>
      <c r="D683" s="12"/>
    </row>
    <row r="684">
      <c r="A684" s="10"/>
      <c r="B684" s="11"/>
      <c r="C684" s="32"/>
      <c r="D684" s="12"/>
    </row>
    <row r="685">
      <c r="A685" s="10"/>
      <c r="B685" s="11"/>
      <c r="C685" s="32"/>
      <c r="D685" s="12"/>
    </row>
    <row r="686">
      <c r="A686" s="10"/>
      <c r="B686" s="11"/>
      <c r="C686" s="32"/>
      <c r="D686" s="12"/>
    </row>
    <row r="687">
      <c r="A687" s="10"/>
      <c r="B687" s="11"/>
      <c r="C687" s="32"/>
      <c r="D687" s="12"/>
    </row>
    <row r="688">
      <c r="A688" s="10"/>
      <c r="B688" s="11"/>
      <c r="C688" s="32"/>
      <c r="D688" s="12"/>
    </row>
    <row r="689">
      <c r="A689" s="10"/>
      <c r="B689" s="11"/>
      <c r="C689" s="32"/>
      <c r="D689" s="12"/>
    </row>
    <row r="690">
      <c r="A690" s="10"/>
      <c r="B690" s="11"/>
      <c r="C690" s="32"/>
      <c r="D690" s="12"/>
    </row>
    <row r="691">
      <c r="A691" s="10"/>
      <c r="B691" s="11"/>
      <c r="C691" s="32"/>
      <c r="D691" s="12"/>
    </row>
    <row r="692">
      <c r="A692" s="10"/>
      <c r="B692" s="11"/>
      <c r="C692" s="32"/>
      <c r="D692" s="12"/>
    </row>
    <row r="693">
      <c r="A693" s="10"/>
      <c r="B693" s="11"/>
      <c r="C693" s="32"/>
      <c r="D693" s="12"/>
    </row>
    <row r="694">
      <c r="A694" s="10"/>
      <c r="B694" s="11"/>
      <c r="C694" s="32"/>
      <c r="D694" s="12"/>
    </row>
    <row r="695">
      <c r="A695" s="10"/>
      <c r="B695" s="11"/>
      <c r="C695" s="32"/>
      <c r="D695" s="12"/>
    </row>
    <row r="696">
      <c r="A696" s="10"/>
      <c r="B696" s="11"/>
      <c r="C696" s="32"/>
      <c r="D696" s="12"/>
    </row>
    <row r="697">
      <c r="A697" s="10"/>
      <c r="B697" s="11"/>
      <c r="C697" s="32"/>
      <c r="D697" s="12"/>
    </row>
    <row r="698">
      <c r="A698" s="10"/>
      <c r="B698" s="11"/>
      <c r="C698" s="32"/>
      <c r="D698" s="12"/>
    </row>
    <row r="699">
      <c r="A699" s="10"/>
      <c r="B699" s="11"/>
      <c r="C699" s="32"/>
      <c r="D699" s="12"/>
    </row>
    <row r="700">
      <c r="A700" s="10"/>
      <c r="B700" s="11"/>
      <c r="C700" s="32"/>
      <c r="D700" s="12"/>
    </row>
    <row r="701">
      <c r="A701" s="10"/>
      <c r="B701" s="11"/>
      <c r="C701" s="32"/>
      <c r="D701" s="12"/>
    </row>
    <row r="702">
      <c r="A702" s="10"/>
      <c r="B702" s="11"/>
      <c r="C702" s="32"/>
      <c r="D702" s="12"/>
    </row>
    <row r="703">
      <c r="A703" s="10"/>
      <c r="B703" s="11"/>
      <c r="C703" s="32"/>
      <c r="D703" s="12"/>
    </row>
    <row r="704">
      <c r="A704" s="10"/>
      <c r="B704" s="11"/>
      <c r="C704" s="32"/>
      <c r="D704" s="12"/>
    </row>
    <row r="705">
      <c r="A705" s="10"/>
      <c r="B705" s="11"/>
      <c r="C705" s="32"/>
      <c r="D705" s="12"/>
    </row>
    <row r="706">
      <c r="A706" s="10"/>
      <c r="B706" s="11"/>
      <c r="C706" s="32"/>
      <c r="D706" s="12"/>
    </row>
    <row r="707">
      <c r="A707" s="10"/>
      <c r="B707" s="11"/>
      <c r="C707" s="32"/>
      <c r="D707" s="12"/>
    </row>
    <row r="708">
      <c r="A708" s="10"/>
      <c r="B708" s="11"/>
      <c r="C708" s="32"/>
      <c r="D708" s="12"/>
    </row>
    <row r="709">
      <c r="A709" s="10"/>
      <c r="B709" s="11"/>
      <c r="C709" s="32"/>
      <c r="D709" s="12"/>
    </row>
    <row r="710">
      <c r="A710" s="10"/>
      <c r="B710" s="11"/>
      <c r="C710" s="32"/>
      <c r="D710" s="12"/>
    </row>
    <row r="711">
      <c r="A711" s="10"/>
      <c r="B711" s="11"/>
      <c r="C711" s="32"/>
      <c r="D711" s="12"/>
    </row>
    <row r="712">
      <c r="A712" s="10"/>
      <c r="B712" s="11"/>
      <c r="C712" s="32"/>
      <c r="D712" s="12"/>
    </row>
    <row r="713">
      <c r="A713" s="10"/>
      <c r="B713" s="11"/>
      <c r="C713" s="32"/>
      <c r="D713" s="12"/>
    </row>
    <row r="714">
      <c r="A714" s="10"/>
      <c r="B714" s="11"/>
      <c r="C714" s="32"/>
      <c r="D714" s="12"/>
    </row>
    <row r="715">
      <c r="A715" s="10"/>
      <c r="B715" s="11"/>
      <c r="C715" s="32"/>
      <c r="D715" s="12"/>
    </row>
    <row r="716">
      <c r="A716" s="10"/>
      <c r="B716" s="11"/>
      <c r="C716" s="32"/>
      <c r="D716" s="12"/>
    </row>
    <row r="717">
      <c r="A717" s="10"/>
      <c r="B717" s="11"/>
      <c r="C717" s="32"/>
      <c r="D717" s="12"/>
    </row>
    <row r="718">
      <c r="A718" s="10"/>
      <c r="B718" s="11"/>
      <c r="C718" s="32"/>
      <c r="D718" s="12"/>
    </row>
    <row r="719">
      <c r="A719" s="10"/>
      <c r="B719" s="11"/>
      <c r="C719" s="32"/>
      <c r="D719" s="12"/>
    </row>
    <row r="720">
      <c r="A720" s="10"/>
      <c r="B720" s="11"/>
      <c r="C720" s="32"/>
      <c r="D720" s="12"/>
    </row>
    <row r="721">
      <c r="A721" s="10"/>
      <c r="B721" s="11"/>
      <c r="C721" s="32"/>
      <c r="D721" s="12"/>
    </row>
    <row r="722">
      <c r="A722" s="10"/>
      <c r="B722" s="11"/>
      <c r="C722" s="32"/>
      <c r="D722" s="12"/>
    </row>
    <row r="723">
      <c r="A723" s="10"/>
      <c r="B723" s="11"/>
      <c r="C723" s="32"/>
      <c r="D723" s="12"/>
    </row>
    <row r="724">
      <c r="A724" s="10"/>
      <c r="B724" s="11"/>
      <c r="C724" s="32"/>
      <c r="D724" s="12"/>
    </row>
    <row r="725">
      <c r="A725" s="10"/>
      <c r="B725" s="11"/>
      <c r="C725" s="32"/>
      <c r="D725" s="12"/>
    </row>
    <row r="726">
      <c r="A726" s="10"/>
      <c r="B726" s="11"/>
      <c r="C726" s="32"/>
      <c r="D726" s="12"/>
    </row>
    <row r="727">
      <c r="A727" s="10"/>
      <c r="B727" s="11"/>
      <c r="C727" s="32"/>
      <c r="D727" s="12"/>
    </row>
    <row r="728">
      <c r="A728" s="10"/>
      <c r="B728" s="11"/>
      <c r="C728" s="32"/>
      <c r="D728" s="12"/>
    </row>
    <row r="729">
      <c r="A729" s="10"/>
      <c r="B729" s="11"/>
      <c r="C729" s="32"/>
      <c r="D729" s="12"/>
    </row>
    <row r="730">
      <c r="A730" s="10"/>
      <c r="B730" s="11"/>
      <c r="C730" s="32"/>
      <c r="D730" s="12"/>
    </row>
    <row r="731">
      <c r="A731" s="10"/>
      <c r="B731" s="11"/>
      <c r="C731" s="32"/>
      <c r="D731" s="12"/>
    </row>
    <row r="732">
      <c r="A732" s="10"/>
      <c r="B732" s="11"/>
      <c r="C732" s="32"/>
      <c r="D732" s="12"/>
    </row>
    <row r="733">
      <c r="A733" s="10"/>
      <c r="B733" s="11"/>
      <c r="C733" s="32"/>
      <c r="D733" s="12"/>
    </row>
    <row r="734">
      <c r="A734" s="10"/>
      <c r="B734" s="11"/>
      <c r="C734" s="32"/>
      <c r="D734" s="12"/>
    </row>
    <row r="735">
      <c r="A735" s="10"/>
      <c r="B735" s="11"/>
      <c r="C735" s="32"/>
      <c r="D735" s="12"/>
    </row>
    <row r="736">
      <c r="A736" s="10"/>
      <c r="B736" s="11"/>
      <c r="C736" s="32"/>
      <c r="D736" s="12"/>
    </row>
    <row r="737">
      <c r="A737" s="10"/>
      <c r="B737" s="11"/>
      <c r="C737" s="32"/>
      <c r="D737" s="12"/>
    </row>
    <row r="738">
      <c r="A738" s="10"/>
      <c r="B738" s="11"/>
      <c r="C738" s="32"/>
      <c r="D738" s="12"/>
    </row>
    <row r="739">
      <c r="A739" s="10"/>
      <c r="B739" s="11"/>
      <c r="C739" s="32"/>
      <c r="D739" s="12"/>
    </row>
    <row r="740">
      <c r="A740" s="10"/>
      <c r="B740" s="11"/>
      <c r="C740" s="32"/>
      <c r="D740" s="12"/>
    </row>
    <row r="741">
      <c r="A741" s="10"/>
      <c r="B741" s="11"/>
      <c r="C741" s="32"/>
      <c r="D741" s="12"/>
    </row>
    <row r="742">
      <c r="A742" s="10"/>
      <c r="B742" s="11"/>
      <c r="C742" s="32"/>
      <c r="D742" s="12"/>
    </row>
    <row r="743">
      <c r="A743" s="10"/>
      <c r="B743" s="11"/>
      <c r="C743" s="32"/>
      <c r="D743" s="12"/>
    </row>
    <row r="744">
      <c r="A744" s="10"/>
      <c r="B744" s="11"/>
      <c r="C744" s="32"/>
      <c r="D744" s="12"/>
    </row>
    <row r="745">
      <c r="A745" s="10"/>
      <c r="B745" s="11"/>
      <c r="C745" s="32"/>
      <c r="D745" s="12"/>
    </row>
    <row r="746">
      <c r="A746" s="10"/>
      <c r="B746" s="11"/>
      <c r="C746" s="32"/>
      <c r="D746" s="12"/>
    </row>
    <row r="747">
      <c r="A747" s="10"/>
      <c r="B747" s="11"/>
      <c r="C747" s="32"/>
      <c r="D747" s="12"/>
    </row>
    <row r="748">
      <c r="A748" s="10"/>
      <c r="B748" s="11"/>
      <c r="C748" s="32"/>
      <c r="D748" s="12"/>
    </row>
    <row r="749">
      <c r="A749" s="10"/>
      <c r="B749" s="11"/>
      <c r="C749" s="32"/>
      <c r="D749" s="12"/>
    </row>
    <row r="750">
      <c r="A750" s="10"/>
      <c r="B750" s="11"/>
      <c r="C750" s="32"/>
      <c r="D750" s="12"/>
    </row>
    <row r="751">
      <c r="A751" s="10"/>
      <c r="B751" s="11"/>
      <c r="C751" s="32"/>
      <c r="D751" s="12"/>
    </row>
    <row r="752">
      <c r="A752" s="10"/>
      <c r="B752" s="11"/>
      <c r="C752" s="32"/>
      <c r="D752" s="12"/>
    </row>
    <row r="753">
      <c r="A753" s="10"/>
      <c r="B753" s="11"/>
      <c r="C753" s="32"/>
      <c r="D753" s="12"/>
    </row>
    <row r="754">
      <c r="A754" s="10"/>
      <c r="B754" s="11"/>
      <c r="C754" s="32"/>
      <c r="D754" s="12"/>
    </row>
    <row r="755">
      <c r="A755" s="10"/>
      <c r="B755" s="11"/>
      <c r="C755" s="32"/>
      <c r="D755" s="12"/>
    </row>
    <row r="756">
      <c r="A756" s="10"/>
      <c r="B756" s="11"/>
      <c r="C756" s="32"/>
      <c r="D756" s="12"/>
    </row>
    <row r="757">
      <c r="A757" s="10"/>
      <c r="B757" s="11"/>
      <c r="C757" s="32"/>
      <c r="D757" s="12"/>
    </row>
    <row r="758">
      <c r="A758" s="10"/>
      <c r="B758" s="11"/>
      <c r="C758" s="32"/>
      <c r="D758" s="12"/>
    </row>
    <row r="759">
      <c r="A759" s="10"/>
      <c r="B759" s="11"/>
      <c r="C759" s="32"/>
      <c r="D759" s="12"/>
    </row>
    <row r="760">
      <c r="A760" s="10"/>
      <c r="B760" s="11"/>
      <c r="C760" s="32"/>
      <c r="D760" s="12"/>
    </row>
    <row r="761">
      <c r="A761" s="10"/>
      <c r="B761" s="11"/>
      <c r="C761" s="32"/>
      <c r="D761" s="12"/>
    </row>
    <row r="762">
      <c r="A762" s="10"/>
      <c r="B762" s="11"/>
      <c r="C762" s="32"/>
      <c r="D762" s="12"/>
    </row>
    <row r="763">
      <c r="A763" s="10"/>
      <c r="B763" s="11"/>
      <c r="C763" s="32"/>
      <c r="D763" s="12"/>
    </row>
    <row r="764">
      <c r="A764" s="10"/>
      <c r="B764" s="11"/>
      <c r="C764" s="32"/>
      <c r="D764" s="12"/>
    </row>
    <row r="765">
      <c r="A765" s="10"/>
      <c r="B765" s="11"/>
      <c r="C765" s="32"/>
      <c r="D765" s="12"/>
    </row>
    <row r="766">
      <c r="A766" s="10"/>
      <c r="B766" s="11"/>
      <c r="C766" s="32"/>
      <c r="D766" s="12"/>
    </row>
    <row r="767">
      <c r="A767" s="10"/>
      <c r="B767" s="11"/>
      <c r="C767" s="32"/>
      <c r="D767" s="12"/>
    </row>
    <row r="768">
      <c r="A768" s="10"/>
      <c r="B768" s="11"/>
      <c r="C768" s="32"/>
      <c r="D768" s="12"/>
    </row>
    <row r="769">
      <c r="A769" s="10"/>
      <c r="B769" s="11"/>
      <c r="C769" s="32"/>
      <c r="D769" s="12"/>
    </row>
    <row r="770">
      <c r="A770" s="10"/>
      <c r="B770" s="11"/>
      <c r="C770" s="32"/>
      <c r="D770" s="12"/>
    </row>
    <row r="771">
      <c r="A771" s="10"/>
      <c r="B771" s="11"/>
      <c r="C771" s="32"/>
      <c r="D771" s="12"/>
    </row>
    <row r="772">
      <c r="A772" s="10"/>
      <c r="B772" s="11"/>
      <c r="C772" s="32"/>
      <c r="D772" s="12"/>
    </row>
    <row r="773">
      <c r="A773" s="10"/>
      <c r="B773" s="11"/>
      <c r="C773" s="32"/>
      <c r="D773" s="12"/>
    </row>
    <row r="774">
      <c r="A774" s="10"/>
      <c r="B774" s="11"/>
      <c r="C774" s="32"/>
      <c r="D774" s="12"/>
    </row>
    <row r="775">
      <c r="A775" s="10"/>
      <c r="B775" s="11"/>
      <c r="C775" s="32"/>
      <c r="D775" s="12"/>
    </row>
    <row r="776">
      <c r="A776" s="10"/>
      <c r="B776" s="11"/>
      <c r="C776" s="32"/>
      <c r="D776" s="12"/>
    </row>
    <row r="777">
      <c r="A777" s="10"/>
      <c r="B777" s="11"/>
      <c r="C777" s="32"/>
      <c r="D777" s="12"/>
    </row>
    <row r="778">
      <c r="A778" s="10"/>
      <c r="B778" s="11"/>
      <c r="C778" s="32"/>
      <c r="D778" s="12"/>
    </row>
    <row r="779">
      <c r="A779" s="10"/>
      <c r="B779" s="11"/>
      <c r="C779" s="32"/>
      <c r="D779" s="12"/>
    </row>
    <row r="780">
      <c r="A780" s="10"/>
      <c r="B780" s="11"/>
      <c r="C780" s="32"/>
      <c r="D780" s="12"/>
    </row>
    <row r="781">
      <c r="A781" s="10"/>
      <c r="B781" s="11"/>
      <c r="C781" s="32"/>
      <c r="D781" s="12"/>
    </row>
    <row r="782">
      <c r="A782" s="10"/>
      <c r="B782" s="11"/>
      <c r="C782" s="32"/>
      <c r="D782" s="12"/>
    </row>
    <row r="783">
      <c r="A783" s="10"/>
      <c r="B783" s="11"/>
      <c r="C783" s="32"/>
      <c r="D783" s="12"/>
    </row>
    <row r="784">
      <c r="A784" s="10"/>
      <c r="B784" s="11"/>
      <c r="C784" s="32"/>
      <c r="D784" s="12"/>
    </row>
    <row r="785">
      <c r="A785" s="10"/>
      <c r="B785" s="11"/>
      <c r="C785" s="32"/>
      <c r="D785" s="12"/>
    </row>
    <row r="786">
      <c r="A786" s="10"/>
      <c r="B786" s="11"/>
      <c r="C786" s="32"/>
      <c r="D786" s="12"/>
    </row>
    <row r="787">
      <c r="A787" s="10"/>
      <c r="B787" s="11"/>
      <c r="C787" s="32"/>
      <c r="D787" s="12"/>
    </row>
    <row r="788">
      <c r="A788" s="10"/>
      <c r="B788" s="11"/>
      <c r="C788" s="32"/>
      <c r="D788" s="12"/>
    </row>
    <row r="789">
      <c r="A789" s="10"/>
      <c r="B789" s="11"/>
      <c r="C789" s="32"/>
      <c r="D789" s="12"/>
    </row>
    <row r="790">
      <c r="A790" s="10"/>
      <c r="B790" s="11"/>
      <c r="C790" s="32"/>
      <c r="D790" s="12"/>
    </row>
    <row r="791">
      <c r="A791" s="10"/>
      <c r="B791" s="11"/>
      <c r="C791" s="32"/>
      <c r="D791" s="12"/>
    </row>
    <row r="792">
      <c r="A792" s="10"/>
      <c r="B792" s="11"/>
      <c r="C792" s="32"/>
      <c r="D792" s="12"/>
    </row>
    <row r="793">
      <c r="A793" s="10"/>
      <c r="B793" s="11"/>
      <c r="C793" s="32"/>
      <c r="D793" s="12"/>
    </row>
    <row r="794">
      <c r="A794" s="10"/>
      <c r="B794" s="11"/>
      <c r="C794" s="32"/>
      <c r="D794" s="12"/>
    </row>
    <row r="795">
      <c r="A795" s="10"/>
      <c r="B795" s="11"/>
      <c r="C795" s="32"/>
      <c r="D795" s="12"/>
    </row>
    <row r="796">
      <c r="A796" s="10"/>
      <c r="B796" s="11"/>
      <c r="C796" s="32"/>
      <c r="D796" s="12"/>
    </row>
    <row r="797">
      <c r="A797" s="10"/>
      <c r="B797" s="11"/>
      <c r="C797" s="32"/>
      <c r="D797" s="12"/>
    </row>
    <row r="798">
      <c r="A798" s="10"/>
      <c r="B798" s="11"/>
      <c r="C798" s="32"/>
      <c r="D798" s="12"/>
    </row>
    <row r="799">
      <c r="A799" s="10"/>
      <c r="B799" s="11"/>
      <c r="C799" s="32"/>
      <c r="D799" s="12"/>
    </row>
    <row r="800">
      <c r="A800" s="10"/>
      <c r="B800" s="11"/>
      <c r="C800" s="32"/>
      <c r="D800" s="12"/>
    </row>
    <row r="801">
      <c r="A801" s="10"/>
      <c r="B801" s="11"/>
      <c r="C801" s="32"/>
      <c r="D801" s="12"/>
    </row>
    <row r="802">
      <c r="A802" s="10"/>
      <c r="B802" s="11"/>
      <c r="C802" s="32"/>
      <c r="D802" s="12"/>
    </row>
    <row r="803">
      <c r="A803" s="10"/>
      <c r="B803" s="11"/>
      <c r="C803" s="32"/>
      <c r="D803" s="12"/>
    </row>
    <row r="804">
      <c r="A804" s="10"/>
      <c r="B804" s="11"/>
      <c r="C804" s="32"/>
      <c r="D804" s="12"/>
    </row>
    <row r="805">
      <c r="A805" s="10"/>
      <c r="B805" s="11"/>
      <c r="C805" s="32"/>
      <c r="D805" s="12"/>
    </row>
    <row r="806">
      <c r="A806" s="10"/>
      <c r="B806" s="11"/>
      <c r="C806" s="32"/>
      <c r="D806" s="12"/>
    </row>
    <row r="807">
      <c r="A807" s="10"/>
      <c r="B807" s="11"/>
      <c r="C807" s="32"/>
      <c r="D807" s="12"/>
    </row>
    <row r="808">
      <c r="A808" s="10"/>
      <c r="B808" s="11"/>
      <c r="C808" s="32"/>
      <c r="D808" s="12"/>
    </row>
    <row r="809">
      <c r="A809" s="10"/>
      <c r="B809" s="11"/>
      <c r="C809" s="32"/>
      <c r="D809" s="12"/>
    </row>
    <row r="810">
      <c r="A810" s="10"/>
      <c r="B810" s="11"/>
      <c r="C810" s="32"/>
      <c r="D810" s="12"/>
    </row>
    <row r="811">
      <c r="A811" s="10"/>
      <c r="B811" s="11"/>
      <c r="C811" s="32"/>
      <c r="D811" s="12"/>
    </row>
    <row r="812">
      <c r="A812" s="10"/>
      <c r="B812" s="11"/>
      <c r="C812" s="32"/>
      <c r="D812" s="12"/>
    </row>
    <row r="813">
      <c r="A813" s="10"/>
      <c r="B813" s="11"/>
      <c r="C813" s="32"/>
      <c r="D813" s="12"/>
    </row>
    <row r="814">
      <c r="A814" s="10"/>
      <c r="B814" s="11"/>
      <c r="C814" s="32"/>
      <c r="D814" s="12"/>
    </row>
    <row r="815">
      <c r="A815" s="10"/>
      <c r="B815" s="11"/>
      <c r="C815" s="32"/>
      <c r="D815" s="12"/>
    </row>
    <row r="816">
      <c r="A816" s="10"/>
      <c r="B816" s="11"/>
      <c r="C816" s="32"/>
      <c r="D816" s="12"/>
    </row>
    <row r="817">
      <c r="A817" s="10"/>
      <c r="B817" s="11"/>
      <c r="C817" s="32"/>
      <c r="D817" s="12"/>
    </row>
    <row r="818">
      <c r="A818" s="10"/>
      <c r="B818" s="11"/>
      <c r="C818" s="32"/>
      <c r="D818" s="12"/>
    </row>
    <row r="819">
      <c r="A819" s="10"/>
      <c r="B819" s="11"/>
      <c r="C819" s="32"/>
      <c r="D819" s="12"/>
    </row>
    <row r="820">
      <c r="A820" s="10"/>
      <c r="B820" s="11"/>
      <c r="C820" s="32"/>
      <c r="D820" s="12"/>
    </row>
    <row r="821">
      <c r="A821" s="10"/>
      <c r="B821" s="11"/>
      <c r="C821" s="32"/>
      <c r="D821" s="12"/>
    </row>
    <row r="822">
      <c r="A822" s="10"/>
      <c r="B822" s="11"/>
      <c r="C822" s="32"/>
      <c r="D822" s="12"/>
    </row>
    <row r="823">
      <c r="A823" s="10"/>
      <c r="B823" s="11"/>
      <c r="C823" s="32"/>
      <c r="D823" s="12"/>
    </row>
    <row r="824">
      <c r="A824" s="10"/>
      <c r="B824" s="11"/>
      <c r="C824" s="32"/>
      <c r="D824" s="12"/>
    </row>
    <row r="825">
      <c r="A825" s="10"/>
      <c r="B825" s="11"/>
      <c r="C825" s="32"/>
      <c r="D825" s="12"/>
    </row>
    <row r="826">
      <c r="A826" s="10"/>
      <c r="B826" s="11"/>
      <c r="C826" s="32"/>
      <c r="D826" s="12"/>
    </row>
    <row r="827">
      <c r="A827" s="10"/>
      <c r="B827" s="11"/>
      <c r="C827" s="32"/>
      <c r="D827" s="12"/>
    </row>
    <row r="828">
      <c r="A828" s="10"/>
      <c r="B828" s="11"/>
      <c r="C828" s="32"/>
      <c r="D828" s="12"/>
    </row>
    <row r="829">
      <c r="A829" s="10"/>
      <c r="B829" s="11"/>
      <c r="C829" s="32"/>
      <c r="D829" s="12"/>
    </row>
    <row r="830">
      <c r="A830" s="10"/>
      <c r="B830" s="11"/>
      <c r="C830" s="32"/>
      <c r="D830" s="12"/>
    </row>
    <row r="831">
      <c r="A831" s="10"/>
      <c r="B831" s="11"/>
      <c r="C831" s="32"/>
      <c r="D831" s="12"/>
    </row>
    <row r="832">
      <c r="A832" s="10"/>
      <c r="B832" s="11"/>
      <c r="C832" s="32"/>
      <c r="D832" s="12"/>
    </row>
    <row r="833">
      <c r="A833" s="10"/>
      <c r="B833" s="11"/>
      <c r="C833" s="32"/>
      <c r="D833" s="12"/>
    </row>
    <row r="834">
      <c r="A834" s="10"/>
      <c r="B834" s="11"/>
      <c r="C834" s="32"/>
      <c r="D834" s="12"/>
    </row>
    <row r="835">
      <c r="A835" s="10"/>
      <c r="B835" s="11"/>
      <c r="C835" s="32"/>
      <c r="D835" s="12"/>
    </row>
    <row r="836">
      <c r="A836" s="10"/>
      <c r="B836" s="11"/>
      <c r="C836" s="32"/>
      <c r="D836" s="12"/>
    </row>
    <row r="837">
      <c r="A837" s="10"/>
      <c r="B837" s="11"/>
      <c r="C837" s="32"/>
      <c r="D837" s="12"/>
    </row>
    <row r="838">
      <c r="A838" s="10"/>
      <c r="B838" s="11"/>
      <c r="C838" s="32"/>
      <c r="D838" s="12"/>
    </row>
    <row r="839">
      <c r="A839" s="10"/>
      <c r="B839" s="11"/>
      <c r="C839" s="32"/>
      <c r="D839" s="12"/>
    </row>
    <row r="840">
      <c r="A840" s="10"/>
      <c r="B840" s="11"/>
      <c r="C840" s="32"/>
      <c r="D840" s="12"/>
    </row>
    <row r="841">
      <c r="A841" s="10"/>
      <c r="B841" s="11"/>
      <c r="C841" s="32"/>
      <c r="D841" s="12"/>
    </row>
    <row r="842">
      <c r="A842" s="10"/>
      <c r="B842" s="11"/>
      <c r="C842" s="32"/>
      <c r="D842" s="12"/>
    </row>
    <row r="843">
      <c r="A843" s="10"/>
      <c r="B843" s="11"/>
      <c r="C843" s="32"/>
      <c r="D843" s="12"/>
    </row>
    <row r="844">
      <c r="A844" s="10"/>
      <c r="B844" s="11"/>
      <c r="C844" s="32"/>
      <c r="D844" s="12"/>
    </row>
    <row r="845">
      <c r="A845" s="10"/>
      <c r="B845" s="11"/>
      <c r="C845" s="32"/>
      <c r="D845" s="12"/>
    </row>
    <row r="846">
      <c r="A846" s="10"/>
      <c r="B846" s="11"/>
      <c r="C846" s="32"/>
      <c r="D846" s="12"/>
    </row>
    <row r="847">
      <c r="A847" s="10"/>
      <c r="B847" s="11"/>
      <c r="C847" s="32"/>
      <c r="D847" s="12"/>
    </row>
    <row r="848">
      <c r="A848" s="10"/>
      <c r="B848" s="11"/>
      <c r="C848" s="32"/>
      <c r="D848" s="12"/>
    </row>
    <row r="849">
      <c r="A849" s="10"/>
      <c r="B849" s="11"/>
      <c r="C849" s="32"/>
      <c r="D849" s="12"/>
    </row>
    <row r="850">
      <c r="A850" s="10"/>
      <c r="B850" s="11"/>
      <c r="C850" s="32"/>
      <c r="D850" s="12"/>
    </row>
    <row r="851">
      <c r="A851" s="10"/>
      <c r="B851" s="11"/>
      <c r="C851" s="32"/>
      <c r="D851" s="12"/>
    </row>
    <row r="852">
      <c r="A852" s="10"/>
      <c r="B852" s="11"/>
      <c r="C852" s="32"/>
      <c r="D852" s="12"/>
    </row>
    <row r="853">
      <c r="A853" s="10"/>
      <c r="B853" s="11"/>
      <c r="C853" s="32"/>
      <c r="D853" s="12"/>
    </row>
    <row r="854">
      <c r="A854" s="10"/>
      <c r="B854" s="11"/>
      <c r="C854" s="32"/>
      <c r="D854" s="12"/>
    </row>
    <row r="855">
      <c r="A855" s="10"/>
      <c r="B855" s="11"/>
      <c r="C855" s="32"/>
      <c r="D855" s="12"/>
    </row>
    <row r="856">
      <c r="A856" s="10"/>
      <c r="B856" s="11"/>
      <c r="C856" s="32"/>
      <c r="D856" s="12"/>
    </row>
    <row r="857">
      <c r="A857" s="10"/>
      <c r="B857" s="11"/>
      <c r="C857" s="32"/>
      <c r="D857" s="12"/>
    </row>
    <row r="858">
      <c r="A858" s="10"/>
      <c r="B858" s="11"/>
      <c r="C858" s="32"/>
      <c r="D858" s="12"/>
    </row>
    <row r="859">
      <c r="A859" s="10"/>
      <c r="B859" s="11"/>
      <c r="C859" s="32"/>
      <c r="D859" s="12"/>
    </row>
    <row r="860">
      <c r="A860" s="10"/>
      <c r="B860" s="11"/>
      <c r="C860" s="32"/>
      <c r="D860" s="12"/>
    </row>
    <row r="861">
      <c r="A861" s="10"/>
      <c r="B861" s="11"/>
      <c r="C861" s="32"/>
      <c r="D861" s="12"/>
    </row>
    <row r="862">
      <c r="A862" s="10"/>
      <c r="B862" s="11"/>
      <c r="C862" s="32"/>
      <c r="D862" s="12"/>
    </row>
    <row r="863">
      <c r="A863" s="10"/>
      <c r="B863" s="11"/>
      <c r="C863" s="32"/>
      <c r="D863" s="12"/>
    </row>
    <row r="864">
      <c r="A864" s="10"/>
      <c r="B864" s="11"/>
      <c r="C864" s="32"/>
      <c r="D864" s="12"/>
    </row>
    <row r="865">
      <c r="A865" s="10"/>
      <c r="B865" s="11"/>
      <c r="C865" s="32"/>
      <c r="D865" s="12"/>
    </row>
    <row r="866">
      <c r="A866" s="10"/>
      <c r="B866" s="11"/>
      <c r="C866" s="32"/>
      <c r="D866" s="12"/>
    </row>
    <row r="867">
      <c r="A867" s="10"/>
      <c r="B867" s="11"/>
      <c r="C867" s="32"/>
      <c r="D867" s="12"/>
    </row>
    <row r="868">
      <c r="A868" s="10"/>
      <c r="B868" s="11"/>
      <c r="C868" s="32"/>
      <c r="D868" s="12"/>
    </row>
    <row r="869">
      <c r="A869" s="10"/>
      <c r="B869" s="11"/>
      <c r="C869" s="32"/>
      <c r="D869" s="12"/>
    </row>
    <row r="870">
      <c r="A870" s="10"/>
      <c r="B870" s="11"/>
      <c r="C870" s="32"/>
      <c r="D870" s="12"/>
    </row>
    <row r="871">
      <c r="A871" s="10"/>
      <c r="B871" s="11"/>
      <c r="C871" s="32"/>
      <c r="D871" s="12"/>
    </row>
    <row r="872">
      <c r="A872" s="10"/>
      <c r="B872" s="11"/>
      <c r="C872" s="32"/>
      <c r="D872" s="12"/>
    </row>
    <row r="873">
      <c r="A873" s="10"/>
      <c r="B873" s="11"/>
      <c r="C873" s="32"/>
      <c r="D873" s="12"/>
    </row>
    <row r="874">
      <c r="A874" s="10"/>
      <c r="B874" s="11"/>
      <c r="C874" s="32"/>
      <c r="D874" s="12"/>
    </row>
    <row r="875">
      <c r="A875" s="10"/>
      <c r="B875" s="11"/>
      <c r="C875" s="32"/>
      <c r="D875" s="12"/>
    </row>
    <row r="876">
      <c r="A876" s="10"/>
      <c r="B876" s="11"/>
      <c r="C876" s="32"/>
      <c r="D876" s="12"/>
    </row>
    <row r="877">
      <c r="A877" s="10"/>
      <c r="B877" s="11"/>
      <c r="C877" s="32"/>
      <c r="D877" s="12"/>
    </row>
    <row r="878">
      <c r="A878" s="10"/>
      <c r="B878" s="11"/>
      <c r="C878" s="32"/>
      <c r="D878" s="12"/>
    </row>
    <row r="879">
      <c r="A879" s="10"/>
      <c r="B879" s="11"/>
      <c r="C879" s="32"/>
      <c r="D879" s="12"/>
    </row>
    <row r="880">
      <c r="A880" s="10"/>
      <c r="B880" s="11"/>
      <c r="C880" s="32"/>
      <c r="D880" s="12"/>
    </row>
    <row r="881">
      <c r="A881" s="10"/>
      <c r="B881" s="11"/>
      <c r="C881" s="32"/>
      <c r="D881" s="12"/>
    </row>
    <row r="882">
      <c r="A882" s="10"/>
      <c r="B882" s="11"/>
      <c r="C882" s="32"/>
      <c r="D882" s="12"/>
    </row>
    <row r="883">
      <c r="A883" s="10"/>
      <c r="B883" s="11"/>
      <c r="C883" s="32"/>
      <c r="D883" s="12"/>
    </row>
    <row r="884">
      <c r="A884" s="10"/>
      <c r="B884" s="11"/>
      <c r="C884" s="32"/>
      <c r="D884" s="12"/>
    </row>
    <row r="885">
      <c r="A885" s="10"/>
      <c r="B885" s="11"/>
      <c r="C885" s="32"/>
      <c r="D885" s="12"/>
    </row>
    <row r="886">
      <c r="A886" s="10"/>
      <c r="B886" s="11"/>
      <c r="C886" s="32"/>
      <c r="D886" s="12"/>
    </row>
    <row r="887">
      <c r="A887" s="10"/>
      <c r="B887" s="11"/>
      <c r="C887" s="32"/>
      <c r="D887" s="12"/>
    </row>
    <row r="888">
      <c r="A888" s="10"/>
      <c r="B888" s="11"/>
      <c r="C888" s="32"/>
      <c r="D888" s="12"/>
    </row>
    <row r="889">
      <c r="A889" s="10"/>
      <c r="B889" s="11"/>
      <c r="C889" s="32"/>
      <c r="D889" s="12"/>
    </row>
    <row r="890">
      <c r="A890" s="10"/>
      <c r="B890" s="11"/>
      <c r="C890" s="32"/>
      <c r="D890" s="12"/>
    </row>
    <row r="891">
      <c r="A891" s="10"/>
      <c r="B891" s="11"/>
      <c r="C891" s="32"/>
      <c r="D891" s="12"/>
    </row>
    <row r="892">
      <c r="A892" s="10"/>
      <c r="B892" s="11"/>
      <c r="C892" s="32"/>
      <c r="D892" s="12"/>
    </row>
    <row r="893">
      <c r="A893" s="10"/>
      <c r="B893" s="11"/>
      <c r="C893" s="32"/>
      <c r="D893" s="12"/>
    </row>
    <row r="894">
      <c r="A894" s="10"/>
      <c r="B894" s="11"/>
      <c r="C894" s="32"/>
      <c r="D894" s="12"/>
    </row>
    <row r="895">
      <c r="A895" s="10"/>
      <c r="B895" s="11"/>
      <c r="C895" s="32"/>
      <c r="D895" s="12"/>
    </row>
    <row r="896">
      <c r="A896" s="10"/>
      <c r="B896" s="11"/>
      <c r="C896" s="32"/>
      <c r="D896" s="12"/>
    </row>
    <row r="897">
      <c r="A897" s="10"/>
      <c r="B897" s="11"/>
      <c r="C897" s="32"/>
      <c r="D897" s="12"/>
    </row>
    <row r="898">
      <c r="A898" s="10"/>
      <c r="B898" s="11"/>
      <c r="C898" s="32"/>
      <c r="D898" s="12"/>
    </row>
    <row r="899">
      <c r="A899" s="10"/>
      <c r="B899" s="11"/>
      <c r="C899" s="32"/>
      <c r="D899" s="12"/>
    </row>
    <row r="900">
      <c r="A900" s="10"/>
      <c r="B900" s="11"/>
      <c r="C900" s="32"/>
      <c r="D900" s="12"/>
    </row>
    <row r="901">
      <c r="A901" s="10"/>
      <c r="B901" s="11"/>
      <c r="C901" s="32"/>
      <c r="D901" s="12"/>
    </row>
    <row r="902">
      <c r="A902" s="10"/>
      <c r="B902" s="11"/>
      <c r="C902" s="32"/>
      <c r="D902" s="12"/>
    </row>
    <row r="903">
      <c r="A903" s="10"/>
      <c r="B903" s="11"/>
      <c r="C903" s="32"/>
      <c r="D903" s="12"/>
    </row>
    <row r="904">
      <c r="A904" s="10"/>
      <c r="B904" s="11"/>
      <c r="C904" s="32"/>
      <c r="D904" s="12"/>
    </row>
    <row r="905">
      <c r="A905" s="10"/>
      <c r="B905" s="11"/>
      <c r="C905" s="32"/>
      <c r="D905" s="12"/>
    </row>
    <row r="906">
      <c r="A906" s="10"/>
      <c r="B906" s="11"/>
      <c r="C906" s="32"/>
      <c r="D906" s="12"/>
    </row>
    <row r="907">
      <c r="A907" s="10"/>
      <c r="B907" s="11"/>
      <c r="C907" s="32"/>
      <c r="D907" s="12"/>
    </row>
    <row r="908">
      <c r="A908" s="10"/>
      <c r="B908" s="11"/>
      <c r="C908" s="32"/>
      <c r="D908" s="12"/>
    </row>
    <row r="909">
      <c r="A909" s="10"/>
      <c r="B909" s="11"/>
      <c r="C909" s="32"/>
      <c r="D909" s="12"/>
    </row>
    <row r="910">
      <c r="A910" s="10"/>
      <c r="B910" s="11"/>
      <c r="C910" s="32"/>
      <c r="D910" s="12"/>
    </row>
    <row r="911">
      <c r="A911" s="10"/>
      <c r="B911" s="11"/>
      <c r="C911" s="32"/>
      <c r="D911" s="12"/>
    </row>
    <row r="912">
      <c r="A912" s="10"/>
      <c r="B912" s="11"/>
      <c r="C912" s="32"/>
      <c r="D912" s="12"/>
    </row>
    <row r="913">
      <c r="A913" s="10"/>
      <c r="B913" s="11"/>
      <c r="C913" s="32"/>
      <c r="D913" s="12"/>
    </row>
    <row r="914">
      <c r="A914" s="10"/>
      <c r="B914" s="11"/>
      <c r="C914" s="32"/>
      <c r="D914" s="12"/>
    </row>
    <row r="915">
      <c r="A915" s="10"/>
      <c r="B915" s="11"/>
      <c r="C915" s="32"/>
      <c r="D915" s="12"/>
    </row>
    <row r="916">
      <c r="A916" s="10"/>
      <c r="B916" s="11"/>
      <c r="C916" s="32"/>
      <c r="D916" s="12"/>
    </row>
    <row r="917">
      <c r="A917" s="10"/>
      <c r="B917" s="11"/>
      <c r="C917" s="32"/>
      <c r="D917" s="12"/>
    </row>
    <row r="918">
      <c r="A918" s="10"/>
      <c r="B918" s="11"/>
      <c r="C918" s="32"/>
      <c r="D918" s="12"/>
    </row>
    <row r="919">
      <c r="A919" s="10"/>
      <c r="B919" s="11"/>
      <c r="C919" s="32"/>
      <c r="D919" s="12"/>
    </row>
    <row r="920">
      <c r="A920" s="10"/>
      <c r="B920" s="11"/>
      <c r="C920" s="32"/>
      <c r="D920" s="12"/>
    </row>
    <row r="921">
      <c r="A921" s="10"/>
      <c r="B921" s="11"/>
      <c r="C921" s="32"/>
      <c r="D921" s="12"/>
    </row>
    <row r="922">
      <c r="A922" s="10"/>
      <c r="B922" s="11"/>
      <c r="C922" s="32"/>
      <c r="D922" s="12"/>
    </row>
    <row r="923">
      <c r="A923" s="10"/>
      <c r="B923" s="11"/>
      <c r="C923" s="32"/>
      <c r="D923" s="12"/>
    </row>
    <row r="924">
      <c r="A924" s="10"/>
      <c r="B924" s="11"/>
      <c r="C924" s="32"/>
      <c r="D924" s="12"/>
    </row>
    <row r="925">
      <c r="A925" s="10"/>
      <c r="B925" s="11"/>
      <c r="C925" s="32"/>
      <c r="D925" s="12"/>
    </row>
    <row r="926">
      <c r="A926" s="10"/>
      <c r="B926" s="11"/>
      <c r="C926" s="32"/>
      <c r="D926" s="12"/>
    </row>
    <row r="927">
      <c r="A927" s="10"/>
      <c r="B927" s="11"/>
      <c r="C927" s="32"/>
      <c r="D927" s="12"/>
    </row>
    <row r="928">
      <c r="A928" s="10"/>
      <c r="B928" s="11"/>
      <c r="C928" s="32"/>
      <c r="D928" s="12"/>
    </row>
    <row r="929">
      <c r="A929" s="10"/>
      <c r="B929" s="11"/>
      <c r="C929" s="32"/>
      <c r="D929" s="12"/>
    </row>
    <row r="930">
      <c r="A930" s="10"/>
      <c r="B930" s="11"/>
      <c r="C930" s="32"/>
      <c r="D930" s="12"/>
    </row>
    <row r="931">
      <c r="A931" s="10"/>
      <c r="B931" s="11"/>
      <c r="C931" s="32"/>
      <c r="D931" s="12"/>
    </row>
    <row r="932">
      <c r="A932" s="10"/>
      <c r="B932" s="11"/>
      <c r="C932" s="32"/>
      <c r="D932" s="12"/>
    </row>
    <row r="933">
      <c r="A933" s="10"/>
      <c r="B933" s="11"/>
      <c r="C933" s="32"/>
      <c r="D933" s="12"/>
    </row>
    <row r="934">
      <c r="A934" s="10"/>
      <c r="B934" s="11"/>
      <c r="C934" s="32"/>
      <c r="D934" s="12"/>
    </row>
    <row r="935">
      <c r="A935" s="10"/>
      <c r="B935" s="11"/>
      <c r="C935" s="32"/>
      <c r="D935" s="12"/>
    </row>
    <row r="936">
      <c r="A936" s="10"/>
      <c r="B936" s="11"/>
      <c r="C936" s="32"/>
      <c r="D936" s="12"/>
    </row>
    <row r="937">
      <c r="A937" s="10"/>
      <c r="B937" s="11"/>
      <c r="C937" s="32"/>
      <c r="D937" s="12"/>
    </row>
    <row r="938">
      <c r="A938" s="10"/>
      <c r="B938" s="11"/>
      <c r="C938" s="32"/>
      <c r="D938" s="12"/>
    </row>
    <row r="939">
      <c r="A939" s="10"/>
      <c r="B939" s="11"/>
      <c r="C939" s="32"/>
      <c r="D939" s="12"/>
    </row>
    <row r="940">
      <c r="A940" s="10"/>
      <c r="B940" s="11"/>
      <c r="C940" s="32"/>
      <c r="D940" s="12"/>
    </row>
    <row r="941">
      <c r="A941" s="10"/>
      <c r="B941" s="11"/>
      <c r="C941" s="32"/>
      <c r="D941" s="12"/>
    </row>
    <row r="942">
      <c r="A942" s="10"/>
      <c r="B942" s="11"/>
      <c r="C942" s="32"/>
      <c r="D942" s="12"/>
    </row>
    <row r="943">
      <c r="A943" s="10"/>
      <c r="B943" s="11"/>
      <c r="C943" s="32"/>
      <c r="D943" s="12"/>
    </row>
    <row r="944">
      <c r="A944" s="10"/>
      <c r="B944" s="11"/>
      <c r="C944" s="32"/>
      <c r="D944" s="12"/>
    </row>
    <row r="945">
      <c r="A945" s="10"/>
      <c r="B945" s="11"/>
      <c r="C945" s="32"/>
      <c r="D945" s="12"/>
    </row>
    <row r="946">
      <c r="A946" s="10"/>
      <c r="B946" s="11"/>
      <c r="C946" s="32"/>
      <c r="D946" s="12"/>
    </row>
    <row r="947">
      <c r="A947" s="10"/>
      <c r="B947" s="11"/>
      <c r="C947" s="32"/>
      <c r="D947" s="12"/>
    </row>
    <row r="948">
      <c r="A948" s="10"/>
      <c r="B948" s="11"/>
      <c r="C948" s="32"/>
      <c r="D948" s="12"/>
    </row>
    <row r="949">
      <c r="A949" s="10"/>
      <c r="B949" s="11"/>
      <c r="C949" s="32"/>
      <c r="D949" s="12"/>
    </row>
    <row r="950">
      <c r="A950" s="10"/>
      <c r="B950" s="11"/>
      <c r="C950" s="32"/>
      <c r="D950" s="12"/>
    </row>
    <row r="951">
      <c r="A951" s="10"/>
      <c r="B951" s="11"/>
      <c r="C951" s="32"/>
      <c r="D951" s="12"/>
    </row>
    <row r="952">
      <c r="A952" s="10"/>
      <c r="B952" s="11"/>
      <c r="C952" s="32"/>
      <c r="D952" s="12"/>
    </row>
    <row r="953">
      <c r="A953" s="10"/>
      <c r="B953" s="11"/>
      <c r="C953" s="32"/>
      <c r="D953" s="12"/>
    </row>
    <row r="954">
      <c r="A954" s="10"/>
      <c r="B954" s="11"/>
      <c r="C954" s="32"/>
      <c r="D954" s="12"/>
    </row>
    <row r="955">
      <c r="A955" s="10"/>
      <c r="B955" s="11"/>
      <c r="C955" s="32"/>
      <c r="D955" s="12"/>
    </row>
    <row r="956">
      <c r="A956" s="10"/>
      <c r="B956" s="11"/>
      <c r="C956" s="32"/>
      <c r="D956" s="12"/>
    </row>
    <row r="957">
      <c r="A957" s="10"/>
      <c r="B957" s="11"/>
      <c r="C957" s="32"/>
      <c r="D957" s="12"/>
    </row>
    <row r="958">
      <c r="A958" s="10"/>
      <c r="B958" s="11"/>
      <c r="C958" s="32"/>
      <c r="D958" s="12"/>
    </row>
    <row r="959">
      <c r="A959" s="10"/>
      <c r="B959" s="11"/>
      <c r="C959" s="32"/>
      <c r="D959" s="12"/>
    </row>
    <row r="960">
      <c r="A960" s="10"/>
      <c r="B960" s="11"/>
      <c r="C960" s="32"/>
      <c r="D960" s="12"/>
    </row>
    <row r="961">
      <c r="A961" s="10"/>
      <c r="B961" s="11"/>
      <c r="C961" s="32"/>
      <c r="D961" s="12"/>
    </row>
    <row r="962">
      <c r="A962" s="10"/>
      <c r="B962" s="11"/>
      <c r="C962" s="32"/>
      <c r="D962" s="12"/>
    </row>
    <row r="963">
      <c r="A963" s="10"/>
      <c r="B963" s="11"/>
      <c r="C963" s="32"/>
      <c r="D963" s="12"/>
    </row>
    <row r="964">
      <c r="A964" s="10"/>
      <c r="B964" s="11"/>
      <c r="C964" s="32"/>
      <c r="D964" s="12"/>
    </row>
    <row r="965">
      <c r="A965" s="10"/>
      <c r="B965" s="11"/>
      <c r="C965" s="32"/>
      <c r="D965" s="12"/>
    </row>
    <row r="966">
      <c r="A966" s="10"/>
      <c r="B966" s="11"/>
      <c r="C966" s="32"/>
      <c r="D966" s="12"/>
    </row>
    <row r="967">
      <c r="A967" s="10"/>
      <c r="B967" s="11"/>
      <c r="C967" s="32"/>
      <c r="D967" s="12"/>
    </row>
    <row r="968">
      <c r="A968" s="10"/>
      <c r="B968" s="11"/>
      <c r="C968" s="32"/>
      <c r="D968" s="12"/>
    </row>
    <row r="969">
      <c r="A969" s="10"/>
      <c r="B969" s="11"/>
      <c r="C969" s="32"/>
      <c r="D969" s="12"/>
    </row>
    <row r="970">
      <c r="A970" s="10"/>
      <c r="B970" s="11"/>
      <c r="C970" s="32"/>
      <c r="D970" s="12"/>
    </row>
    <row r="971">
      <c r="A971" s="10"/>
      <c r="B971" s="11"/>
      <c r="C971" s="32"/>
      <c r="D971" s="12"/>
    </row>
    <row r="972">
      <c r="A972" s="10"/>
      <c r="B972" s="11"/>
      <c r="C972" s="32"/>
      <c r="D972" s="12"/>
    </row>
    <row r="973">
      <c r="A973" s="10"/>
      <c r="B973" s="11"/>
      <c r="C973" s="32"/>
      <c r="D973" s="12"/>
    </row>
    <row r="974">
      <c r="A974" s="10"/>
      <c r="B974" s="11"/>
      <c r="C974" s="32"/>
      <c r="D974" s="12"/>
    </row>
    <row r="975">
      <c r="A975" s="10"/>
      <c r="B975" s="11"/>
      <c r="C975" s="32"/>
      <c r="D975" s="12"/>
    </row>
    <row r="976">
      <c r="A976" s="10"/>
      <c r="B976" s="11"/>
      <c r="C976" s="32"/>
      <c r="D976" s="12"/>
    </row>
    <row r="977">
      <c r="A977" s="10"/>
      <c r="B977" s="11"/>
      <c r="C977" s="32"/>
      <c r="D977" s="12"/>
    </row>
    <row r="978">
      <c r="A978" s="10"/>
      <c r="B978" s="11"/>
      <c r="C978" s="32"/>
      <c r="D978" s="12"/>
    </row>
    <row r="979">
      <c r="A979" s="10"/>
      <c r="B979" s="11"/>
      <c r="C979" s="32"/>
      <c r="D979" s="12"/>
    </row>
    <row r="980">
      <c r="A980" s="10"/>
      <c r="B980" s="11"/>
      <c r="C980" s="32"/>
      <c r="D980" s="12"/>
    </row>
    <row r="981">
      <c r="A981" s="10"/>
      <c r="B981" s="11"/>
      <c r="C981" s="32"/>
      <c r="D981" s="12"/>
    </row>
    <row r="982">
      <c r="A982" s="10"/>
      <c r="B982" s="11"/>
      <c r="C982" s="32"/>
      <c r="D982" s="12"/>
    </row>
    <row r="983">
      <c r="A983" s="10"/>
      <c r="B983" s="11"/>
      <c r="C983" s="32"/>
      <c r="D983" s="12"/>
    </row>
    <row r="984">
      <c r="A984" s="10"/>
      <c r="B984" s="11"/>
      <c r="C984" s="32"/>
      <c r="D984" s="12"/>
    </row>
    <row r="985">
      <c r="A985" s="10"/>
      <c r="B985" s="11"/>
      <c r="C985" s="32"/>
      <c r="D985" s="12"/>
    </row>
    <row r="986">
      <c r="A986" s="10"/>
      <c r="B986" s="11"/>
      <c r="C986" s="32"/>
      <c r="D986" s="12"/>
    </row>
    <row r="987">
      <c r="A987" s="10"/>
      <c r="B987" s="11"/>
      <c r="C987" s="32"/>
      <c r="D987" s="12"/>
    </row>
    <row r="988">
      <c r="A988" s="10"/>
      <c r="B988" s="11"/>
      <c r="C988" s="32"/>
      <c r="D988" s="12"/>
    </row>
    <row r="989">
      <c r="A989" s="10"/>
      <c r="B989" s="11"/>
      <c r="C989" s="32"/>
      <c r="D989" s="12"/>
    </row>
    <row r="990">
      <c r="A990" s="10"/>
      <c r="B990" s="11"/>
      <c r="C990" s="32"/>
      <c r="D990" s="12"/>
    </row>
    <row r="991">
      <c r="A991" s="10"/>
      <c r="B991" s="11"/>
      <c r="C991" s="32"/>
      <c r="D991" s="12"/>
    </row>
    <row r="992">
      <c r="A992" s="10"/>
      <c r="B992" s="11"/>
      <c r="C992" s="32"/>
      <c r="D992" s="12"/>
    </row>
    <row r="993">
      <c r="A993" s="10"/>
      <c r="B993" s="11"/>
      <c r="C993" s="32"/>
      <c r="D993" s="12"/>
    </row>
    <row r="994">
      <c r="A994" s="10"/>
      <c r="B994" s="11"/>
      <c r="C994" s="32"/>
      <c r="D994" s="12"/>
    </row>
    <row r="995">
      <c r="A995" s="10"/>
      <c r="B995" s="11"/>
      <c r="C995" s="32"/>
      <c r="D995" s="12"/>
    </row>
    <row r="996">
      <c r="A996" s="10"/>
      <c r="B996" s="11"/>
      <c r="C996" s="32"/>
      <c r="D996" s="12"/>
    </row>
    <row r="997">
      <c r="A997" s="10"/>
      <c r="B997" s="11"/>
      <c r="C997" s="32"/>
      <c r="D997" s="12"/>
    </row>
    <row r="998">
      <c r="A998" s="10"/>
      <c r="B998" s="11"/>
      <c r="C998" s="32"/>
      <c r="D998" s="12"/>
    </row>
    <row r="999">
      <c r="A999" s="10"/>
      <c r="B999" s="11"/>
      <c r="C999" s="32"/>
      <c r="D999" s="12"/>
    </row>
    <row r="1000">
      <c r="A1000" s="10"/>
      <c r="B1000" s="11"/>
      <c r="C1000" s="32"/>
      <c r="D1000" s="12"/>
    </row>
    <row r="1001">
      <c r="A1001" s="10"/>
      <c r="B1001" s="11"/>
      <c r="C1001" s="32"/>
      <c r="D1001" s="12"/>
    </row>
    <row r="1002">
      <c r="A1002" s="10"/>
      <c r="B1002" s="11"/>
      <c r="C1002" s="32"/>
      <c r="D1002" s="12"/>
    </row>
    <row r="1003">
      <c r="A1003" s="10"/>
      <c r="B1003" s="11"/>
      <c r="C1003" s="32"/>
      <c r="D1003" s="12"/>
    </row>
    <row r="1004">
      <c r="A1004" s="10"/>
      <c r="B1004" s="11"/>
      <c r="C1004" s="32"/>
      <c r="D1004" s="12"/>
    </row>
  </sheetData>
  <mergeCells count="6">
    <mergeCell ref="A1:D1"/>
    <mergeCell ref="D11:D13"/>
    <mergeCell ref="D14:D16"/>
    <mergeCell ref="D17:D19"/>
    <mergeCell ref="D20:D22"/>
    <mergeCell ref="D23:D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5" max="5" width="10.38"/>
    <col customWidth="1" min="8" max="8" width="5.5"/>
  </cols>
  <sheetData>
    <row r="1" ht="36.75" customHeight="1">
      <c r="A1" s="9" t="s">
        <v>15</v>
      </c>
      <c r="N1" s="13"/>
      <c r="O1" s="13"/>
      <c r="P1" s="13"/>
      <c r="Q1" s="13"/>
    </row>
    <row r="2" ht="23.25" customHeight="1">
      <c r="A2" s="33"/>
      <c r="N2" s="13"/>
      <c r="O2" s="13"/>
      <c r="P2" s="13"/>
      <c r="Q2" s="13"/>
    </row>
    <row r="3" ht="23.25" customHeight="1">
      <c r="A3" s="34" t="s">
        <v>64</v>
      </c>
      <c r="B3" s="35"/>
      <c r="C3" s="35"/>
      <c r="D3" s="35"/>
      <c r="E3" s="35"/>
      <c r="F3" s="35"/>
      <c r="G3" s="35"/>
      <c r="H3" s="35"/>
      <c r="I3" s="35"/>
      <c r="J3" s="35"/>
      <c r="N3" s="36" t="s">
        <v>65</v>
      </c>
    </row>
    <row r="4">
      <c r="A4" s="37"/>
      <c r="B4" s="38"/>
      <c r="C4" s="39"/>
      <c r="D4" s="40"/>
      <c r="E4" s="39"/>
      <c r="F4" s="40"/>
      <c r="G4" s="39"/>
      <c r="H4" s="38"/>
      <c r="I4" s="38"/>
      <c r="J4" s="38"/>
      <c r="K4" s="38"/>
      <c r="L4" s="38"/>
      <c r="M4" s="38"/>
      <c r="N4" s="13" t="s">
        <v>9</v>
      </c>
      <c r="O4" s="13" t="s">
        <v>11</v>
      </c>
      <c r="P4" s="13" t="s">
        <v>13</v>
      </c>
      <c r="Q4" s="41" t="s">
        <v>14</v>
      </c>
      <c r="R4" s="38"/>
      <c r="S4" s="38"/>
      <c r="T4" s="38"/>
      <c r="U4" s="38"/>
      <c r="V4" s="38"/>
      <c r="W4" s="38"/>
      <c r="X4" s="38"/>
      <c r="Y4" s="38"/>
      <c r="Z4" s="38"/>
    </row>
    <row r="5">
      <c r="A5" s="42"/>
      <c r="C5" s="43" t="s">
        <v>66</v>
      </c>
      <c r="D5" s="44" t="s">
        <v>67</v>
      </c>
      <c r="E5" s="43" t="s">
        <v>68</v>
      </c>
      <c r="F5" s="44" t="s">
        <v>69</v>
      </c>
      <c r="G5" s="43" t="s">
        <v>70</v>
      </c>
      <c r="N5" s="45">
        <f>IFERROR(__xludf.DUMMYFUNCTION("FILTER(DATASET!G:G,DATASET!F:F=""southeast"")"),1725.5523)</f>
        <v>1725.5523</v>
      </c>
      <c r="O5" s="13">
        <f>IFERROR(__xludf.DUMMYFUNCTION("FILTER(DATASET!G:G,DATASET!F:F=""northeast"")"),2198.18985)</f>
        <v>2198.18985</v>
      </c>
      <c r="P5" s="45">
        <f>IFERROR(__xludf.DUMMYFUNCTION("FILTER(DATASET!G:G,DATASET!F:F=""southwest"")"),16884.924)</f>
        <v>16884.924</v>
      </c>
      <c r="Q5" s="45">
        <f>IFERROR(__xludf.DUMMYFUNCTION("FILTER(DATASET!G:G,DATASET!F:F=""northwest"")"),1625.43375)</f>
        <v>1625.43375</v>
      </c>
    </row>
    <row r="6">
      <c r="A6" s="42"/>
      <c r="B6" s="46" t="s">
        <v>71</v>
      </c>
      <c r="C6" s="47">
        <f>MINIFS(DATASET!G:G,DATASET!B:B,"female")</f>
        <v>1607.5101</v>
      </c>
      <c r="D6" s="48">
        <f t="array" ref="D6">quartile(if(DATASET!B2:B1844="female",DATASET!G2:G1844),1)</f>
        <v>4885.1587</v>
      </c>
      <c r="E6" s="49">
        <f t="array" ref="E6">median(if(DATASET!B2:B1844="female",DATASET!G2:G1844))</f>
        <v>9412.9625</v>
      </c>
      <c r="F6" s="48">
        <f t="array" ref="F6">quartile(if(DATASET!B2:B1844="female",DATASET!G2:G1844),3)</f>
        <v>14454.69183</v>
      </c>
      <c r="G6" s="47">
        <f>MAXIFS(DATASET!G2:G1844,DATASET!B2:B1844,"female")</f>
        <v>63770.42801</v>
      </c>
      <c r="N6" s="13">
        <f>IFERROR(__xludf.DUMMYFUNCTION("""COMPUTED_VALUE"""),1137.011)</f>
        <v>1137.011</v>
      </c>
      <c r="O6" s="13">
        <f>IFERROR(__xludf.DUMMYFUNCTION("""COMPUTED_VALUE"""),3393.35635)</f>
        <v>3393.35635</v>
      </c>
      <c r="P6" s="13">
        <f>IFERROR(__xludf.DUMMYFUNCTION("""COMPUTED_VALUE"""),1837.237)</f>
        <v>1837.237</v>
      </c>
      <c r="Q6" s="13">
        <f>IFERROR(__xludf.DUMMYFUNCTION("""COMPUTED_VALUE"""),1632.56445)</f>
        <v>1632.56445</v>
      </c>
    </row>
    <row r="7">
      <c r="A7" s="42"/>
      <c r="B7" s="46" t="s">
        <v>72</v>
      </c>
      <c r="C7" s="47">
        <f>MINIFS(DATASET!G:G,DATASET!B:B,"male")</f>
        <v>1121.8739</v>
      </c>
      <c r="D7" s="48">
        <f t="array" ref="D7">quartile(if(DATASET!B2:B1844="male",DATASET!G2:G1844),1)</f>
        <v>4619.134</v>
      </c>
      <c r="E7" s="49">
        <f t="array" ref="E7">median(if(DATASET!B2:B1844="male",DATASET!G2:G1844))</f>
        <v>9369.61575</v>
      </c>
      <c r="F7" s="48">
        <f t="array" ref="F7">quartile(if(DATASET!B2:B1844="male",DATASET!G2:G1844),3)</f>
        <v>18989.59025</v>
      </c>
      <c r="G7" s="47">
        <f>MAXIFS(DATASET!G2:G1844,DATASET!B2:B1844,"male")</f>
        <v>62592.87309</v>
      </c>
      <c r="N7" s="13">
        <f>IFERROR(__xludf.DUMMYFUNCTION("""COMPUTED_VALUE"""),34303.1672)</f>
        <v>34303.1672</v>
      </c>
      <c r="O7" s="13">
        <f>IFERROR(__xludf.DUMMYFUNCTION("""COMPUTED_VALUE"""),2211.13075)</f>
        <v>2211.13075</v>
      </c>
      <c r="P7" s="13">
        <f>IFERROR(__xludf.DUMMYFUNCTION("""COMPUTED_VALUE"""),4687.797)</f>
        <v>4687.797</v>
      </c>
      <c r="Q7" s="13">
        <f>IFERROR(__xludf.DUMMYFUNCTION("""COMPUTED_VALUE"""),2719.27975)</f>
        <v>2719.27975</v>
      </c>
    </row>
    <row r="8">
      <c r="A8" s="42"/>
      <c r="N8" s="13">
        <f>IFERROR(__xludf.DUMMYFUNCTION("""COMPUTED_VALUE"""),36149.4835)</f>
        <v>36149.4835</v>
      </c>
      <c r="O8" s="13">
        <f>IFERROR(__xludf.DUMMYFUNCTION("""COMPUTED_VALUE"""),21344.8467)</f>
        <v>21344.8467</v>
      </c>
      <c r="P8" s="13">
        <f>IFERROR(__xludf.DUMMYFUNCTION("""COMPUTED_VALUE"""),1743.214)</f>
        <v>1743.214</v>
      </c>
      <c r="Q8" s="13">
        <f>IFERROR(__xludf.DUMMYFUNCTION("""COMPUTED_VALUE"""),1639.5631)</f>
        <v>1639.5631</v>
      </c>
    </row>
    <row r="9">
      <c r="A9" s="42"/>
      <c r="N9" s="13">
        <f>IFERROR(__xludf.DUMMYFUNCTION("""COMPUTED_VALUE"""),1631.8212)</f>
        <v>1631.8212</v>
      </c>
      <c r="O9" s="13">
        <f>IFERROR(__xludf.DUMMYFUNCTION("""COMPUTED_VALUE"""),1705.6245)</f>
        <v>1705.6245</v>
      </c>
      <c r="P9" s="13">
        <f>IFERROR(__xludf.DUMMYFUNCTION("""COMPUTED_VALUE"""),2331.519)</f>
        <v>2331.519</v>
      </c>
      <c r="Q9" s="13">
        <f>IFERROR(__xludf.DUMMYFUNCTION("""COMPUTED_VALUE"""),2130.6759)</f>
        <v>2130.6759</v>
      </c>
    </row>
    <row r="10">
      <c r="A10" s="42"/>
      <c r="B10" s="50" t="s">
        <v>73</v>
      </c>
      <c r="N10" s="13">
        <f>IFERROR(__xludf.DUMMYFUNCTION("""COMPUTED_VALUE"""),1137.4697)</f>
        <v>1137.4697</v>
      </c>
      <c r="O10" s="13">
        <f>IFERROR(__xludf.DUMMYFUNCTION("""COMPUTED_VALUE"""),15518.18025)</f>
        <v>15518.18025</v>
      </c>
      <c r="P10" s="13">
        <f>IFERROR(__xludf.DUMMYFUNCTION("""COMPUTED_VALUE"""),17081.08)</f>
        <v>17081.08</v>
      </c>
      <c r="Q10" s="13">
        <f>IFERROR(__xludf.DUMMYFUNCTION("""COMPUTED_VALUE"""),17352.6803)</f>
        <v>17352.6803</v>
      </c>
    </row>
    <row r="11">
      <c r="A11" s="42"/>
      <c r="B11" s="51" t="s">
        <v>74</v>
      </c>
      <c r="N11" s="13">
        <f>IFERROR(__xludf.DUMMYFUNCTION("""COMPUTED_VALUE"""),1615.7667)</f>
        <v>1615.7667</v>
      </c>
      <c r="O11" s="13">
        <f>IFERROR(__xludf.DUMMYFUNCTION("""COMPUTED_VALUE"""),1694.7964)</f>
        <v>1694.7964</v>
      </c>
      <c r="P11" s="13">
        <f>IFERROR(__xludf.DUMMYFUNCTION("""COMPUTED_VALUE"""),1261.442)</f>
        <v>1261.442</v>
      </c>
      <c r="Q11" s="13">
        <f>IFERROR(__xludf.DUMMYFUNCTION("""COMPUTED_VALUE"""),33750.2918)</f>
        <v>33750.2918</v>
      </c>
    </row>
    <row r="12">
      <c r="A12" s="42"/>
      <c r="N12" s="13">
        <f>IFERROR(__xludf.DUMMYFUNCTION("""COMPUTED_VALUE"""),1719.4363)</f>
        <v>1719.4363</v>
      </c>
      <c r="O12" s="13">
        <f>IFERROR(__xludf.DUMMYFUNCTION("""COMPUTED_VALUE"""),12829.4551)</f>
        <v>12829.4551</v>
      </c>
      <c r="P12" s="13">
        <f>IFERROR(__xludf.DUMMYFUNCTION("""COMPUTED_VALUE"""),1842.519)</f>
        <v>1842.519</v>
      </c>
      <c r="Q12" s="13">
        <f>IFERROR(__xludf.DUMMYFUNCTION("""COMPUTED_VALUE"""),36219.40545)</f>
        <v>36219.40545</v>
      </c>
    </row>
    <row r="13">
      <c r="A13" s="42"/>
      <c r="N13" s="13">
        <f>IFERROR(__xludf.DUMMYFUNCTION("""COMPUTED_VALUE"""),14133.03775)</f>
        <v>14133.03775</v>
      </c>
      <c r="O13" s="13">
        <f>IFERROR(__xludf.DUMMYFUNCTION("""COMPUTED_VALUE"""),1704.5681)</f>
        <v>1704.5681</v>
      </c>
      <c r="P13" s="13">
        <f>IFERROR(__xludf.DUMMYFUNCTION("""COMPUTED_VALUE"""),34779.615)</f>
        <v>34779.615</v>
      </c>
      <c r="Q13" s="13">
        <f>IFERROR(__xludf.DUMMYFUNCTION("""COMPUTED_VALUE"""),2803.69785)</f>
        <v>2803.69785</v>
      </c>
    </row>
    <row r="14">
      <c r="A14" s="42"/>
      <c r="N14" s="13">
        <f>IFERROR(__xludf.DUMMYFUNCTION("""COMPUTED_VALUE"""),1607.5101)</f>
        <v>1607.5101</v>
      </c>
      <c r="O14" s="13">
        <f>IFERROR(__xludf.DUMMYFUNCTION("""COMPUTED_VALUE"""),3481.868)</f>
        <v>3481.868</v>
      </c>
      <c r="P14" s="13">
        <f>IFERROR(__xludf.DUMMYFUNCTION("""COMPUTED_VALUE"""),1727.785)</f>
        <v>1727.785</v>
      </c>
      <c r="Q14" s="13">
        <f>IFERROR(__xludf.DUMMYFUNCTION("""COMPUTED_VALUE"""),1635.73365)</f>
        <v>1635.73365</v>
      </c>
    </row>
    <row r="15">
      <c r="A15" s="52" t="s">
        <v>75</v>
      </c>
      <c r="B15" s="35"/>
      <c r="C15" s="35"/>
      <c r="D15" s="35"/>
      <c r="E15" s="52" t="s">
        <v>76</v>
      </c>
      <c r="F15" s="35"/>
      <c r="G15" s="35"/>
      <c r="H15" s="35"/>
      <c r="I15" s="35"/>
      <c r="J15" s="35"/>
      <c r="N15" s="13">
        <f>IFERROR(__xludf.DUMMYFUNCTION("""COMPUTED_VALUE"""),1631.6683)</f>
        <v>1631.6683</v>
      </c>
      <c r="O15" s="13">
        <f>IFERROR(__xludf.DUMMYFUNCTION("""COMPUTED_VALUE"""),7323.734819)</f>
        <v>7323.734819</v>
      </c>
      <c r="P15" s="13">
        <f>IFERROR(__xludf.DUMMYFUNCTION("""COMPUTED_VALUE"""),1832.094)</f>
        <v>1832.094</v>
      </c>
      <c r="Q15" s="13">
        <f>IFERROR(__xludf.DUMMYFUNCTION("""COMPUTED_VALUE"""),2138.0707)</f>
        <v>2138.0707</v>
      </c>
    </row>
    <row r="16">
      <c r="B16" s="53" t="s">
        <v>77</v>
      </c>
      <c r="C16" s="54">
        <f>(65000-16000)/20</f>
        <v>2450</v>
      </c>
      <c r="D16" s="42" t="s">
        <v>78</v>
      </c>
      <c r="N16" s="13">
        <f>IFERROR(__xludf.DUMMYFUNCTION("""COMPUTED_VALUE"""),1149.3959)</f>
        <v>1149.3959</v>
      </c>
      <c r="O16" s="13">
        <f>IFERROR(__xludf.DUMMYFUNCTION("""COMPUTED_VALUE"""),2203.47185)</f>
        <v>2203.47185</v>
      </c>
      <c r="P16" s="13">
        <f>IFERROR(__xludf.DUMMYFUNCTION("""COMPUTED_VALUE"""),16297.846)</f>
        <v>16297.846</v>
      </c>
      <c r="Q16" s="13">
        <f>IFERROR(__xludf.DUMMYFUNCTION("""COMPUTED_VALUE"""),1621.3402)</f>
        <v>1621.3402</v>
      </c>
    </row>
    <row r="17">
      <c r="B17" s="53" t="s">
        <v>79</v>
      </c>
      <c r="D17" s="13" t="str">
        <f t="shared" ref="D17:G17" si="1">N4</f>
        <v>southeast</v>
      </c>
      <c r="E17" s="13" t="str">
        <f t="shared" si="1"/>
        <v>northeast</v>
      </c>
      <c r="F17" s="13" t="str">
        <f t="shared" si="1"/>
        <v>southwest</v>
      </c>
      <c r="G17" s="13" t="str">
        <f t="shared" si="1"/>
        <v>northwest</v>
      </c>
      <c r="N17" s="13">
        <f>IFERROR(__xludf.DUMMYFUNCTION("""COMPUTED_VALUE"""),2201.0971)</f>
        <v>2201.0971</v>
      </c>
      <c r="O17" s="13">
        <f>IFERROR(__xludf.DUMMYFUNCTION("""COMPUTED_VALUE"""),2196.4732)</f>
        <v>2196.4732</v>
      </c>
      <c r="P17" s="13">
        <f>IFERROR(__xludf.DUMMYFUNCTION("""COMPUTED_VALUE"""),1737.376)</f>
        <v>1737.376</v>
      </c>
      <c r="Q17" s="13">
        <f>IFERROR(__xludf.DUMMYFUNCTION("""COMPUTED_VALUE"""),2134.9015)</f>
        <v>2134.9015</v>
      </c>
    </row>
    <row r="18">
      <c r="B18" s="42">
        <v>16000.0</v>
      </c>
      <c r="C18" s="54">
        <f>B18+C16</f>
        <v>18450</v>
      </c>
      <c r="D18" s="54">
        <f>IFERROR(__xludf.DUMMYFUNCTION("COUNT(FILTER(N$5:N1844,N$5:N1844&gt;=$B18,N$5:N1844&lt;$C18))"),13.0)</f>
        <v>13</v>
      </c>
      <c r="E18" s="54">
        <f>IFERROR(__xludf.DUMMYFUNCTION("COUNT(FILTER(O$5:O1844,O$5:O1844&gt;=$B18,O$5:O1844&lt;$C18))"),10.0)</f>
        <v>10</v>
      </c>
      <c r="F18" s="54">
        <f>IFERROR(__xludf.DUMMYFUNCTION("COUNT(FILTER(P$5:P1844,P$5:P1844&gt;=$B18,P$5:P1844&lt;$C18))"),7.0)</f>
        <v>7</v>
      </c>
      <c r="G18" s="54">
        <f>IFERROR(__xludf.DUMMYFUNCTION("COUNT(FILTER(Q$5:Q1844,Q$5:Q1844&gt;=$B18,Q$5:Q1844&lt;$C18))"),11.0)</f>
        <v>11</v>
      </c>
      <c r="N18" s="13">
        <f>IFERROR(__xludf.DUMMYFUNCTION("""COMPUTED_VALUE"""),1622.1885)</f>
        <v>1622.1885</v>
      </c>
      <c r="O18" s="13">
        <f>IFERROR(__xludf.DUMMYFUNCTION("""COMPUTED_VALUE"""),1708.0014)</f>
        <v>1708.0014</v>
      </c>
      <c r="P18" s="13">
        <f>IFERROR(__xludf.DUMMYFUNCTION("""COMPUTED_VALUE"""),13844.506)</f>
        <v>13844.506</v>
      </c>
      <c r="Q18" s="13">
        <f>IFERROR(__xludf.DUMMYFUNCTION("""COMPUTED_VALUE"""),1632.03625)</f>
        <v>1632.03625</v>
      </c>
    </row>
    <row r="19">
      <c r="B19" s="54">
        <f t="shared" ref="B19:B37" si="2">C18</f>
        <v>18450</v>
      </c>
      <c r="C19" s="54">
        <f t="shared" ref="C19:C37" si="3">B19+$C$16</f>
        <v>20900</v>
      </c>
      <c r="D19" s="54">
        <f>IFERROR(__xludf.DUMMYFUNCTION("COUNT(FILTER(N$5:N1844,N$5:N1844&gt;=$B19,N$5:N1844&lt;$C19))"),16.0)</f>
        <v>16</v>
      </c>
      <c r="E19" s="54">
        <f>IFERROR(__xludf.DUMMYFUNCTION("COUNT(FILTER(O$5:O1844,O$5:O1844&gt;=$B19,O$5:O1844&lt;$C19))"),13.0)</f>
        <v>13</v>
      </c>
      <c r="F19" s="54">
        <f>IFERROR(__xludf.DUMMYFUNCTION("COUNT(FILTER(P$5:P1844,P$5:P1844&gt;=$B19,P$5:P1844&lt;$C19))"),10.0)</f>
        <v>10</v>
      </c>
      <c r="G19" s="54">
        <f>IFERROR(__xludf.DUMMYFUNCTION("COUNT(FILTER(Q$5:Q1844,Q$5:Q1844&gt;=$B19,Q$5:Q1844&lt;$C19))"),8.0)</f>
        <v>8</v>
      </c>
      <c r="N19" s="13">
        <f>IFERROR(__xludf.DUMMYFUNCTION("""COMPUTED_VALUE"""),11482.63485)</f>
        <v>11482.63485</v>
      </c>
      <c r="O19" s="13">
        <f>IFERROR(__xludf.DUMMYFUNCTION("""COMPUTED_VALUE"""),2207.69745)</f>
        <v>2207.69745</v>
      </c>
      <c r="P19" s="13">
        <f>IFERROR(__xludf.DUMMYFUNCTION("""COMPUTED_VALUE"""),1261.859)</f>
        <v>1261.859</v>
      </c>
      <c r="Q19" s="13">
        <f>IFERROR(__xludf.DUMMYFUNCTION("""COMPUTED_VALUE"""),24059.68019)</f>
        <v>24059.68019</v>
      </c>
    </row>
    <row r="20">
      <c r="B20" s="54">
        <f t="shared" si="2"/>
        <v>20900</v>
      </c>
      <c r="C20" s="54">
        <f t="shared" si="3"/>
        <v>23350</v>
      </c>
      <c r="D20" s="54">
        <f>IFERROR(__xludf.DUMMYFUNCTION("COUNT(FILTER(N$5:N1844,N$5:N1844&gt;=$B20,N$5:N1844&lt;$C20))"),7.0)</f>
        <v>7</v>
      </c>
      <c r="E20" s="54">
        <f>IFERROR(__xludf.DUMMYFUNCTION("COUNT(FILTER(O$5:O1844,O$5:O1844&gt;=$B20,O$5:O1844&lt;$C20))"),12.0)</f>
        <v>12</v>
      </c>
      <c r="F20" s="54">
        <f>IFERROR(__xludf.DUMMYFUNCTION("COUNT(FILTER(P$5:P1844,P$5:P1844&gt;=$B20,P$5:P1844&lt;$C20))"),7.0)</f>
        <v>7</v>
      </c>
      <c r="G20" s="54">
        <f>IFERROR(__xludf.DUMMYFUNCTION("COUNT(FILTER(Q$5:Q1844,Q$5:Q1844&gt;=$B20,Q$5:Q1844&lt;$C20))"),9.0)</f>
        <v>9</v>
      </c>
      <c r="N20" s="13">
        <f>IFERROR(__xludf.DUMMYFUNCTION("""COMPUTED_VALUE"""),2801.2588)</f>
        <v>2801.2588</v>
      </c>
      <c r="O20" s="13">
        <f>IFERROR(__xludf.DUMMYFUNCTION("""COMPUTED_VALUE"""),34617.84065)</f>
        <v>34617.84065</v>
      </c>
      <c r="P20" s="13">
        <f>IFERROR(__xludf.DUMMYFUNCTION("""COMPUTED_VALUE"""),23082.95533)</f>
        <v>23082.95533</v>
      </c>
      <c r="Q20" s="13">
        <f>IFERROR(__xludf.DUMMYFUNCTION("""COMPUTED_VALUE"""),1646.4297)</f>
        <v>1646.4297</v>
      </c>
    </row>
    <row r="21">
      <c r="B21" s="54">
        <f t="shared" si="2"/>
        <v>23350</v>
      </c>
      <c r="C21" s="54">
        <f t="shared" si="3"/>
        <v>25800</v>
      </c>
      <c r="D21" s="54">
        <f>IFERROR(__xludf.DUMMYFUNCTION("COUNT(FILTER(N$5:N1844,N$5:N1844&gt;=$B21,N$5:N1844&lt;$C21))"),6.0)</f>
        <v>6</v>
      </c>
      <c r="E21" s="54">
        <f>IFERROR(__xludf.DUMMYFUNCTION("COUNT(FILTER(O$5:O1844,O$5:O1844&gt;=$B21,O$5:O1844&lt;$C21))"),9.0)</f>
        <v>9</v>
      </c>
      <c r="F21" s="54">
        <f>IFERROR(__xludf.DUMMYFUNCTION("COUNT(FILTER(P$5:P1844,P$5:P1844&gt;=$B21,P$5:P1844&lt;$C21))"),5.0)</f>
        <v>5</v>
      </c>
      <c r="G21" s="54">
        <f>IFERROR(__xludf.DUMMYFUNCTION("COUNT(FILTER(Q$5:Q1844,Q$5:Q1844&gt;=$B21,Q$5:Q1844&lt;$C21))"),9.0)</f>
        <v>9</v>
      </c>
      <c r="N21" s="13">
        <f>IFERROR(__xludf.DUMMYFUNCTION("""COMPUTED_VALUE"""),2219.4451)</f>
        <v>2219.4451</v>
      </c>
      <c r="O21" s="13">
        <f>IFERROR(__xludf.DUMMYFUNCTION("""COMPUTED_VALUE"""),1712.227)</f>
        <v>1712.227</v>
      </c>
      <c r="P21" s="13">
        <f>IFERROR(__xludf.DUMMYFUNCTION("""COMPUTED_VALUE"""),1744.465)</f>
        <v>1744.465</v>
      </c>
      <c r="Q21" s="13">
        <f>IFERROR(__xludf.DUMMYFUNCTION("""COMPUTED_VALUE"""),2128.43105)</f>
        <v>2128.43105</v>
      </c>
    </row>
    <row r="22">
      <c r="B22" s="54">
        <f t="shared" si="2"/>
        <v>25800</v>
      </c>
      <c r="C22" s="54">
        <f t="shared" si="3"/>
        <v>28250</v>
      </c>
      <c r="D22" s="54">
        <f>IFERROR(__xludf.DUMMYFUNCTION("COUNT(FILTER(N$5:N1844,N$5:N1844&gt;=$B22,N$5:N1844&lt;$C22))"),11.0)</f>
        <v>11</v>
      </c>
      <c r="E22" s="54">
        <f>IFERROR(__xludf.DUMMYFUNCTION("COUNT(FILTER(O$5:O1844,O$5:O1844&gt;=$B22,O$5:O1844&lt;$C22))"),4.0)</f>
        <v>4</v>
      </c>
      <c r="F22" s="54">
        <f>IFERROR(__xludf.DUMMYFUNCTION("COUNT(FILTER(P$5:P1844,P$5:P1844&gt;=$B22,P$5:P1844&lt;$C22))"),3.0)</f>
        <v>3</v>
      </c>
      <c r="G22" s="54">
        <f>IFERROR(__xludf.DUMMYFUNCTION("COUNT(FILTER(Q$5:Q1844,Q$5:Q1844&gt;=$B22,Q$5:Q1844&lt;$C22))"),3.0)</f>
        <v>3</v>
      </c>
      <c r="N22" s="13">
        <f>IFERROR(__xludf.DUMMYFUNCTION("""COMPUTED_VALUE"""),1633.0444)</f>
        <v>1633.0444</v>
      </c>
      <c r="O22" s="13">
        <f>IFERROR(__xludf.DUMMYFUNCTION("""COMPUTED_VALUE"""),2217.6012)</f>
        <v>2217.6012</v>
      </c>
      <c r="P22" s="13">
        <f>IFERROR(__xludf.DUMMYFUNCTION("""COMPUTED_VALUE"""),1253.936)</f>
        <v>1253.936</v>
      </c>
      <c r="Q22" s="13">
        <f>IFERROR(__xludf.DUMMYFUNCTION("""COMPUTED_VALUE"""),1639.5631)</f>
        <v>1639.5631</v>
      </c>
    </row>
    <row r="23">
      <c r="B23" s="54">
        <f t="shared" si="2"/>
        <v>28250</v>
      </c>
      <c r="C23" s="54">
        <f t="shared" si="3"/>
        <v>30700</v>
      </c>
      <c r="D23" s="54">
        <f>IFERROR(__xludf.DUMMYFUNCTION("COUNT(FILTER(N$5:N1844,N$5:N1844&gt;=$B23,N$5:N1844&lt;$C23))"),1.0)</f>
        <v>1</v>
      </c>
      <c r="E23" s="54">
        <f>IFERROR(__xludf.DUMMYFUNCTION("COUNT(FILTER(O$5:O1844,O$5:O1844&gt;=$B23,O$5:O1844&lt;$C23))"),4.0)</f>
        <v>4</v>
      </c>
      <c r="F23" s="54">
        <f>IFERROR(__xludf.DUMMYFUNCTION("COUNT(FILTER(P$5:P1844,P$5:P1844&gt;=$B23,P$5:P1844&lt;$C23))"),0.0)</f>
        <v>0</v>
      </c>
      <c r="G23" s="54">
        <f>IFERROR(__xludf.DUMMYFUNCTION("COUNT(FILTER(Q$5:Q1844,Q$5:Q1844&gt;=$B23,Q$5:Q1844&lt;$C23))"),11.0)</f>
        <v>11</v>
      </c>
      <c r="N23" s="13">
        <f>IFERROR(__xludf.DUMMYFUNCTION("""COMPUTED_VALUE"""),1136.3994)</f>
        <v>1136.3994</v>
      </c>
      <c r="O23" s="13">
        <f>IFERROR(__xludf.DUMMYFUNCTION("""COMPUTED_VALUE"""),33732.6867)</f>
        <v>33732.6867</v>
      </c>
      <c r="P23" s="13">
        <f>IFERROR(__xludf.DUMMYFUNCTION("""COMPUTED_VALUE"""),1748.774)</f>
        <v>1748.774</v>
      </c>
      <c r="Q23" s="13">
        <f>IFERROR(__xludf.DUMMYFUNCTION("""COMPUTED_VALUE"""),17468.9839)</f>
        <v>17468.9839</v>
      </c>
    </row>
    <row r="24">
      <c r="B24" s="54">
        <f t="shared" si="2"/>
        <v>30700</v>
      </c>
      <c r="C24" s="54">
        <f t="shared" si="3"/>
        <v>33150</v>
      </c>
      <c r="D24" s="54">
        <f>IFERROR(__xludf.DUMMYFUNCTION("COUNT(FILTER(N$5:N1844,N$5:N1844&gt;=$B24,N$5:N1844&lt;$C24))"),2.0)</f>
        <v>2</v>
      </c>
      <c r="E24" s="54">
        <f>IFERROR(__xludf.DUMMYFUNCTION("COUNT(FILTER(O$5:O1844,O$5:O1844&gt;=$B24,O$5:O1844&lt;$C24))"),2.0)</f>
        <v>2</v>
      </c>
      <c r="F24" s="54">
        <f>IFERROR(__xludf.DUMMYFUNCTION("COUNT(FILTER(P$5:P1844,P$5:P1844&gt;=$B24,P$5:P1844&lt;$C24))"),0.0)</f>
        <v>0</v>
      </c>
      <c r="G24" s="54">
        <f>IFERROR(__xludf.DUMMYFUNCTION("COUNT(FILTER(Q$5:Q1844,Q$5:Q1844&gt;=$B24,Q$5:Q1844&lt;$C24))"),2.0)</f>
        <v>2</v>
      </c>
      <c r="N24" s="13">
        <f>IFERROR(__xludf.DUMMYFUNCTION("""COMPUTED_VALUE"""),1727.54)</f>
        <v>1727.54</v>
      </c>
      <c r="O24" s="13">
        <f>IFERROR(__xludf.DUMMYFUNCTION("""COMPUTED_VALUE"""),2217.46915)</f>
        <v>2217.46915</v>
      </c>
      <c r="P24" s="13">
        <f>IFERROR(__xludf.DUMMYFUNCTION("""COMPUTED_VALUE"""),1256.299)</f>
        <v>1256.299</v>
      </c>
      <c r="Q24" s="13">
        <f>IFERROR(__xludf.DUMMYFUNCTION("""COMPUTED_VALUE"""),2709.1119)</f>
        <v>2709.1119</v>
      </c>
    </row>
    <row r="25">
      <c r="B25" s="54">
        <f t="shared" si="2"/>
        <v>33150</v>
      </c>
      <c r="C25" s="54">
        <f t="shared" si="3"/>
        <v>35600</v>
      </c>
      <c r="D25" s="54">
        <f>IFERROR(__xludf.DUMMYFUNCTION("COUNT(FILTER(N$5:N1844,N$5:N1844&gt;=$B25,N$5:N1844&lt;$C25))"),5.0)</f>
        <v>5</v>
      </c>
      <c r="E25" s="54">
        <f>IFERROR(__xludf.DUMMYFUNCTION("COUNT(FILTER(O$5:O1844,O$5:O1844&gt;=$B25,O$5:O1844&lt;$C25))"),6.0)</f>
        <v>6</v>
      </c>
      <c r="F25" s="54">
        <f>IFERROR(__xludf.DUMMYFUNCTION("COUNT(FILTER(P$5:P1844,P$5:P1844&gt;=$B25,P$5:P1844&lt;$C25))"),9.0)</f>
        <v>9</v>
      </c>
      <c r="G25" s="54">
        <f>IFERROR(__xludf.DUMMYFUNCTION("COUNT(FILTER(Q$5:Q1844,Q$5:Q1844&gt;=$B25,Q$5:Q1844&lt;$C25))"),4.0)</f>
        <v>4</v>
      </c>
      <c r="N25" s="13">
        <f>IFERROR(__xludf.DUMMYFUNCTION("""COMPUTED_VALUE"""),36307.7983)</f>
        <v>36307.7983</v>
      </c>
      <c r="O25" s="13">
        <f>IFERROR(__xludf.DUMMYFUNCTION("""COMPUTED_VALUE"""),13747.87235)</f>
        <v>13747.87235</v>
      </c>
      <c r="P25" s="13">
        <f>IFERROR(__xludf.DUMMYFUNCTION("""COMPUTED_VALUE"""),1242.816)</f>
        <v>1242.816</v>
      </c>
      <c r="Q25" s="13">
        <f>IFERROR(__xludf.DUMMYFUNCTION("""COMPUTED_VALUE"""),1627.28245)</f>
        <v>1627.28245</v>
      </c>
    </row>
    <row r="26">
      <c r="B26" s="54">
        <f t="shared" si="2"/>
        <v>35600</v>
      </c>
      <c r="C26" s="54">
        <f t="shared" si="3"/>
        <v>38050</v>
      </c>
      <c r="D26" s="54">
        <f>IFERROR(__xludf.DUMMYFUNCTION("COUNT(FILTER(N$5:N1844,N$5:N1844&gt;=$B26,N$5:N1844&lt;$C26))"),10.0)</f>
        <v>10</v>
      </c>
      <c r="E26" s="54">
        <f>IFERROR(__xludf.DUMMYFUNCTION("COUNT(FILTER(O$5:O1844,O$5:O1844&gt;=$B26,O$5:O1844&lt;$C26))"),4.0)</f>
        <v>4</v>
      </c>
      <c r="F26" s="54">
        <f>IFERROR(__xludf.DUMMYFUNCTION("COUNT(FILTER(P$5:P1844,P$5:P1844&gt;=$B26,P$5:P1844&lt;$C26))"),7.0)</f>
        <v>7</v>
      </c>
      <c r="G26" s="54">
        <f>IFERROR(__xludf.DUMMYFUNCTION("COUNT(FILTER(Q$5:Q1844,Q$5:Q1844&gt;=$B26,Q$5:Q1844&lt;$C26))"),3.0)</f>
        <v>3</v>
      </c>
      <c r="N26" s="13">
        <f>IFERROR(__xludf.DUMMYFUNCTION("""COMPUTED_VALUE"""),1146.7966)</f>
        <v>1146.7966</v>
      </c>
      <c r="O26" s="13">
        <f>IFERROR(__xludf.DUMMYFUNCTION("""COMPUTED_VALUE"""),1704.70015)</f>
        <v>1704.70015</v>
      </c>
      <c r="P26" s="13">
        <f>IFERROR(__xludf.DUMMYFUNCTION("""COMPUTED_VALUE"""),1242.26)</f>
        <v>1242.26</v>
      </c>
      <c r="Q26" s="13">
        <f>IFERROR(__xludf.DUMMYFUNCTION("""COMPUTED_VALUE"""),17748.5062)</f>
        <v>17748.5062</v>
      </c>
    </row>
    <row r="27">
      <c r="B27" s="54">
        <f t="shared" si="2"/>
        <v>38050</v>
      </c>
      <c r="C27" s="54">
        <f t="shared" si="3"/>
        <v>40500</v>
      </c>
      <c r="D27" s="54">
        <f>IFERROR(__xludf.DUMMYFUNCTION("COUNT(FILTER(N$5:N1844,N$5:N1844&gt;=$B27,N$5:N1844&lt;$C27))"),10.0)</f>
        <v>10</v>
      </c>
      <c r="E27" s="54">
        <f>IFERROR(__xludf.DUMMYFUNCTION("COUNT(FILTER(O$5:O1844,O$5:O1844&gt;=$B27,O$5:O1844&lt;$C27))"),6.0)</f>
        <v>6</v>
      </c>
      <c r="F27" s="54">
        <f>IFERROR(__xludf.DUMMYFUNCTION("COUNT(FILTER(P$5:P1844,P$5:P1844&gt;=$B27,P$5:P1844&lt;$C27))"),9.0)</f>
        <v>9</v>
      </c>
      <c r="G27" s="54">
        <f>IFERROR(__xludf.DUMMYFUNCTION("COUNT(FILTER(Q$5:Q1844,Q$5:Q1844&gt;=$B27,Q$5:Q1844&lt;$C27))"),4.0)</f>
        <v>4</v>
      </c>
      <c r="N27" s="13">
        <f>IFERROR(__xludf.DUMMYFUNCTION("""COMPUTED_VALUE"""),38792.6856)</f>
        <v>38792.6856</v>
      </c>
      <c r="O27" s="13">
        <f>IFERROR(__xludf.DUMMYFUNCTION("""COMPUTED_VALUE"""),4561.1885)</f>
        <v>4561.1885</v>
      </c>
      <c r="P27" s="13">
        <f>IFERROR(__xludf.DUMMYFUNCTION("""COMPUTED_VALUE"""),1263.249)</f>
        <v>1263.249</v>
      </c>
      <c r="Q27" s="13">
        <f>IFERROR(__xludf.DUMMYFUNCTION("""COMPUTED_VALUE"""),2136.88225)</f>
        <v>2136.88225</v>
      </c>
    </row>
    <row r="28">
      <c r="B28" s="54">
        <f t="shared" si="2"/>
        <v>40500</v>
      </c>
      <c r="C28" s="54">
        <f t="shared" si="3"/>
        <v>42950</v>
      </c>
      <c r="D28" s="54">
        <f>IFERROR(__xludf.DUMMYFUNCTION("COUNT(FILTER(N$5:N1844,N$5:N1844&gt;=$B28,N$5:N1844&lt;$C28))"),10.0)</f>
        <v>10</v>
      </c>
      <c r="E28" s="54">
        <f>IFERROR(__xludf.DUMMYFUNCTION("COUNT(FILTER(O$5:O1844,O$5:O1844&gt;=$B28,O$5:O1844&lt;$C28))"),6.0)</f>
        <v>6</v>
      </c>
      <c r="F28" s="54">
        <f>IFERROR(__xludf.DUMMYFUNCTION("COUNT(FILTER(P$5:P1844,P$5:P1844&gt;=$B28,P$5:P1844&lt;$C28))"),2.0)</f>
        <v>2</v>
      </c>
      <c r="G28" s="54">
        <f>IFERROR(__xludf.DUMMYFUNCTION("COUNT(FILTER(Q$5:Q1844,Q$5:Q1844&gt;=$B28,Q$5:Q1844&lt;$C28))"),2.0)</f>
        <v>2</v>
      </c>
      <c r="N28" s="13">
        <f>IFERROR(__xludf.DUMMYFUNCTION("""COMPUTED_VALUE"""),1131.5066)</f>
        <v>1131.5066</v>
      </c>
      <c r="O28" s="13">
        <f>IFERROR(__xludf.DUMMYFUNCTION("""COMPUTED_VALUE"""),2203.73595)</f>
        <v>2203.73595</v>
      </c>
      <c r="P28" s="13">
        <f>IFERROR(__xludf.DUMMYFUNCTION("""COMPUTED_VALUE"""),1252.407)</f>
        <v>1252.407</v>
      </c>
      <c r="Q28" s="13">
        <f>IFERROR(__xludf.DUMMYFUNCTION("""COMPUTED_VALUE"""),2221.56445)</f>
        <v>2221.56445</v>
      </c>
    </row>
    <row r="29">
      <c r="B29" s="54">
        <f t="shared" si="2"/>
        <v>42950</v>
      </c>
      <c r="C29" s="54">
        <f t="shared" si="3"/>
        <v>45400</v>
      </c>
      <c r="D29" s="54">
        <f>IFERROR(__xludf.DUMMYFUNCTION("COUNT(FILTER(N$5:N1844,N$5:N1844&gt;=$B29,N$5:N1844&lt;$C29))"),9.0)</f>
        <v>9</v>
      </c>
      <c r="E29" s="54">
        <f>IFERROR(__xludf.DUMMYFUNCTION("COUNT(FILTER(O$5:O1844,O$5:O1844&gt;=$B29,O$5:O1844&lt;$C29))"),3.0)</f>
        <v>3</v>
      </c>
      <c r="F29" s="54">
        <f>IFERROR(__xludf.DUMMYFUNCTION("COUNT(FILTER(P$5:P1844,P$5:P1844&gt;=$B29,P$5:P1844&lt;$C29))"),1.0)</f>
        <v>1</v>
      </c>
      <c r="G29" s="54">
        <f>IFERROR(__xludf.DUMMYFUNCTION("COUNT(FILTER(Q$5:Q1844,Q$5:Q1844&gt;=$B29,Q$5:Q1844&lt;$C29))"),4.0)</f>
        <v>4</v>
      </c>
      <c r="N29" s="13">
        <f>IFERROR(__xludf.DUMMYFUNCTION("""COMPUTED_VALUE"""),1621.8827)</f>
        <v>1621.8827</v>
      </c>
      <c r="O29" s="13">
        <f>IFERROR(__xludf.DUMMYFUNCTION("""COMPUTED_VALUE"""),2200.83085)</f>
        <v>2200.83085</v>
      </c>
      <c r="P29" s="13">
        <f>IFERROR(__xludf.DUMMYFUNCTION("""COMPUTED_VALUE"""),2913.569)</f>
        <v>2913.569</v>
      </c>
      <c r="Q29" s="13">
        <f>IFERROR(__xludf.DUMMYFUNCTION("""COMPUTED_VALUE"""),2117.33885)</f>
        <v>2117.33885</v>
      </c>
    </row>
    <row r="30">
      <c r="B30" s="54">
        <f t="shared" si="2"/>
        <v>45400</v>
      </c>
      <c r="C30" s="54">
        <f t="shared" si="3"/>
        <v>47850</v>
      </c>
      <c r="D30" s="54">
        <f>IFERROR(__xludf.DUMMYFUNCTION("COUNT(FILTER(N$5:N1844,N$5:N1844&gt;=$B30,N$5:N1844&lt;$C30))"),8.0)</f>
        <v>8</v>
      </c>
      <c r="E30" s="54">
        <f>IFERROR(__xludf.DUMMYFUNCTION("COUNT(FILTER(O$5:O1844,O$5:O1844&gt;=$B30,O$5:O1844&lt;$C30))"),2.0)</f>
        <v>2</v>
      </c>
      <c r="F30" s="54">
        <f>IFERROR(__xludf.DUMMYFUNCTION("COUNT(FILTER(P$5:P1844,P$5:P1844&gt;=$B30,P$5:P1844&lt;$C30))"),4.0)</f>
        <v>4</v>
      </c>
      <c r="G30" s="54">
        <f>IFERROR(__xludf.DUMMYFUNCTION("COUNT(FILTER(Q$5:Q1844,Q$5:Q1844&gt;=$B30,Q$5:Q1844&lt;$C30))"),5.0)</f>
        <v>5</v>
      </c>
      <c r="N30" s="13">
        <f>IFERROR(__xludf.DUMMYFUNCTION("""COMPUTED_VALUE"""),1141.4451)</f>
        <v>1141.4451</v>
      </c>
      <c r="O30" s="13">
        <f>IFERROR(__xludf.DUMMYFUNCTION("""COMPUTED_VALUE"""),17178.6824)</f>
        <v>17178.6824</v>
      </c>
      <c r="P30" s="13">
        <f>IFERROR(__xludf.DUMMYFUNCTION("""COMPUTED_VALUE"""),1759.338)</f>
        <v>1759.338</v>
      </c>
      <c r="Q30" s="13">
        <f>IFERROR(__xludf.DUMMYFUNCTION("""COMPUTED_VALUE"""),1628.4709)</f>
        <v>1628.4709</v>
      </c>
    </row>
    <row r="31">
      <c r="B31" s="54">
        <f t="shared" si="2"/>
        <v>47850</v>
      </c>
      <c r="C31" s="54">
        <f t="shared" si="3"/>
        <v>50300</v>
      </c>
      <c r="D31" s="54">
        <f>IFERROR(__xludf.DUMMYFUNCTION("COUNT(FILTER(N$5:N1844,N$5:N1844&gt;=$B31,N$5:N1844&lt;$C31))"),5.0)</f>
        <v>5</v>
      </c>
      <c r="E31" s="54">
        <f>IFERROR(__xludf.DUMMYFUNCTION("COUNT(FILTER(O$5:O1844,O$5:O1844&gt;=$B31,O$5:O1844&lt;$C31))"),3.0)</f>
        <v>3</v>
      </c>
      <c r="F31" s="54">
        <f>IFERROR(__xludf.DUMMYFUNCTION("COUNT(FILTER(P$5:P1844,P$5:P1844&gt;=$B31,P$5:P1844&lt;$C31))"),3.0)</f>
        <v>3</v>
      </c>
      <c r="G31" s="54">
        <f>IFERROR(__xludf.DUMMYFUNCTION("COUNT(FILTER(Q$5:Q1844,Q$5:Q1844&gt;=$B31,Q$5:Q1844&lt;$C31))"),0.0)</f>
        <v>0</v>
      </c>
      <c r="N31" s="13">
        <f>IFERROR(__xludf.DUMMYFUNCTION("""COMPUTED_VALUE"""),1634.5734)</f>
        <v>1634.5734</v>
      </c>
      <c r="O31" s="13">
        <f>IFERROR(__xludf.DUMMYFUNCTION("""COMPUTED_VALUE"""),1702.4553)</f>
        <v>1702.4553</v>
      </c>
      <c r="P31" s="13">
        <f>IFERROR(__xludf.DUMMYFUNCTION("""COMPUTED_VALUE"""),1728.897)</f>
        <v>1728.897</v>
      </c>
      <c r="Q31" s="13">
        <f>IFERROR(__xludf.DUMMYFUNCTION("""COMPUTED_VALUE"""),2730.10785)</f>
        <v>2730.10785</v>
      </c>
    </row>
    <row r="32">
      <c r="B32" s="54">
        <f t="shared" si="2"/>
        <v>50300</v>
      </c>
      <c r="C32" s="54">
        <f t="shared" si="3"/>
        <v>52750</v>
      </c>
      <c r="D32" s="54">
        <f>IFERROR(__xludf.DUMMYFUNCTION("COUNT(FILTER(N$5:N1844,N$5:N1844&gt;=$B32,N$5:N1844&lt;$C32))"),0.0)</f>
        <v>0</v>
      </c>
      <c r="E32" s="54">
        <f>IFERROR(__xludf.DUMMYFUNCTION("COUNT(FILTER(O$5:O1844,O$5:O1844&gt;=$B32,O$5:O1844&lt;$C32))"),0.0)</f>
        <v>0</v>
      </c>
      <c r="F32" s="54">
        <f>IFERROR(__xludf.DUMMYFUNCTION("COUNT(FILTER(P$5:P1844,P$5:P1844&gt;=$B32,P$5:P1844&lt;$C32))"),2.0)</f>
        <v>2</v>
      </c>
      <c r="G32" s="54">
        <f>IFERROR(__xludf.DUMMYFUNCTION("COUNT(FILTER(Q$5:Q1844,Q$5:Q1844&gt;=$B32,Q$5:Q1844&lt;$C32))"),0.0)</f>
        <v>0</v>
      </c>
      <c r="N32" s="13">
        <f>IFERROR(__xludf.DUMMYFUNCTION("""COMPUTED_VALUE"""),2304.0022)</f>
        <v>2304.0022</v>
      </c>
      <c r="O32" s="13">
        <f>IFERROR(__xludf.DUMMYFUNCTION("""COMPUTED_VALUE"""),12890.05765)</f>
        <v>12890.05765</v>
      </c>
      <c r="P32" s="13">
        <f>IFERROR(__xludf.DUMMYFUNCTION("""COMPUTED_VALUE"""),1241.565)</f>
        <v>1241.565</v>
      </c>
      <c r="Q32" s="13">
        <f>IFERROR(__xludf.DUMMYFUNCTION("""COMPUTED_VALUE"""),2709.24395)</f>
        <v>2709.24395</v>
      </c>
    </row>
    <row r="33">
      <c r="B33" s="54">
        <f t="shared" si="2"/>
        <v>52750</v>
      </c>
      <c r="C33" s="54">
        <f t="shared" si="3"/>
        <v>55200</v>
      </c>
      <c r="D33" s="54">
        <f>IFERROR(__xludf.DUMMYFUNCTION("COUNT(FILTER(N$5:N1844,N$5:N1844&gt;=$B33,N$5:N1844&lt;$C33))"),0.0)</f>
        <v>0</v>
      </c>
      <c r="E33" s="54">
        <f>IFERROR(__xludf.DUMMYFUNCTION("COUNT(FILTER(O$5:O1844,O$5:O1844&gt;=$B33,O$5:O1844&lt;$C33))"),0.0)</f>
        <v>0</v>
      </c>
      <c r="F33" s="54">
        <f>IFERROR(__xludf.DUMMYFUNCTION("COUNT(FILTER(P$5:P1844,P$5:P1844&gt;=$B33,P$5:P1844&lt;$C33))"),0.0)</f>
        <v>0</v>
      </c>
      <c r="G33" s="54">
        <f>IFERROR(__xludf.DUMMYFUNCTION("COUNT(FILTER(Q$5:Q1844,Q$5:Q1844&gt;=$B33,Q$5:Q1844&lt;$C33))"),1.0)</f>
        <v>1</v>
      </c>
      <c r="N33" s="13">
        <f>IFERROR(__xludf.DUMMYFUNCTION("""COMPUTED_VALUE"""),1121.8739)</f>
        <v>1121.8739</v>
      </c>
      <c r="O33" s="13">
        <f>IFERROR(__xludf.DUMMYFUNCTION("""COMPUTED_VALUE"""),14283.4594)</f>
        <v>14283.4594</v>
      </c>
      <c r="P33" s="13">
        <f>IFERROR(__xludf.DUMMYFUNCTION("""COMPUTED_VALUE"""),34828.654)</f>
        <v>34828.654</v>
      </c>
      <c r="Q33" s="13">
        <f>IFERROR(__xludf.DUMMYFUNCTION("""COMPUTED_VALUE"""),16450.8947)</f>
        <v>16450.8947</v>
      </c>
    </row>
    <row r="34">
      <c r="B34" s="54">
        <f t="shared" si="2"/>
        <v>55200</v>
      </c>
      <c r="C34" s="54">
        <f t="shared" si="3"/>
        <v>57650</v>
      </c>
      <c r="D34" s="54">
        <f>IFERROR(__xludf.DUMMYFUNCTION("COUNT(FILTER(N$5:N1844,N$5:N1844&gt;=$B34,N$5:N1844&lt;$C34))"),0.0)</f>
        <v>0</v>
      </c>
      <c r="E34" s="54">
        <f>IFERROR(__xludf.DUMMYFUNCTION("COUNT(FILTER(O$5:O1844,O$5:O1844&gt;=$B34,O$5:O1844&lt;$C34))"),0.0)</f>
        <v>0</v>
      </c>
      <c r="F34" s="54">
        <f>IFERROR(__xludf.DUMMYFUNCTION("COUNT(FILTER(P$5:P1844,P$5:P1844&gt;=$B34,P$5:P1844&lt;$C34))"),0.0)</f>
        <v>0</v>
      </c>
      <c r="G34" s="54">
        <f>IFERROR(__xludf.DUMMYFUNCTION("COUNT(FILTER(Q$5:Q1844,Q$5:Q1844&gt;=$B34,Q$5:Q1844&lt;$C34))"),0.0)</f>
        <v>0</v>
      </c>
      <c r="N34" s="13">
        <f>IFERROR(__xludf.DUMMYFUNCTION("""COMPUTED_VALUE"""),1711.0268)</f>
        <v>1711.0268</v>
      </c>
      <c r="O34" s="13">
        <f>IFERROR(__xludf.DUMMYFUNCTION("""COMPUTED_VALUE"""),1708.92575)</f>
        <v>1708.92575</v>
      </c>
      <c r="P34" s="13">
        <f>IFERROR(__xludf.DUMMYFUNCTION("""COMPUTED_VALUE"""),36397.576)</f>
        <v>36397.576</v>
      </c>
      <c r="Q34" s="13">
        <f>IFERROR(__xludf.DUMMYFUNCTION("""COMPUTED_VALUE"""),22493.65964)</f>
        <v>22493.65964</v>
      </c>
    </row>
    <row r="35">
      <c r="B35" s="54">
        <f t="shared" si="2"/>
        <v>57650</v>
      </c>
      <c r="C35" s="54">
        <f t="shared" si="3"/>
        <v>60100</v>
      </c>
      <c r="D35" s="54">
        <f>IFERROR(__xludf.DUMMYFUNCTION("COUNT(FILTER(N$5:N1844,N$5:N1844&gt;=$B35,N$5:N1844&lt;$C35))"),0.0)</f>
        <v>0</v>
      </c>
      <c r="E35" s="54">
        <f>IFERROR(__xludf.DUMMYFUNCTION("COUNT(FILTER(O$5:O1844,O$5:O1844&gt;=$B35,O$5:O1844&lt;$C35))"),1.0)</f>
        <v>1</v>
      </c>
      <c r="F35" s="54">
        <f>IFERROR(__xludf.DUMMYFUNCTION("COUNT(FILTER(P$5:P1844,P$5:P1844&gt;=$B35,P$5:P1844&lt;$C35))"),0.0)</f>
        <v>0</v>
      </c>
      <c r="G35" s="54">
        <f>IFERROR(__xludf.DUMMYFUNCTION("COUNT(FILTER(Q$5:Q1844,Q$5:Q1844&gt;=$B35,Q$5:Q1844&lt;$C35))"),1.0)</f>
        <v>1</v>
      </c>
      <c r="N35" s="13">
        <f>IFERROR(__xludf.DUMMYFUNCTION("""COMPUTED_VALUE"""),11884.04858)</f>
        <v>11884.04858</v>
      </c>
      <c r="O35" s="13">
        <f>IFERROR(__xludf.DUMMYFUNCTION("""COMPUTED_VALUE"""),11272.33139)</f>
        <v>11272.33139</v>
      </c>
      <c r="P35" s="13">
        <f>IFERROR(__xludf.DUMMYFUNCTION("""COMPUTED_VALUE"""),1731.677)</f>
        <v>1731.677</v>
      </c>
      <c r="Q35" s="13">
        <f>IFERROR(__xludf.DUMMYFUNCTION("""COMPUTED_VALUE"""),36898.73308)</f>
        <v>36898.73308</v>
      </c>
    </row>
    <row r="36">
      <c r="B36" s="54">
        <f t="shared" si="2"/>
        <v>60100</v>
      </c>
      <c r="C36" s="54">
        <f t="shared" si="3"/>
        <v>62550</v>
      </c>
      <c r="D36" s="54">
        <f>IFERROR(__xludf.DUMMYFUNCTION("COUNT(FILTER(N$5:N1844,N$5:N1844&gt;=$B36,N$5:N1844&lt;$C36))"),0.0)</f>
        <v>0</v>
      </c>
      <c r="E36" s="54">
        <f>IFERROR(__xludf.DUMMYFUNCTION("COUNT(FILTER(O$5:O1844,O$5:O1844&gt;=$B36,O$5:O1844&lt;$C36))"),0.0)</f>
        <v>0</v>
      </c>
      <c r="F36" s="54">
        <f>IFERROR(__xludf.DUMMYFUNCTION("COUNT(FILTER(P$5:P1844,P$5:P1844&gt;=$B36,P$5:P1844&lt;$C36))"),0.0)</f>
        <v>0</v>
      </c>
      <c r="G36" s="54">
        <f>IFERROR(__xludf.DUMMYFUNCTION("COUNT(FILTER(Q$5:Q1844,Q$5:Q1844&gt;=$B36,Q$5:Q1844&lt;$C36))"),0.0)</f>
        <v>0</v>
      </c>
      <c r="N36" s="13">
        <f>IFERROR(__xludf.DUMMYFUNCTION("""COMPUTED_VALUE"""),18223.4512)</f>
        <v>18223.4512</v>
      </c>
      <c r="O36" s="13">
        <f>IFERROR(__xludf.DUMMYFUNCTION("""COMPUTED_VALUE"""),2205.9808)</f>
        <v>2205.9808</v>
      </c>
      <c r="P36" s="13">
        <f>IFERROR(__xludf.DUMMYFUNCTION("""COMPUTED_VALUE"""),4830.63)</f>
        <v>4830.63</v>
      </c>
      <c r="Q36" s="13">
        <f>IFERROR(__xludf.DUMMYFUNCTION("""COMPUTED_VALUE"""),18838.70366)</f>
        <v>18838.70366</v>
      </c>
    </row>
    <row r="37">
      <c r="B37" s="54">
        <f t="shared" si="2"/>
        <v>62550</v>
      </c>
      <c r="C37" s="54">
        <f t="shared" si="3"/>
        <v>65000</v>
      </c>
      <c r="D37" s="54">
        <f>IFERROR(__xludf.DUMMYFUNCTION("COUNT(FILTER(N$5:N1844,N$5:N1844&gt;=$B37,N$5:N1844&lt;$C37))"),2.0)</f>
        <v>2</v>
      </c>
      <c r="E37" s="54">
        <f>IFERROR(__xludf.DUMMYFUNCTION("COUNT(FILTER(O$5:O1844,O$5:O1844&gt;=$B37,O$5:O1844&lt;$C37))"),0.0)</f>
        <v>0</v>
      </c>
      <c r="F37" s="54">
        <f>IFERROR(__xludf.DUMMYFUNCTION("COUNT(FILTER(P$5:P1844,P$5:P1844&gt;=$B37,P$5:P1844&lt;$C37))"),0.0)</f>
        <v>0</v>
      </c>
      <c r="G37" s="54">
        <f>IFERROR(__xludf.DUMMYFUNCTION("COUNT(FILTER(Q$5:Q1844,Q$5:Q1844&gt;=$B37,Q$5:Q1844&lt;$C37))"),0.0)</f>
        <v>0</v>
      </c>
      <c r="N37" s="13">
        <f>IFERROR(__xludf.DUMMYFUNCTION("""COMPUTED_VALUE"""),1135.9407)</f>
        <v>1135.9407</v>
      </c>
      <c r="O37" s="13">
        <f>IFERROR(__xludf.DUMMYFUNCTION("""COMPUTED_VALUE"""),2457.21115)</f>
        <v>2457.21115</v>
      </c>
      <c r="P37" s="13">
        <f>IFERROR(__xludf.DUMMYFUNCTION("""COMPUTED_VALUE"""),1980.07)</f>
        <v>1980.07</v>
      </c>
      <c r="Q37" s="13">
        <f>IFERROR(__xludf.DUMMYFUNCTION("""COMPUTED_VALUE"""),33307.5508)</f>
        <v>33307.5508</v>
      </c>
    </row>
    <row r="38">
      <c r="N38" s="13">
        <f>IFERROR(__xludf.DUMMYFUNCTION("""COMPUTED_VALUE"""),1633.9618)</f>
        <v>1633.9618</v>
      </c>
      <c r="O38" s="13">
        <f>IFERROR(__xludf.DUMMYFUNCTION("""COMPUTED_VALUE"""),1967.0227)</f>
        <v>1967.0227</v>
      </c>
      <c r="P38" s="13">
        <f>IFERROR(__xludf.DUMMYFUNCTION("""COMPUTED_VALUE"""),1875.344)</f>
        <v>1875.344</v>
      </c>
      <c r="Q38" s="13">
        <f>IFERROR(__xludf.DUMMYFUNCTION("""COMPUTED_VALUE"""),2710.82855)</f>
        <v>2710.82855</v>
      </c>
    </row>
    <row r="39">
      <c r="N39" s="13">
        <f>IFERROR(__xludf.DUMMYFUNCTION("""COMPUTED_VALUE"""),1720.3537)</f>
        <v>1720.3537</v>
      </c>
      <c r="O39" s="13">
        <f>IFERROR(__xludf.DUMMYFUNCTION("""COMPUTED_VALUE"""),1984.4533)</f>
        <v>1984.4533</v>
      </c>
      <c r="P39" s="13">
        <f>IFERROR(__xludf.DUMMYFUNCTION("""COMPUTED_VALUE"""),20167.33603)</f>
        <v>20167.33603</v>
      </c>
      <c r="Q39" s="13">
        <f>IFERROR(__xludf.DUMMYFUNCTION("""COMPUTED_VALUE"""),14711.7438)</f>
        <v>14711.7438</v>
      </c>
    </row>
    <row r="40">
      <c r="N40" s="13">
        <f>IFERROR(__xludf.DUMMYFUNCTION("""COMPUTED_VALUE"""),1163.4627)</f>
        <v>1163.4627</v>
      </c>
      <c r="O40" s="13">
        <f>IFERROR(__xludf.DUMMYFUNCTION("""COMPUTED_VALUE"""),4915.05985)</f>
        <v>4915.05985</v>
      </c>
      <c r="P40" s="13">
        <f>IFERROR(__xludf.DUMMYFUNCTION("""COMPUTED_VALUE"""),16232.847)</f>
        <v>16232.847</v>
      </c>
      <c r="Q40" s="13">
        <f>IFERROR(__xludf.DUMMYFUNCTION("""COMPUTED_VALUE"""),17560.37975)</f>
        <v>17560.37975</v>
      </c>
    </row>
    <row r="41">
      <c r="N41" s="13">
        <f>IFERROR(__xludf.DUMMYFUNCTION("""COMPUTED_VALUE"""),1629.8335)</f>
        <v>1629.8335</v>
      </c>
      <c r="O41" s="13">
        <f>IFERROR(__xludf.DUMMYFUNCTION("""COMPUTED_VALUE"""),33475.81715)</f>
        <v>33475.81715</v>
      </c>
      <c r="P41" s="13">
        <f>IFERROR(__xludf.DUMMYFUNCTION("""COMPUTED_VALUE"""),1880.487)</f>
        <v>1880.487</v>
      </c>
      <c r="Q41" s="13">
        <f>IFERROR(__xludf.DUMMYFUNCTION("""COMPUTED_VALUE"""),2257.47525)</f>
        <v>2257.47525</v>
      </c>
    </row>
    <row r="42">
      <c r="N42" s="13">
        <f>IFERROR(__xludf.DUMMYFUNCTION("""COMPUTED_VALUE"""),32548.3405)</f>
        <v>32548.3405</v>
      </c>
      <c r="O42" s="13">
        <f>IFERROR(__xludf.DUMMYFUNCTION("""COMPUTED_VALUE"""),2459.7201)</f>
        <v>2459.7201</v>
      </c>
      <c r="P42" s="13">
        <f>IFERROR(__xludf.DUMMYFUNCTION("""COMPUTED_VALUE"""),38344.566)</f>
        <v>38344.566</v>
      </c>
      <c r="Q42" s="13">
        <f>IFERROR(__xludf.DUMMYFUNCTION("""COMPUTED_VALUE"""),1769.53165)</f>
        <v>1769.53165</v>
      </c>
    </row>
    <row r="43">
      <c r="N43" s="13">
        <f>IFERROR(__xludf.DUMMYFUNCTION("""COMPUTED_VALUE"""),34439.8559)</f>
        <v>34439.8559</v>
      </c>
      <c r="O43" s="13">
        <f>IFERROR(__xludf.DUMMYFUNCTION("""COMPUTED_VALUE"""),3167.45585)</f>
        <v>3167.45585</v>
      </c>
      <c r="P43" s="13">
        <f>IFERROR(__xludf.DUMMYFUNCTION("""COMPUTED_VALUE"""),1964.78)</f>
        <v>1964.78</v>
      </c>
      <c r="Q43" s="13">
        <f>IFERROR(__xludf.DUMMYFUNCTION("""COMPUTED_VALUE"""),2362.22905)</f>
        <v>2362.22905</v>
      </c>
    </row>
    <row r="44">
      <c r="N44" s="13">
        <f>IFERROR(__xludf.DUMMYFUNCTION("""COMPUTED_VALUE"""),39722.7462)</f>
        <v>39722.7462</v>
      </c>
      <c r="O44" s="13">
        <f>IFERROR(__xludf.DUMMYFUNCTION("""COMPUTED_VALUE"""),3861.20965)</f>
        <v>3861.20965</v>
      </c>
      <c r="P44" s="13">
        <f>IFERROR(__xludf.DUMMYFUNCTION("""COMPUTED_VALUE"""),2597.779)</f>
        <v>2597.779</v>
      </c>
      <c r="Q44" s="13">
        <f>IFERROR(__xludf.DUMMYFUNCTION("""COMPUTED_VALUE"""),2261.5688)</f>
        <v>2261.5688</v>
      </c>
    </row>
    <row r="45">
      <c r="N45" s="13">
        <f>IFERROR(__xludf.DUMMYFUNCTION("""COMPUTED_VALUE"""),17085.2676)</f>
        <v>17085.2676</v>
      </c>
      <c r="O45" s="13">
        <f>IFERROR(__xludf.DUMMYFUNCTION("""COMPUTED_VALUE"""),15359.1045)</f>
        <v>15359.1045</v>
      </c>
      <c r="P45" s="13">
        <f>IFERROR(__xludf.DUMMYFUNCTION("""COMPUTED_VALUE"""),17942.106)</f>
        <v>17942.106</v>
      </c>
      <c r="Q45" s="13">
        <f>IFERROR(__xludf.DUMMYFUNCTION("""COMPUTED_VALUE"""),37465.34375)</f>
        <v>37465.34375</v>
      </c>
    </row>
    <row r="46">
      <c r="N46" s="13">
        <f>IFERROR(__xludf.DUMMYFUNCTION("""COMPUTED_VALUE"""),1391.5287)</f>
        <v>1391.5287</v>
      </c>
      <c r="O46" s="13">
        <f>IFERROR(__xludf.DUMMYFUNCTION("""COMPUTED_VALUE"""),2104.1134)</f>
        <v>2104.1134</v>
      </c>
      <c r="P46" s="13">
        <f>IFERROR(__xludf.DUMMYFUNCTION("""COMPUTED_VALUE"""),2585.269)</f>
        <v>2585.269</v>
      </c>
      <c r="Q46" s="13">
        <f>IFERROR(__xludf.DUMMYFUNCTION("""COMPUTED_VALUE"""),3579.8287)</f>
        <v>3579.8287</v>
      </c>
    </row>
    <row r="47">
      <c r="N47" s="13">
        <f>IFERROR(__xludf.DUMMYFUNCTION("""COMPUTED_VALUE"""),27724.28875)</f>
        <v>27724.28875</v>
      </c>
      <c r="O47" s="13">
        <f>IFERROR(__xludf.DUMMYFUNCTION("""COMPUTED_VALUE"""),2585.85065)</f>
        <v>2585.85065</v>
      </c>
      <c r="P47" s="13">
        <f>IFERROR(__xludf.DUMMYFUNCTION("""COMPUTED_VALUE"""),2103.08)</f>
        <v>2103.08</v>
      </c>
      <c r="Q47" s="13">
        <f>IFERROR(__xludf.DUMMYFUNCTION("""COMPUTED_VALUE"""),2404.7338)</f>
        <v>2404.7338</v>
      </c>
    </row>
    <row r="48">
      <c r="N48" s="13">
        <f>IFERROR(__xludf.DUMMYFUNCTION("""COMPUTED_VALUE"""),3056.3881)</f>
        <v>3056.3881</v>
      </c>
      <c r="O48" s="13">
        <f>IFERROR(__xludf.DUMMYFUNCTION("""COMPUTED_VALUE"""),3279.86855)</f>
        <v>3279.86855</v>
      </c>
      <c r="P48" s="13">
        <f>IFERROR(__xludf.DUMMYFUNCTION("""COMPUTED_VALUE"""),1526.312)</f>
        <v>1526.312</v>
      </c>
      <c r="Q48" s="13">
        <f>IFERROR(__xludf.DUMMYFUNCTION("""COMPUTED_VALUE"""),3077.0955)</f>
        <v>3077.0955</v>
      </c>
    </row>
    <row r="49">
      <c r="N49" s="13">
        <f>IFERROR(__xludf.DUMMYFUNCTION("""COMPUTED_VALUE"""),2566.4707)</f>
        <v>2566.4707</v>
      </c>
      <c r="O49" s="13">
        <f>IFERROR(__xludf.DUMMYFUNCTION("""COMPUTED_VALUE"""),2102.2647)</f>
        <v>2102.2647</v>
      </c>
      <c r="P49" s="13">
        <f>IFERROR(__xludf.DUMMYFUNCTION("""COMPUTED_VALUE"""),2020.177)</f>
        <v>2020.177</v>
      </c>
      <c r="Q49" s="13">
        <f>IFERROR(__xludf.DUMMYFUNCTION("""COMPUTED_VALUE"""),1906.35825)</f>
        <v>1906.35825</v>
      </c>
    </row>
    <row r="50">
      <c r="N50" s="13">
        <f>IFERROR(__xludf.DUMMYFUNCTION("""COMPUTED_VALUE"""),1880.07)</f>
        <v>1880.07</v>
      </c>
      <c r="O50" s="13">
        <f>IFERROR(__xludf.DUMMYFUNCTION("""COMPUTED_VALUE"""),2755.02095)</f>
        <v>2755.02095</v>
      </c>
      <c r="P50" s="13">
        <f>IFERROR(__xludf.DUMMYFUNCTION("""COMPUTED_VALUE"""),2007.945)</f>
        <v>2007.945</v>
      </c>
      <c r="Q50" s="13">
        <f>IFERROR(__xludf.DUMMYFUNCTION("""COMPUTED_VALUE"""),1917.3184)</f>
        <v>1917.3184</v>
      </c>
    </row>
    <row r="51">
      <c r="N51" s="13">
        <f>IFERROR(__xludf.DUMMYFUNCTION("""COMPUTED_VALUE"""),1877.9294)</f>
        <v>1877.9294</v>
      </c>
      <c r="O51" s="13">
        <f>IFERROR(__xludf.DUMMYFUNCTION("""COMPUTED_VALUE"""),4005.4225)</f>
        <v>4005.4225</v>
      </c>
      <c r="P51" s="13">
        <f>IFERROR(__xludf.DUMMYFUNCTION("""COMPUTED_VALUE"""),35585.576)</f>
        <v>35585.576</v>
      </c>
      <c r="Q51" s="13">
        <f>IFERROR(__xludf.DUMMYFUNCTION("""COMPUTED_VALUE"""),26018.95052)</f>
        <v>26018.95052</v>
      </c>
    </row>
    <row r="52">
      <c r="N52" s="13">
        <f>IFERROR(__xludf.DUMMYFUNCTION("""COMPUTED_VALUE"""),26125.67477)</f>
        <v>26125.67477</v>
      </c>
      <c r="O52" s="13">
        <f>IFERROR(__xludf.DUMMYFUNCTION("""COMPUTED_VALUE"""),2254.7967)</f>
        <v>2254.7967</v>
      </c>
      <c r="P52" s="13">
        <f>IFERROR(__xludf.DUMMYFUNCTION("""COMPUTED_VALUE"""),2166.732)</f>
        <v>2166.732</v>
      </c>
      <c r="Q52" s="13">
        <f>IFERROR(__xludf.DUMMYFUNCTION("""COMPUTED_VALUE"""),1909.52745)</f>
        <v>1909.52745</v>
      </c>
    </row>
    <row r="53">
      <c r="N53" s="13">
        <f>IFERROR(__xludf.DUMMYFUNCTION("""COMPUTED_VALUE"""),1532.4697)</f>
        <v>1532.4697</v>
      </c>
      <c r="O53" s="13">
        <f>IFERROR(__xludf.DUMMYFUNCTION("""COMPUTED_VALUE"""),3925.7582)</f>
        <v>3925.7582</v>
      </c>
      <c r="P53" s="13">
        <f>IFERROR(__xludf.DUMMYFUNCTION("""COMPUTED_VALUE"""),2150.469)</f>
        <v>2150.469</v>
      </c>
      <c r="Q53" s="13">
        <f>IFERROR(__xludf.DUMMYFUNCTION("""COMPUTED_VALUE"""),2045.68525)</f>
        <v>2045.68525</v>
      </c>
    </row>
    <row r="54">
      <c r="N54" s="13">
        <f>IFERROR(__xludf.DUMMYFUNCTION("""COMPUTED_VALUE"""),2026.9741)</f>
        <v>2026.9741</v>
      </c>
      <c r="O54" s="13">
        <f>IFERROR(__xludf.DUMMYFUNCTION("""COMPUTED_VALUE"""),2731.9122)</f>
        <v>2731.9122</v>
      </c>
      <c r="P54" s="13">
        <f>IFERROR(__xludf.DUMMYFUNCTION("""COMPUTED_VALUE"""),3443.064)</f>
        <v>3443.064</v>
      </c>
      <c r="Q54" s="13">
        <f>IFERROR(__xludf.DUMMYFUNCTION("""COMPUTED_VALUE"""),2643.2685)</f>
        <v>2643.2685</v>
      </c>
    </row>
    <row r="55">
      <c r="N55" s="13">
        <f>IFERROR(__xludf.DUMMYFUNCTION("""COMPUTED_VALUE"""),3180.5101)</f>
        <v>3180.5101</v>
      </c>
      <c r="O55" s="13">
        <f>IFERROR(__xludf.DUMMYFUNCTION("""COMPUTED_VALUE"""),2250.8352)</f>
        <v>2250.8352</v>
      </c>
      <c r="P55" s="13">
        <f>IFERROR(__xludf.DUMMYFUNCTION("""COMPUTED_VALUE"""),1682.597)</f>
        <v>1682.597</v>
      </c>
      <c r="Q55" s="13">
        <f>IFERROR(__xludf.DUMMYFUNCTION("""COMPUTED_VALUE"""),2639.0429)</f>
        <v>2639.0429</v>
      </c>
    </row>
    <row r="56">
      <c r="N56" s="13">
        <f>IFERROR(__xludf.DUMMYFUNCTION("""COMPUTED_VALUE"""),16586.49771)</f>
        <v>16586.49771</v>
      </c>
      <c r="O56" s="13">
        <f>IFERROR(__xludf.DUMMYFUNCTION("""COMPUTED_VALUE"""),2741.948)</f>
        <v>2741.948</v>
      </c>
      <c r="P56" s="13">
        <f>IFERROR(__xludf.DUMMYFUNCTION("""COMPUTED_VALUE"""),2154.361)</f>
        <v>2154.361</v>
      </c>
      <c r="Q56" s="13">
        <f>IFERROR(__xludf.DUMMYFUNCTION("""COMPUTED_VALUE"""),2527.81865)</f>
        <v>2527.81865</v>
      </c>
    </row>
    <row r="57">
      <c r="N57" s="13">
        <f>IFERROR(__xludf.DUMMYFUNCTION("""COMPUTED_VALUE"""),1534.3045)</f>
        <v>1534.3045</v>
      </c>
      <c r="O57" s="13">
        <f>IFERROR(__xludf.DUMMYFUNCTION("""COMPUTED_VALUE"""),2395.17155)</f>
        <v>2395.17155</v>
      </c>
      <c r="P57" s="13">
        <f>IFERROR(__xludf.DUMMYFUNCTION("""COMPUTED_VALUE"""),1826.843)</f>
        <v>1826.843</v>
      </c>
      <c r="Q57" s="13">
        <f>IFERROR(__xludf.DUMMYFUNCTION("""COMPUTED_VALUE"""),33907.548)</f>
        <v>33907.548</v>
      </c>
    </row>
    <row r="58">
      <c r="N58" s="13">
        <f>IFERROR(__xludf.DUMMYFUNCTION("""COMPUTED_VALUE"""),2020.5523)</f>
        <v>2020.5523</v>
      </c>
      <c r="O58" s="13">
        <f>IFERROR(__xludf.DUMMYFUNCTION("""COMPUTED_VALUE"""),38511.6283)</f>
        <v>38511.6283</v>
      </c>
      <c r="P58" s="13">
        <f>IFERROR(__xludf.DUMMYFUNCTION("""COMPUTED_VALUE"""),2416.955)</f>
        <v>2416.955</v>
      </c>
      <c r="Q58" s="13">
        <f>IFERROR(__xludf.DUMMYFUNCTION("""COMPUTED_VALUE"""),2055.3249)</f>
        <v>2055.3249</v>
      </c>
    </row>
    <row r="59">
      <c r="N59" s="13">
        <f>IFERROR(__xludf.DUMMYFUNCTION("""COMPUTED_VALUE"""),1515.3449)</f>
        <v>1515.3449</v>
      </c>
      <c r="O59" s="13">
        <f>IFERROR(__xludf.DUMMYFUNCTION("""COMPUTED_VALUE"""),36189.1017)</f>
        <v>36189.1017</v>
      </c>
      <c r="P59" s="13">
        <f>IFERROR(__xludf.DUMMYFUNCTION("""COMPUTED_VALUE"""),3597.596)</f>
        <v>3597.596</v>
      </c>
      <c r="Q59" s="13">
        <f>IFERROR(__xludf.DUMMYFUNCTION("""COMPUTED_VALUE"""),4296.2712)</f>
        <v>4296.2712</v>
      </c>
    </row>
    <row r="60">
      <c r="N60" s="13">
        <f>IFERROR(__xludf.DUMMYFUNCTION("""COMPUTED_VALUE"""),37165.1638)</f>
        <v>37165.1638</v>
      </c>
      <c r="O60" s="13">
        <f>IFERROR(__xludf.DUMMYFUNCTION("""COMPUTED_VALUE"""),2396.0959)</f>
        <v>2396.0959</v>
      </c>
      <c r="P60" s="13">
        <f>IFERROR(__xludf.DUMMYFUNCTION("""COMPUTED_VALUE"""),3591.48)</f>
        <v>3591.48</v>
      </c>
      <c r="Q60" s="13">
        <f>IFERROR(__xludf.DUMMYFUNCTION("""COMPUTED_VALUE"""),2775.19215)</f>
        <v>2775.19215</v>
      </c>
    </row>
    <row r="61">
      <c r="N61" s="13">
        <f>IFERROR(__xludf.DUMMYFUNCTION("""COMPUTED_VALUE"""),2155.6815)</f>
        <v>2155.6815</v>
      </c>
      <c r="O61" s="13">
        <f>IFERROR(__xludf.DUMMYFUNCTION("""COMPUTED_VALUE"""),40904.1995)</f>
        <v>40904.1995</v>
      </c>
      <c r="P61" s="13">
        <f>IFERROR(__xludf.DUMMYFUNCTION("""COMPUTED_VALUE"""),34166.273)</f>
        <v>34166.273</v>
      </c>
      <c r="Q61" s="13">
        <f>IFERROR(__xludf.DUMMYFUNCTION("""COMPUTED_VALUE"""),18033.9679)</f>
        <v>18033.9679</v>
      </c>
    </row>
    <row r="62">
      <c r="N62" s="13">
        <f>IFERROR(__xludf.DUMMYFUNCTION("""COMPUTED_VALUE"""),2156.7518)</f>
        <v>2156.7518</v>
      </c>
      <c r="O62" s="13">
        <f>IFERROR(__xludf.DUMMYFUNCTION("""COMPUTED_VALUE"""),2899.48935)</f>
        <v>2899.48935</v>
      </c>
      <c r="P62" s="13">
        <f>IFERROR(__xludf.DUMMYFUNCTION("""COMPUTED_VALUE"""),13126.67745)</f>
        <v>13126.67745</v>
      </c>
      <c r="Q62" s="13">
        <f>IFERROR(__xludf.DUMMYFUNCTION("""COMPUTED_VALUE"""),4466.6214)</f>
        <v>4466.6214</v>
      </c>
    </row>
    <row r="63">
      <c r="N63" s="13">
        <f>IFERROR(__xludf.DUMMYFUNCTION("""COMPUTED_VALUE"""),1664.9996)</f>
        <v>1664.9996</v>
      </c>
      <c r="O63" s="13">
        <f>IFERROR(__xludf.DUMMYFUNCTION("""COMPUTED_VALUE"""),22395.74424)</f>
        <v>22395.74424</v>
      </c>
      <c r="P63" s="13">
        <f>IFERROR(__xludf.DUMMYFUNCTION("""COMPUTED_VALUE"""),10795.93733)</f>
        <v>10795.93733</v>
      </c>
      <c r="Q63" s="13">
        <f>IFERROR(__xludf.DUMMYFUNCTION("""COMPUTED_VALUE"""),2690.1138)</f>
        <v>2690.1138</v>
      </c>
    </row>
    <row r="64">
      <c r="B64" s="42" t="s">
        <v>73</v>
      </c>
      <c r="N64" s="13">
        <f>IFERROR(__xludf.DUMMYFUNCTION("""COMPUTED_VALUE"""),35595.5898)</f>
        <v>35595.5898</v>
      </c>
      <c r="O64" s="13">
        <f>IFERROR(__xludf.DUMMYFUNCTION("""COMPUTED_VALUE"""),3046.062)</f>
        <v>3046.062</v>
      </c>
      <c r="P64" s="13">
        <f>IFERROR(__xludf.DUMMYFUNCTION("""COMPUTED_VALUE"""),18955.22017)</f>
        <v>18955.22017</v>
      </c>
      <c r="Q64" s="13">
        <f>IFERROR(__xludf.DUMMYFUNCTION("""COMPUTED_VALUE"""),2789.0574)</f>
        <v>2789.0574</v>
      </c>
    </row>
    <row r="65">
      <c r="B65" s="42" t="s">
        <v>80</v>
      </c>
      <c r="N65" s="13">
        <f>IFERROR(__xludf.DUMMYFUNCTION("""COMPUTED_VALUE"""),37484.4493)</f>
        <v>37484.4493</v>
      </c>
      <c r="O65" s="13">
        <f>IFERROR(__xludf.DUMMYFUNCTION("""COMPUTED_VALUE"""),35147.52848)</f>
        <v>35147.52848</v>
      </c>
      <c r="P65" s="13">
        <f>IFERROR(__xludf.DUMMYFUNCTION("""COMPUTED_VALUE"""),1969.614)</f>
        <v>1969.614</v>
      </c>
      <c r="Q65" s="13">
        <f>IFERROR(__xludf.DUMMYFUNCTION("""COMPUTED_VALUE"""),21595.38229)</f>
        <v>21595.38229</v>
      </c>
    </row>
    <row r="66">
      <c r="B66" s="42" t="s">
        <v>81</v>
      </c>
      <c r="N66" s="13">
        <f>IFERROR(__xludf.DUMMYFUNCTION("""COMPUTED_VALUE"""),44501.3982)</f>
        <v>44501.3982</v>
      </c>
      <c r="O66" s="13">
        <f>IFERROR(__xludf.DUMMYFUNCTION("""COMPUTED_VALUE"""),3044.2133)</f>
        <v>3044.2133</v>
      </c>
      <c r="P66" s="13">
        <f>IFERROR(__xludf.DUMMYFUNCTION("""COMPUTED_VALUE"""),1977.815)</f>
        <v>1977.815</v>
      </c>
      <c r="Q66" s="13">
        <f>IFERROR(__xludf.DUMMYFUNCTION("""COMPUTED_VALUE"""),14426.07385)</f>
        <v>14426.07385</v>
      </c>
    </row>
    <row r="67">
      <c r="B67" s="42" t="s">
        <v>82</v>
      </c>
      <c r="N67" s="13">
        <f>IFERROR(__xludf.DUMMYFUNCTION("""COMPUTED_VALUE"""),1674.6323)</f>
        <v>1674.6323</v>
      </c>
      <c r="O67" s="13">
        <f>IFERROR(__xludf.DUMMYFUNCTION("""COMPUTED_VALUE"""),17128.42608)</f>
        <v>17128.42608</v>
      </c>
      <c r="P67" s="13">
        <f>IFERROR(__xludf.DUMMYFUNCTION("""COMPUTED_VALUE"""),2457.502)</f>
        <v>2457.502</v>
      </c>
      <c r="Q67" s="13">
        <f>IFERROR(__xludf.DUMMYFUNCTION("""COMPUTED_VALUE"""),2855.43755)</f>
        <v>2855.43755</v>
      </c>
    </row>
    <row r="68">
      <c r="N68" s="13">
        <f>IFERROR(__xludf.DUMMYFUNCTION("""COMPUTED_VALUE"""),1837.2819)</f>
        <v>1837.2819</v>
      </c>
      <c r="O68" s="13">
        <f>IFERROR(__xludf.DUMMYFUNCTION("""COMPUTED_VALUE"""),14571.8908)</f>
        <v>14571.8908</v>
      </c>
      <c r="P68" s="13">
        <f>IFERROR(__xludf.DUMMYFUNCTION("""COMPUTED_VALUE"""),4234.927)</f>
        <v>4234.927</v>
      </c>
      <c r="Q68" s="13">
        <f>IFERROR(__xludf.DUMMYFUNCTION("""COMPUTED_VALUE"""),3537.703)</f>
        <v>3537.703</v>
      </c>
    </row>
    <row r="69">
      <c r="A69" s="52" t="s">
        <v>83</v>
      </c>
      <c r="B69" s="35"/>
      <c r="C69" s="35"/>
      <c r="D69" s="35"/>
      <c r="E69" s="35"/>
      <c r="F69" s="35"/>
      <c r="G69" s="35"/>
      <c r="H69" s="35"/>
      <c r="I69" s="35"/>
      <c r="J69" s="35"/>
      <c r="N69" s="13">
        <f>IFERROR(__xludf.DUMMYFUNCTION("""COMPUTED_VALUE"""),1824.2854)</f>
        <v>1824.2854</v>
      </c>
      <c r="O69" s="13">
        <f>IFERROR(__xludf.DUMMYFUNCTION("""COMPUTED_VALUE"""),18648.4217)</f>
        <v>18648.4217</v>
      </c>
      <c r="P69" s="13">
        <f>IFERROR(__xludf.DUMMYFUNCTION("""COMPUTED_VALUE"""),34472.841)</f>
        <v>34472.841</v>
      </c>
      <c r="Q69" s="13">
        <f>IFERROR(__xludf.DUMMYFUNCTION("""COMPUTED_VALUE"""),4618.0799)</f>
        <v>4618.0799</v>
      </c>
    </row>
    <row r="70">
      <c r="N70" s="13">
        <f>IFERROR(__xludf.DUMMYFUNCTION("""COMPUTED_VALUE"""),3500.6123)</f>
        <v>3500.6123</v>
      </c>
      <c r="O70" s="13">
        <f>IFERROR(__xludf.DUMMYFUNCTION("""COMPUTED_VALUE"""),34254.05335)</f>
        <v>34254.05335</v>
      </c>
      <c r="P70" s="13">
        <f>IFERROR(__xludf.DUMMYFUNCTION("""COMPUTED_VALUE"""),1972.95)</f>
        <v>1972.95</v>
      </c>
      <c r="Q70" s="13">
        <f>IFERROR(__xludf.DUMMYFUNCTION("""COMPUTED_VALUE"""),2352.96845)</f>
        <v>2352.96845</v>
      </c>
    </row>
    <row r="71">
      <c r="B71" s="52" t="s">
        <v>84</v>
      </c>
      <c r="C71" s="52" t="s">
        <v>85</v>
      </c>
      <c r="D71" s="52" t="s">
        <v>86</v>
      </c>
      <c r="F71" s="42" t="s">
        <v>73</v>
      </c>
      <c r="N71" s="13">
        <f>IFERROR(__xludf.DUMMYFUNCTION("""COMPUTED_VALUE"""),1815.8759)</f>
        <v>1815.8759</v>
      </c>
      <c r="O71" s="13">
        <f>IFERROR(__xludf.DUMMYFUNCTION("""COMPUTED_VALUE"""),2721.3208)</f>
        <v>2721.3208</v>
      </c>
      <c r="P71" s="13">
        <f>IFERROR(__xludf.DUMMYFUNCTION("""COMPUTED_VALUE"""),3906.127)</f>
        <v>3906.127</v>
      </c>
      <c r="Q71" s="13">
        <f>IFERROR(__xludf.DUMMYFUNCTION("""COMPUTED_VALUE"""),2842.76075)</f>
        <v>2842.76075</v>
      </c>
    </row>
    <row r="72">
      <c r="B72" s="55" t="str">
        <f>N4</f>
        <v>southeast</v>
      </c>
      <c r="C72" s="54">
        <f>count(N5:N369)</f>
        <v>364</v>
      </c>
      <c r="D72" s="56">
        <f t="shared" ref="D72:D75" si="4">C72/$C$76</f>
        <v>0.2720478326</v>
      </c>
      <c r="F72" s="42" t="s">
        <v>87</v>
      </c>
      <c r="N72" s="13">
        <f>IFERROR(__xludf.DUMMYFUNCTION("""COMPUTED_VALUE"""),36021.0112)</f>
        <v>36021.0112</v>
      </c>
      <c r="O72" s="13">
        <f>IFERROR(__xludf.DUMMYFUNCTION("""COMPUTED_VALUE"""),2727.3951)</f>
        <v>2727.3951</v>
      </c>
      <c r="P72" s="13">
        <f>IFERROR(__xludf.DUMMYFUNCTION("""COMPUTED_VALUE"""),5080.096)</f>
        <v>5080.096</v>
      </c>
      <c r="Q72" s="13">
        <f>IFERROR(__xludf.DUMMYFUNCTION("""COMPUTED_VALUE"""),12609.88702)</f>
        <v>12609.88702</v>
      </c>
    </row>
    <row r="73">
      <c r="B73" s="55" t="str">
        <f>O4</f>
        <v>northeast</v>
      </c>
      <c r="C73" s="57">
        <f>count(O5:O369)</f>
        <v>324</v>
      </c>
      <c r="D73" s="56">
        <f t="shared" si="4"/>
        <v>0.2421524664</v>
      </c>
      <c r="F73" s="42" t="s">
        <v>88</v>
      </c>
      <c r="N73" s="13">
        <f>IFERROR(__xludf.DUMMYFUNCTION("""COMPUTED_VALUE"""),2438.0552)</f>
        <v>2438.0552</v>
      </c>
      <c r="O73" s="13">
        <f>IFERROR(__xludf.DUMMYFUNCTION("""COMPUTED_VALUE"""),3213.62205)</f>
        <v>3213.62205</v>
      </c>
      <c r="P73" s="13">
        <f>IFERROR(__xludf.DUMMYFUNCTION("""COMPUTED_VALUE"""),4391.652)</f>
        <v>4391.652</v>
      </c>
      <c r="Q73" s="13">
        <f>IFERROR(__xludf.DUMMYFUNCTION("""COMPUTED_VALUE"""),2850.68375)</f>
        <v>2850.68375</v>
      </c>
    </row>
    <row r="74">
      <c r="B74" s="55" t="str">
        <f>P4</f>
        <v>southwest</v>
      </c>
      <c r="C74" s="54">
        <f>count(P5:P369)</f>
        <v>325</v>
      </c>
      <c r="D74" s="56">
        <f t="shared" si="4"/>
        <v>0.2428998505</v>
      </c>
      <c r="F74" s="42" t="s">
        <v>89</v>
      </c>
      <c r="N74" s="13">
        <f>IFERROR(__xludf.DUMMYFUNCTION("""COMPUTED_VALUE"""),18328.2381)</f>
        <v>18328.2381</v>
      </c>
      <c r="O74" s="13">
        <f>IFERROR(__xludf.DUMMYFUNCTION("""COMPUTED_VALUE"""),17878.90068)</f>
        <v>17878.90068</v>
      </c>
      <c r="P74" s="13">
        <f>IFERROR(__xludf.DUMMYFUNCTION("""COMPUTED_VALUE"""),19933.458)</f>
        <v>19933.458</v>
      </c>
      <c r="Q74" s="13">
        <f>IFERROR(__xludf.DUMMYFUNCTION("""COMPUTED_VALUE"""),2523.1695)</f>
        <v>2523.1695</v>
      </c>
    </row>
    <row r="75">
      <c r="B75" s="55" t="str">
        <f>Q4</f>
        <v>northwest</v>
      </c>
      <c r="C75" s="54">
        <f>count(Q5:Q369)</f>
        <v>325</v>
      </c>
      <c r="D75" s="56">
        <f t="shared" si="4"/>
        <v>0.2428998505</v>
      </c>
      <c r="F75" s="42" t="s">
        <v>90</v>
      </c>
      <c r="N75" s="13">
        <f>IFERROR(__xludf.DUMMYFUNCTION("""COMPUTED_VALUE"""),25081.76784)</f>
        <v>25081.76784</v>
      </c>
      <c r="O75" s="13">
        <f>IFERROR(__xludf.DUMMYFUNCTION("""COMPUTED_VALUE"""),3206.49135)</f>
        <v>3206.49135</v>
      </c>
      <c r="P75" s="13">
        <f>IFERROR(__xludf.DUMMYFUNCTION("""COMPUTED_VALUE"""),2632.992)</f>
        <v>2632.992</v>
      </c>
      <c r="Q75" s="13">
        <f>IFERROR(__xludf.DUMMYFUNCTION("""COMPUTED_VALUE"""),2534.39375)</f>
        <v>2534.39375</v>
      </c>
    </row>
    <row r="76">
      <c r="B76" s="42" t="s">
        <v>91</v>
      </c>
      <c r="C76" s="54">
        <f>SUM(C72:C75)</f>
        <v>1338</v>
      </c>
      <c r="N76" s="13">
        <f>IFERROR(__xludf.DUMMYFUNCTION("""COMPUTED_VALUE"""),1986.9334)</f>
        <v>1986.9334</v>
      </c>
      <c r="O76" s="13">
        <f>IFERROR(__xludf.DUMMYFUNCTION("""COMPUTED_VALUE"""),3309.7926)</f>
        <v>3309.7926</v>
      </c>
      <c r="P76" s="13">
        <f>IFERROR(__xludf.DUMMYFUNCTION("""COMPUTED_VALUE"""),3208.787)</f>
        <v>3208.787</v>
      </c>
      <c r="Q76" s="13">
        <f>IFERROR(__xludf.DUMMYFUNCTION("""COMPUTED_VALUE"""),15817.9857)</f>
        <v>15817.9857</v>
      </c>
    </row>
    <row r="77">
      <c r="N77" s="13">
        <f>IFERROR(__xludf.DUMMYFUNCTION("""COMPUTED_VALUE"""),38126.2465)</f>
        <v>38126.2465</v>
      </c>
      <c r="O77" s="13">
        <f>IFERROR(__xludf.DUMMYFUNCTION("""COMPUTED_VALUE"""),23241.47453)</f>
        <v>23241.47453</v>
      </c>
      <c r="P77" s="13">
        <f>IFERROR(__xludf.DUMMYFUNCTION("""COMPUTED_VALUE"""),33900.653)</f>
        <v>33900.653</v>
      </c>
      <c r="Q77" s="13">
        <f>IFERROR(__xludf.DUMMYFUNCTION("""COMPUTED_VALUE"""),4877.98105)</f>
        <v>4877.98105</v>
      </c>
    </row>
    <row r="78">
      <c r="A78" s="52" t="s">
        <v>92</v>
      </c>
      <c r="B78" s="35"/>
      <c r="C78" s="35"/>
      <c r="D78" s="35"/>
      <c r="E78" s="35"/>
      <c r="F78" s="35"/>
      <c r="G78" s="35"/>
      <c r="H78" s="35"/>
      <c r="I78" s="35"/>
      <c r="J78" s="35"/>
      <c r="N78" s="13">
        <f>IFERROR(__xludf.DUMMYFUNCTION("""COMPUTED_VALUE"""),2473.3341)</f>
        <v>2473.3341</v>
      </c>
      <c r="O78" s="13">
        <f>IFERROR(__xludf.DUMMYFUNCTION("""COMPUTED_VALUE"""),3385.39915)</f>
        <v>3385.39915</v>
      </c>
      <c r="P78" s="13">
        <f>IFERROR(__xludf.DUMMYFUNCTION("""COMPUTED_VALUE"""),2302.3)</f>
        <v>2302.3</v>
      </c>
      <c r="Q78" s="13">
        <f>IFERROR(__xludf.DUMMYFUNCTION("""COMPUTED_VALUE"""),3594.17085)</f>
        <v>3594.17085</v>
      </c>
    </row>
    <row r="79">
      <c r="N79" s="13">
        <f>IFERROR(__xludf.DUMMYFUNCTION("""COMPUTED_VALUE"""),2480.9791)</f>
        <v>2480.9791</v>
      </c>
      <c r="O79" s="13">
        <f>IFERROR(__xludf.DUMMYFUNCTION("""COMPUTED_VALUE"""),3490.5491)</f>
        <v>3490.5491</v>
      </c>
      <c r="P79" s="13">
        <f>IFERROR(__xludf.DUMMYFUNCTION("""COMPUTED_VALUE"""),36085.219)</f>
        <v>36085.219</v>
      </c>
      <c r="Q79" s="13">
        <f>IFERROR(__xludf.DUMMYFUNCTION("""COMPUTED_VALUE"""),3021.80915)</f>
        <v>3021.80915</v>
      </c>
    </row>
    <row r="80">
      <c r="C80" s="52" t="s">
        <v>85</v>
      </c>
      <c r="D80" s="52" t="s">
        <v>86</v>
      </c>
      <c r="F80" s="42" t="s">
        <v>73</v>
      </c>
      <c r="N80" s="13">
        <f>IFERROR(__xludf.DUMMYFUNCTION("""COMPUTED_VALUE"""),1981.5819)</f>
        <v>1981.5819</v>
      </c>
      <c r="O80" s="13">
        <f>IFERROR(__xludf.DUMMYFUNCTION("""COMPUTED_VALUE"""),24671.66334)</f>
        <v>24671.66334</v>
      </c>
      <c r="P80" s="13">
        <f>IFERROR(__xludf.DUMMYFUNCTION("""COMPUTED_VALUE"""),3410.324)</f>
        <v>3410.324</v>
      </c>
      <c r="Q80" s="13">
        <f>IFERROR(__xludf.DUMMYFUNCTION("""COMPUTED_VALUE"""),4189.1131)</f>
        <v>4189.1131</v>
      </c>
    </row>
    <row r="81">
      <c r="B81" s="58" t="s">
        <v>93</v>
      </c>
      <c r="C81" s="54">
        <f>COUNTIF(DATASET!E2:E1844,"yes")</f>
        <v>274</v>
      </c>
      <c r="D81" s="59">
        <f>C81/C83</f>
        <v>0.2047832586</v>
      </c>
      <c r="F81" s="42" t="s">
        <v>94</v>
      </c>
      <c r="N81" s="13">
        <f>IFERROR(__xludf.DUMMYFUNCTION("""COMPUTED_VALUE"""),2464.6188)</f>
        <v>2464.6188</v>
      </c>
      <c r="O81" s="13">
        <f>IFERROR(__xludf.DUMMYFUNCTION("""COMPUTED_VALUE"""),14455.64405)</f>
        <v>14455.64405</v>
      </c>
      <c r="P81" s="13">
        <f>IFERROR(__xludf.DUMMYFUNCTION("""COMPUTED_VALUE"""),3484.331)</f>
        <v>3484.331</v>
      </c>
      <c r="Q81" s="13">
        <f>IFERROR(__xludf.DUMMYFUNCTION("""COMPUTED_VALUE"""),3877.30425)</f>
        <v>3877.30425</v>
      </c>
    </row>
    <row r="82">
      <c r="B82" s="58" t="s">
        <v>95</v>
      </c>
      <c r="C82" s="57">
        <f>COUNTIF(DATASET!E2:E1844,"no")</f>
        <v>1064</v>
      </c>
      <c r="D82" s="59">
        <f>C82/C83</f>
        <v>0.7952167414</v>
      </c>
      <c r="N82" s="13">
        <f>IFERROR(__xludf.DUMMYFUNCTION("""COMPUTED_VALUE"""),4504.6624)</f>
        <v>4504.6624</v>
      </c>
      <c r="O82" s="13">
        <f>IFERROR(__xludf.DUMMYFUNCTION("""COMPUTED_VALUE"""),2897.3235)</f>
        <v>2897.3235</v>
      </c>
      <c r="P82" s="13">
        <f>IFERROR(__xludf.DUMMYFUNCTION("""COMPUTED_VALUE"""),3378.91)</f>
        <v>3378.91</v>
      </c>
      <c r="Q82" s="13">
        <f>IFERROR(__xludf.DUMMYFUNCTION("""COMPUTED_VALUE"""),3176.8159)</f>
        <v>3176.8159</v>
      </c>
    </row>
    <row r="83">
      <c r="B83" s="42" t="s">
        <v>96</v>
      </c>
      <c r="C83" s="54">
        <f>SUM(C81:C82)</f>
        <v>1338</v>
      </c>
      <c r="N83" s="13">
        <f>IFERROR(__xludf.DUMMYFUNCTION("""COMPUTED_VALUE"""),2137.6536)</f>
        <v>2137.6536</v>
      </c>
      <c r="O83" s="13">
        <f>IFERROR(__xludf.DUMMYFUNCTION("""COMPUTED_VALUE"""),4661.28635)</f>
        <v>4661.28635</v>
      </c>
      <c r="P83" s="13">
        <f>IFERROR(__xludf.DUMMYFUNCTION("""COMPUTED_VALUE"""),3987.926)</f>
        <v>3987.926</v>
      </c>
      <c r="Q83" s="13">
        <f>IFERROR(__xludf.DUMMYFUNCTION("""COMPUTED_VALUE"""),3201.24515)</f>
        <v>3201.24515</v>
      </c>
    </row>
    <row r="84">
      <c r="N84" s="13">
        <f>IFERROR(__xludf.DUMMYFUNCTION("""COMPUTED_VALUE"""),42112.2356)</f>
        <v>42112.2356</v>
      </c>
      <c r="O84" s="13">
        <f>IFERROR(__xludf.DUMMYFUNCTION("""COMPUTED_VALUE"""),4564.19145)</f>
        <v>4564.19145</v>
      </c>
      <c r="P84" s="13">
        <f>IFERROR(__xludf.DUMMYFUNCTION("""COMPUTED_VALUE"""),2904.088)</f>
        <v>2904.088</v>
      </c>
      <c r="Q84" s="13">
        <f>IFERROR(__xludf.DUMMYFUNCTION("""COMPUTED_VALUE"""),2680.9493)</f>
        <v>2680.9493</v>
      </c>
    </row>
    <row r="85">
      <c r="A85" s="52" t="s">
        <v>97</v>
      </c>
      <c r="B85" s="35"/>
      <c r="C85" s="35"/>
      <c r="D85" s="35"/>
      <c r="E85" s="35"/>
      <c r="F85" s="35"/>
      <c r="G85" s="35"/>
      <c r="H85" s="35"/>
      <c r="I85" s="35"/>
      <c r="J85" s="35"/>
      <c r="N85" s="13">
        <f>IFERROR(__xludf.DUMMYFUNCTION("""COMPUTED_VALUE"""),18218.16139)</f>
        <v>18218.16139</v>
      </c>
      <c r="O85" s="13">
        <f>IFERROR(__xludf.DUMMYFUNCTION("""COMPUTED_VALUE"""),4827.90495)</f>
        <v>4827.90495</v>
      </c>
      <c r="P85" s="13">
        <f>IFERROR(__xludf.DUMMYFUNCTION("""COMPUTED_VALUE"""),4260.744)</f>
        <v>4260.744</v>
      </c>
      <c r="Q85" s="13">
        <f>IFERROR(__xludf.DUMMYFUNCTION("""COMPUTED_VALUE"""),3176.2877)</f>
        <v>3176.2877</v>
      </c>
    </row>
    <row r="86">
      <c r="N86" s="13">
        <f>IFERROR(__xludf.DUMMYFUNCTION("""COMPUTED_VALUE"""),3227.1211)</f>
        <v>3227.1211</v>
      </c>
      <c r="O86" s="13">
        <f>IFERROR(__xludf.DUMMYFUNCTION("""COMPUTED_VALUE"""),15006.57945)</f>
        <v>15006.57945</v>
      </c>
      <c r="P86" s="13">
        <f>IFERROR(__xludf.DUMMYFUNCTION("""COMPUTED_VALUE"""),34838.873)</f>
        <v>34838.873</v>
      </c>
      <c r="Q86" s="13">
        <f>IFERROR(__xludf.DUMMYFUNCTION("""COMPUTED_VALUE"""),2699.56835)</f>
        <v>2699.56835</v>
      </c>
    </row>
    <row r="87">
      <c r="B87" s="42" t="s">
        <v>98</v>
      </c>
      <c r="D87" s="60">
        <f>COUNTIFS(DATASET!B2:B1844,"female",DATASET!E2:E1844,"yes")/C83</f>
        <v>0.08594917788</v>
      </c>
      <c r="N87" s="13">
        <f>IFERROR(__xludf.DUMMYFUNCTION("""COMPUTED_VALUE"""),36124.5737)</f>
        <v>36124.5737</v>
      </c>
      <c r="O87" s="13">
        <f>IFERROR(__xludf.DUMMYFUNCTION("""COMPUTED_VALUE"""),3558.62025)</f>
        <v>3558.62025</v>
      </c>
      <c r="P87" s="13">
        <f>IFERROR(__xludf.DUMMYFUNCTION("""COMPUTED_VALUE"""),2494.022)</f>
        <v>2494.022</v>
      </c>
      <c r="Q87" s="13">
        <f>IFERROR(__xludf.DUMMYFUNCTION("""COMPUTED_VALUE"""),3292.52985)</f>
        <v>3292.52985</v>
      </c>
    </row>
    <row r="88">
      <c r="B88" s="42" t="s">
        <v>99</v>
      </c>
      <c r="D88" s="60">
        <f>D81</f>
        <v>0.2047832586</v>
      </c>
      <c r="N88" s="13">
        <f>IFERROR(__xludf.DUMMYFUNCTION("""COMPUTED_VALUE"""),3238.4357)</f>
        <v>3238.4357</v>
      </c>
      <c r="O88" s="13">
        <f>IFERROR(__xludf.DUMMYFUNCTION("""COMPUTED_VALUE"""),3070.8087)</f>
        <v>3070.8087</v>
      </c>
      <c r="P88" s="13">
        <f>IFERROR(__xludf.DUMMYFUNCTION("""COMPUTED_VALUE"""),3577.999)</f>
        <v>3577.999</v>
      </c>
      <c r="Q88" s="13">
        <f>IFERROR(__xludf.DUMMYFUNCTION("""COMPUTED_VALUE"""),18804.7524)</f>
        <v>18804.7524</v>
      </c>
    </row>
    <row r="89">
      <c r="N89" s="13">
        <f>IFERROR(__xludf.DUMMYFUNCTION("""COMPUTED_VALUE"""),3981.9768)</f>
        <v>3981.9768</v>
      </c>
      <c r="O89" s="13">
        <f>IFERROR(__xludf.DUMMYFUNCTION("""COMPUTED_VALUE"""),4846.92015)</f>
        <v>4846.92015</v>
      </c>
      <c r="P89" s="13">
        <f>IFERROR(__xludf.DUMMYFUNCTION("""COMPUTED_VALUE"""),2974.126)</f>
        <v>2974.126</v>
      </c>
      <c r="Q89" s="13">
        <f>IFERROR(__xludf.DUMMYFUNCTION("""COMPUTED_VALUE"""),4058.71245)</f>
        <v>4058.71245</v>
      </c>
    </row>
    <row r="90">
      <c r="B90" s="50" t="s">
        <v>100</v>
      </c>
      <c r="N90" s="13">
        <f>IFERROR(__xludf.DUMMYFUNCTION("""COMPUTED_VALUE"""),3392.9768)</f>
        <v>3392.9768</v>
      </c>
      <c r="O90" s="13">
        <f>IFERROR(__xludf.DUMMYFUNCTION("""COMPUTED_VALUE"""),16796.41194)</f>
        <v>16796.41194</v>
      </c>
      <c r="P90" s="13">
        <f>IFERROR(__xludf.DUMMYFUNCTION("""COMPUTED_VALUE"""),3693.428)</f>
        <v>3693.428</v>
      </c>
      <c r="Q90" s="13">
        <f>IFERROR(__xludf.DUMMYFUNCTION("""COMPUTED_VALUE"""),18310.742)</f>
        <v>18310.742</v>
      </c>
    </row>
    <row r="91">
      <c r="C91" s="61" t="s">
        <v>101</v>
      </c>
      <c r="D91" s="42" t="s">
        <v>102</v>
      </c>
      <c r="N91" s="13">
        <f>IFERROR(__xludf.DUMMYFUNCTION("""COMPUTED_VALUE"""),3392.3652)</f>
        <v>3392.3652</v>
      </c>
      <c r="O91" s="13">
        <f>IFERROR(__xludf.DUMMYFUNCTION("""COMPUTED_VALUE"""),18903.49141)</f>
        <v>18903.49141</v>
      </c>
      <c r="P91" s="13">
        <f>IFERROR(__xludf.DUMMYFUNCTION("""COMPUTED_VALUE"""),51194.55914)</f>
        <v>51194.55914</v>
      </c>
      <c r="Q91" s="13">
        <f>IFERROR(__xludf.DUMMYFUNCTION("""COMPUTED_VALUE"""),16420.49455)</f>
        <v>16420.49455</v>
      </c>
    </row>
    <row r="92">
      <c r="C92" s="61" t="s">
        <v>101</v>
      </c>
      <c r="D92" s="62">
        <f>D87/D88</f>
        <v>0.4197080292</v>
      </c>
      <c r="N92" s="13">
        <f>IFERROR(__xludf.DUMMYFUNCTION("""COMPUTED_VALUE"""),2927.0647)</f>
        <v>2927.0647</v>
      </c>
      <c r="O92" s="13">
        <f>IFERROR(__xludf.DUMMYFUNCTION("""COMPUTED_VALUE"""),4337.7352)</f>
        <v>4337.7352</v>
      </c>
      <c r="P92" s="13">
        <f>IFERROR(__xludf.DUMMYFUNCTION("""COMPUTED_VALUE"""),3172.018)</f>
        <v>3172.018</v>
      </c>
      <c r="Q92" s="13">
        <f>IFERROR(__xludf.DUMMYFUNCTION("""COMPUTED_VALUE"""),3353.4703)</f>
        <v>3353.4703</v>
      </c>
    </row>
    <row r="93">
      <c r="A93" s="63"/>
      <c r="B93" s="50" t="s">
        <v>103</v>
      </c>
      <c r="N93" s="13">
        <f>IFERROR(__xludf.DUMMYFUNCTION("""COMPUTED_VALUE"""),2322.6218)</f>
        <v>2322.6218</v>
      </c>
      <c r="O93" s="13">
        <f>IFERROR(__xludf.DUMMYFUNCTION("""COMPUTED_VALUE"""),23288.9284)</f>
        <v>23288.9284</v>
      </c>
      <c r="P93" s="13">
        <f>IFERROR(__xludf.DUMMYFUNCTION("""COMPUTED_VALUE"""),20177.67113)</f>
        <v>20177.67113</v>
      </c>
      <c r="Q93" s="13">
        <f>IFERROR(__xludf.DUMMYFUNCTION("""COMPUTED_VALUE"""),3956.07145)</f>
        <v>3956.07145</v>
      </c>
    </row>
    <row r="94">
      <c r="A94" s="42"/>
      <c r="N94" s="13">
        <f>IFERROR(__xludf.DUMMYFUNCTION("""COMPUTED_VALUE"""),2902.9065)</f>
        <v>2902.9065</v>
      </c>
      <c r="O94" s="13">
        <f>IFERROR(__xludf.DUMMYFUNCTION("""COMPUTED_VALUE"""),3268.84665)</f>
        <v>3268.84665</v>
      </c>
      <c r="P94" s="13">
        <f>IFERROR(__xludf.DUMMYFUNCTION("""COMPUTED_VALUE"""),3847.674)</f>
        <v>3847.674</v>
      </c>
      <c r="Q94" s="13">
        <f>IFERROR(__xludf.DUMMYFUNCTION("""COMPUTED_VALUE"""),3556.9223)</f>
        <v>3556.9223</v>
      </c>
    </row>
    <row r="95">
      <c r="A95" s="52" t="s">
        <v>104</v>
      </c>
      <c r="B95" s="64"/>
      <c r="C95" s="64"/>
      <c r="D95" s="64"/>
      <c r="E95" s="64"/>
      <c r="F95" s="64"/>
      <c r="G95" s="64"/>
      <c r="H95" s="64"/>
      <c r="I95" s="64"/>
      <c r="J95" s="64"/>
      <c r="N95" s="13">
        <f>IFERROR(__xludf.DUMMYFUNCTION("""COMPUTED_VALUE"""),17043.3414)</f>
        <v>17043.3414</v>
      </c>
      <c r="O95" s="13">
        <f>IFERROR(__xludf.DUMMYFUNCTION("""COMPUTED_VALUE"""),4435.0942)</f>
        <v>4435.0942</v>
      </c>
      <c r="P95" s="13">
        <f>IFERROR(__xludf.DUMMYFUNCTION("""COMPUTED_VALUE"""),3161.454)</f>
        <v>3161.454</v>
      </c>
      <c r="Q95" s="13">
        <f>IFERROR(__xludf.DUMMYFUNCTION("""COMPUTED_VALUE"""),4133.64165)</f>
        <v>4133.64165</v>
      </c>
    </row>
    <row r="96">
      <c r="N96" s="13">
        <f>IFERROR(__xludf.DUMMYFUNCTION("""COMPUTED_VALUE"""),39611.7577)</f>
        <v>39611.7577</v>
      </c>
      <c r="O96" s="13">
        <f>IFERROR(__xludf.DUMMYFUNCTION("""COMPUTED_VALUE"""),4428.88785)</f>
        <v>4428.88785</v>
      </c>
      <c r="P96" s="13">
        <f>IFERROR(__xludf.DUMMYFUNCTION("""COMPUTED_VALUE"""),5615.369)</f>
        <v>5615.369</v>
      </c>
      <c r="Q96" s="13">
        <f>IFERROR(__xludf.DUMMYFUNCTION("""COMPUTED_VALUE"""),3062.50825)</f>
        <v>3062.50825</v>
      </c>
    </row>
    <row r="97">
      <c r="B97" s="42" t="s">
        <v>105</v>
      </c>
      <c r="D97" s="60">
        <f>COUNTIFS(DATASET!B2:B1844,"male",DATASET!E2:E1844,"yes")/C83</f>
        <v>0.1188340807</v>
      </c>
      <c r="N97" s="13">
        <f>IFERROR(__xludf.DUMMYFUNCTION("""COMPUTED_VALUE"""),16577.7795)</f>
        <v>16577.7795</v>
      </c>
      <c r="O97" s="13">
        <f>IFERROR(__xludf.DUMMYFUNCTION("""COMPUTED_VALUE"""),4438.2634)</f>
        <v>4438.2634</v>
      </c>
      <c r="P97" s="13">
        <f>IFERROR(__xludf.DUMMYFUNCTION("""COMPUTED_VALUE"""),3277.161)</f>
        <v>3277.161</v>
      </c>
      <c r="Q97" s="13">
        <f>IFERROR(__xludf.DUMMYFUNCTION("""COMPUTED_VALUE"""),4719.73655)</f>
        <v>4719.73655</v>
      </c>
    </row>
    <row r="98">
      <c r="B98" s="42" t="s">
        <v>99</v>
      </c>
      <c r="D98" s="60">
        <f>D81</f>
        <v>0.2047832586</v>
      </c>
      <c r="N98" s="13">
        <f>IFERROR(__xludf.DUMMYFUNCTION("""COMPUTED_VALUE"""),37133.8982)</f>
        <v>37133.8982</v>
      </c>
      <c r="O98" s="13">
        <f>IFERROR(__xludf.DUMMYFUNCTION("""COMPUTED_VALUE"""),3732.6251)</f>
        <v>3732.6251</v>
      </c>
      <c r="P98" s="13">
        <f>IFERROR(__xludf.DUMMYFUNCTION("""COMPUTED_VALUE"""),2866.091)</f>
        <v>2866.091</v>
      </c>
      <c r="Q98" s="13">
        <f>IFERROR(__xludf.DUMMYFUNCTION("""COMPUTED_VALUE"""),5312.16985)</f>
        <v>5312.16985</v>
      </c>
    </row>
    <row r="99">
      <c r="N99" s="13">
        <f>IFERROR(__xludf.DUMMYFUNCTION("""COMPUTED_VALUE"""),2483.736)</f>
        <v>2483.736</v>
      </c>
      <c r="O99" s="13">
        <f>IFERROR(__xludf.DUMMYFUNCTION("""COMPUTED_VALUE"""),4040.55825)</f>
        <v>4040.55825</v>
      </c>
      <c r="P99" s="13">
        <f>IFERROR(__xludf.DUMMYFUNCTION("""COMPUTED_VALUE"""),36197.699)</f>
        <v>36197.699</v>
      </c>
      <c r="Q99" s="13">
        <f>IFERROR(__xludf.DUMMYFUNCTION("""COMPUTED_VALUE"""),19673.33573)</f>
        <v>19673.33573</v>
      </c>
    </row>
    <row r="100">
      <c r="B100" s="50" t="s">
        <v>106</v>
      </c>
      <c r="N100" s="13">
        <f>IFERROR(__xludf.DUMMYFUNCTION("""COMPUTED_VALUE"""),3561.8889)</f>
        <v>3561.8889</v>
      </c>
      <c r="O100" s="13">
        <f>IFERROR(__xludf.DUMMYFUNCTION("""COMPUTED_VALUE"""),20277.80751)</f>
        <v>20277.80751</v>
      </c>
      <c r="P100" s="13">
        <f>IFERROR(__xludf.DUMMYFUNCTION("""COMPUTED_VALUE"""),44585.45587)</f>
        <v>44585.45587</v>
      </c>
      <c r="Q100" s="13">
        <f>IFERROR(__xludf.DUMMYFUNCTION("""COMPUTED_VALUE"""),18157.876)</f>
        <v>18157.876</v>
      </c>
    </row>
    <row r="101">
      <c r="C101" s="61" t="s">
        <v>101</v>
      </c>
      <c r="D101" s="42" t="s">
        <v>107</v>
      </c>
      <c r="N101" s="13">
        <f>IFERROR(__xludf.DUMMYFUNCTION("""COMPUTED_VALUE"""),2497.0383)</f>
        <v>2497.0383</v>
      </c>
      <c r="O101" s="13">
        <f>IFERROR(__xludf.DUMMYFUNCTION("""COMPUTED_VALUE"""),3943.5954)</f>
        <v>3943.5954</v>
      </c>
      <c r="P101" s="13">
        <f>IFERROR(__xludf.DUMMYFUNCTION("""COMPUTED_VALUE"""),3353.284)</f>
        <v>3353.284</v>
      </c>
      <c r="Q101" s="13">
        <f>IFERROR(__xludf.DUMMYFUNCTION("""COMPUTED_VALUE"""),4922.9159)</f>
        <v>4922.9159</v>
      </c>
    </row>
    <row r="102">
      <c r="C102" s="61" t="s">
        <v>101</v>
      </c>
      <c r="D102" s="62">
        <f>D97/D98</f>
        <v>0.5802919708</v>
      </c>
      <c r="N102" s="13">
        <f>IFERROR(__xludf.DUMMYFUNCTION("""COMPUTED_VALUE"""),2498.4144)</f>
        <v>2498.4144</v>
      </c>
      <c r="O102" s="13">
        <f>IFERROR(__xludf.DUMMYFUNCTION("""COMPUTED_VALUE"""),16657.71745)</f>
        <v>16657.71745</v>
      </c>
      <c r="P102" s="13">
        <f>IFERROR(__xludf.DUMMYFUNCTION("""COMPUTED_VALUE"""),5708.867)</f>
        <v>5708.867</v>
      </c>
      <c r="Q102" s="13">
        <f>IFERROR(__xludf.DUMMYFUNCTION("""COMPUTED_VALUE"""),19442.3535)</f>
        <v>19442.3535</v>
      </c>
    </row>
    <row r="103">
      <c r="B103" s="50" t="s">
        <v>108</v>
      </c>
      <c r="N103" s="13">
        <f>IFERROR(__xludf.DUMMYFUNCTION("""COMPUTED_VALUE"""),34806.4677)</f>
        <v>34806.4677</v>
      </c>
      <c r="O103" s="13">
        <f>IFERROR(__xludf.DUMMYFUNCTION("""COMPUTED_VALUE"""),5209.57885)</f>
        <v>5209.57885</v>
      </c>
      <c r="P103" s="13">
        <f>IFERROR(__xludf.DUMMYFUNCTION("""COMPUTED_VALUE"""),4529.477)</f>
        <v>4529.477</v>
      </c>
      <c r="Q103" s="13">
        <f>IFERROR(__xludf.DUMMYFUNCTION("""COMPUTED_VALUE"""),4906.40965)</f>
        <v>4906.40965</v>
      </c>
    </row>
    <row r="104">
      <c r="N104" s="13">
        <f>IFERROR(__xludf.DUMMYFUNCTION("""COMPUTED_VALUE"""),18246.4955)</f>
        <v>18246.4955</v>
      </c>
      <c r="O104" s="13">
        <f>IFERROR(__xludf.DUMMYFUNCTION("""COMPUTED_VALUE"""),16138.76205)</f>
        <v>16138.76205</v>
      </c>
      <c r="P104" s="13">
        <f>IFERROR(__xludf.DUMMYFUNCTION("""COMPUTED_VALUE"""),36837.467)</f>
        <v>36837.467</v>
      </c>
      <c r="Q104" s="13">
        <f>IFERROR(__xludf.DUMMYFUNCTION("""COMPUTED_VALUE"""),3736.4647)</f>
        <v>3736.4647</v>
      </c>
    </row>
    <row r="105">
      <c r="A105" s="38"/>
      <c r="B105" s="38"/>
      <c r="C105" s="38"/>
      <c r="D105" s="38"/>
      <c r="E105" s="38"/>
      <c r="F105" s="38"/>
      <c r="G105" s="38"/>
      <c r="H105" s="38"/>
      <c r="I105" s="38"/>
      <c r="J105" s="38"/>
      <c r="N105" s="13">
        <f>IFERROR(__xludf.DUMMYFUNCTION("""COMPUTED_VALUE"""),4449.462)</f>
        <v>4449.462</v>
      </c>
      <c r="O105" s="13">
        <f>IFERROR(__xludf.DUMMYFUNCTION("""COMPUTED_VALUE"""),16115.3045)</f>
        <v>16115.3045</v>
      </c>
      <c r="P105" s="13">
        <f>IFERROR(__xludf.DUMMYFUNCTION("""COMPUTED_VALUE"""),4149.736)</f>
        <v>4149.736</v>
      </c>
      <c r="Q105" s="13">
        <f>IFERROR(__xludf.DUMMYFUNCTION("""COMPUTED_VALUE"""),4433.3877)</f>
        <v>4433.3877</v>
      </c>
    </row>
    <row r="106">
      <c r="N106" s="13">
        <f>IFERROR(__xludf.DUMMYFUNCTION("""COMPUTED_VALUE"""),17663.1442)</f>
        <v>17663.1442</v>
      </c>
      <c r="O106" s="13">
        <f>IFERROR(__xludf.DUMMYFUNCTION("""COMPUTED_VALUE"""),3645.0894)</f>
        <v>3645.0894</v>
      </c>
      <c r="P106" s="13">
        <f>IFERROR(__xludf.DUMMYFUNCTION("""COMPUTED_VALUE"""),5325.651)</f>
        <v>5325.651</v>
      </c>
      <c r="Q106" s="13">
        <f>IFERROR(__xludf.DUMMYFUNCTION("""COMPUTED_VALUE"""),4433.9159)</f>
        <v>4433.9159</v>
      </c>
    </row>
    <row r="107">
      <c r="N107" s="13">
        <f>IFERROR(__xludf.DUMMYFUNCTION("""COMPUTED_VALUE"""),3766.8838)</f>
        <v>3766.8838</v>
      </c>
      <c r="O107" s="13">
        <f>IFERROR(__xludf.DUMMYFUNCTION("""COMPUTED_VALUE"""),4237.12655)</f>
        <v>4237.12655</v>
      </c>
      <c r="P107" s="13">
        <f>IFERROR(__xludf.DUMMYFUNCTION("""COMPUTED_VALUE"""),3554.203)</f>
        <v>3554.203</v>
      </c>
      <c r="Q107" s="13">
        <f>IFERROR(__xludf.DUMMYFUNCTION("""COMPUTED_VALUE"""),20745.9891)</f>
        <v>20745.9891</v>
      </c>
    </row>
    <row r="108">
      <c r="N108" s="13">
        <f>IFERROR(__xludf.DUMMYFUNCTION("""COMPUTED_VALUE"""),2689.4954)</f>
        <v>2689.4954</v>
      </c>
      <c r="O108" s="13">
        <f>IFERROR(__xludf.DUMMYFUNCTION("""COMPUTED_VALUE"""),5428.7277)</f>
        <v>5428.7277</v>
      </c>
      <c r="P108" s="13">
        <f>IFERROR(__xludf.DUMMYFUNCTION("""COMPUTED_VALUE"""),39241.442)</f>
        <v>39241.442</v>
      </c>
      <c r="Q108" s="13">
        <f>IFERROR(__xludf.DUMMYFUNCTION("""COMPUTED_VALUE"""),4032.2407)</f>
        <v>4032.2407</v>
      </c>
    </row>
    <row r="109">
      <c r="N109" s="13">
        <f>IFERROR(__xludf.DUMMYFUNCTION("""COMPUTED_VALUE"""),4349.462)</f>
        <v>4349.462</v>
      </c>
      <c r="O109" s="13">
        <f>IFERROR(__xludf.DUMMYFUNCTION("""COMPUTED_VALUE"""),4719.52405)</f>
        <v>4719.52405</v>
      </c>
      <c r="P109" s="13">
        <f>IFERROR(__xludf.DUMMYFUNCTION("""COMPUTED_VALUE"""),3659.346)</f>
        <v>3659.346</v>
      </c>
      <c r="Q109" s="13">
        <f>IFERROR(__xludf.DUMMYFUNCTION("""COMPUTED_VALUE"""),4527.18295)</f>
        <v>4527.18295</v>
      </c>
    </row>
    <row r="110">
      <c r="N110" s="13">
        <f>IFERROR(__xludf.DUMMYFUNCTION("""COMPUTED_VALUE"""),34672.1472)</f>
        <v>34672.1472</v>
      </c>
      <c r="O110" s="13">
        <f>IFERROR(__xludf.DUMMYFUNCTION("""COMPUTED_VALUE"""),4137.5227)</f>
        <v>4137.5227</v>
      </c>
      <c r="P110" s="13">
        <f>IFERROR(__xludf.DUMMYFUNCTION("""COMPUTED_VALUE"""),18259.216)</f>
        <v>18259.216</v>
      </c>
      <c r="Q110" s="13">
        <f>IFERROR(__xludf.DUMMYFUNCTION("""COMPUTED_VALUE"""),17361.7661)</f>
        <v>17361.7661</v>
      </c>
    </row>
    <row r="111">
      <c r="N111" s="13">
        <f>IFERROR(__xludf.DUMMYFUNCTION("""COMPUTED_VALUE"""),3171.6149)</f>
        <v>3171.6149</v>
      </c>
      <c r="O111" s="13">
        <f>IFERROR(__xludf.DUMMYFUNCTION("""COMPUTED_VALUE"""),4718.20355)</f>
        <v>4718.20355</v>
      </c>
      <c r="P111" s="13">
        <f>IFERROR(__xludf.DUMMYFUNCTION("""COMPUTED_VALUE"""),38711.0)</f>
        <v>38711</v>
      </c>
      <c r="Q111" s="13">
        <f>IFERROR(__xludf.DUMMYFUNCTION("""COMPUTED_VALUE"""),5693.4305)</f>
        <v>5693.4305</v>
      </c>
    </row>
    <row r="112">
      <c r="N112" s="13">
        <f>IFERROR(__xludf.DUMMYFUNCTION("""COMPUTED_VALUE"""),4340.4409)</f>
        <v>4340.4409</v>
      </c>
      <c r="O112" s="13">
        <f>IFERROR(__xludf.DUMMYFUNCTION("""COMPUTED_VALUE"""),6799.458)</f>
        <v>6799.458</v>
      </c>
      <c r="P112" s="13">
        <f>IFERROR(__xludf.DUMMYFUNCTION("""COMPUTED_VALUE"""),3260.199)</f>
        <v>3260.199</v>
      </c>
      <c r="Q112" s="13">
        <f>IFERROR(__xludf.DUMMYFUNCTION("""COMPUTED_VALUE"""),18765.87545)</f>
        <v>18765.87545</v>
      </c>
    </row>
    <row r="113">
      <c r="N113" s="13">
        <f>IFERROR(__xludf.DUMMYFUNCTION("""COMPUTED_VALUE"""),3947.4131)</f>
        <v>3947.4131</v>
      </c>
      <c r="O113" s="13">
        <f>IFERROR(__xludf.DUMMYFUNCTION("""COMPUTED_VALUE"""),4441.21315)</f>
        <v>4441.21315</v>
      </c>
      <c r="P113" s="13">
        <f>IFERROR(__xludf.DUMMYFUNCTION("""COMPUTED_VALUE"""),4931.647)</f>
        <v>4931.647</v>
      </c>
      <c r="Q113" s="13">
        <f>IFERROR(__xludf.DUMMYFUNCTION("""COMPUTED_VALUE"""),38746.3551)</f>
        <v>38746.3551</v>
      </c>
    </row>
    <row r="114">
      <c r="N114" s="13">
        <f>IFERROR(__xludf.DUMMYFUNCTION("""COMPUTED_VALUE"""),2867.1196)</f>
        <v>2867.1196</v>
      </c>
      <c r="O114" s="13">
        <f>IFERROR(__xludf.DUMMYFUNCTION("""COMPUTED_VALUE"""),4347.02335)</f>
        <v>4347.02335</v>
      </c>
      <c r="P114" s="13">
        <f>IFERROR(__xludf.DUMMYFUNCTION("""COMPUTED_VALUE"""),3761.292)</f>
        <v>3761.292</v>
      </c>
      <c r="Q114" s="13">
        <f>IFERROR(__xludf.DUMMYFUNCTION("""COMPUTED_VALUE"""),4243.59005)</f>
        <v>4243.59005</v>
      </c>
    </row>
    <row r="115">
      <c r="N115" s="13">
        <f>IFERROR(__xludf.DUMMYFUNCTION("""COMPUTED_VALUE"""),19107.7796)</f>
        <v>19107.7796</v>
      </c>
      <c r="O115" s="13">
        <f>IFERROR(__xludf.DUMMYFUNCTION("""COMPUTED_VALUE"""),3857.75925)</f>
        <v>3857.75925</v>
      </c>
      <c r="P115" s="13">
        <f>IFERROR(__xludf.DUMMYFUNCTION("""COMPUTED_VALUE"""),19199.944)</f>
        <v>19199.944</v>
      </c>
      <c r="Q115" s="13">
        <f>IFERROR(__xludf.DUMMYFUNCTION("""COMPUTED_VALUE"""),4738.2682)</f>
        <v>4738.2682</v>
      </c>
    </row>
    <row r="116">
      <c r="N116" s="13">
        <f>IFERROR(__xludf.DUMMYFUNCTION("""COMPUTED_VALUE"""),5138.2567)</f>
        <v>5138.2567</v>
      </c>
      <c r="O116" s="13">
        <f>IFERROR(__xludf.DUMMYFUNCTION("""COMPUTED_VALUE"""),58571.07448)</f>
        <v>58571.07448</v>
      </c>
      <c r="P116" s="13">
        <f>IFERROR(__xludf.DUMMYFUNCTION("""COMPUTED_VALUE"""),4934.705)</f>
        <v>4934.705</v>
      </c>
      <c r="Q116" s="13">
        <f>IFERROR(__xludf.DUMMYFUNCTION("""COMPUTED_VALUE"""),5327.40025)</f>
        <v>5327.40025</v>
      </c>
    </row>
    <row r="117">
      <c r="N117" s="13">
        <f>IFERROR(__xludf.DUMMYFUNCTION("""COMPUTED_VALUE"""),3366.6697)</f>
        <v>3366.6697</v>
      </c>
      <c r="O117" s="13">
        <f>IFERROR(__xludf.DUMMYFUNCTION("""COMPUTED_VALUE"""),6113.23105)</f>
        <v>6113.23105</v>
      </c>
      <c r="P117" s="13">
        <f>IFERROR(__xludf.DUMMYFUNCTION("""COMPUTED_VALUE"""),5152.134)</f>
        <v>5152.134</v>
      </c>
      <c r="Q117" s="13">
        <f>IFERROR(__xludf.DUMMYFUNCTION("""COMPUTED_VALUE"""),4134.08245)</f>
        <v>4134.08245</v>
      </c>
    </row>
    <row r="118">
      <c r="N118" s="13">
        <f>IFERROR(__xludf.DUMMYFUNCTION("""COMPUTED_VALUE"""),3471.4096)</f>
        <v>3471.4096</v>
      </c>
      <c r="O118" s="13">
        <f>IFERROR(__xludf.DUMMYFUNCTION("""COMPUTED_VALUE"""),5031.26955)</f>
        <v>5031.26955</v>
      </c>
      <c r="P118" s="13">
        <f>IFERROR(__xludf.DUMMYFUNCTION("""COMPUTED_VALUE"""),5253.524)</f>
        <v>5253.524</v>
      </c>
      <c r="Q118" s="13">
        <f>IFERROR(__xludf.DUMMYFUNCTION("""COMPUTED_VALUE"""),5425.02335)</f>
        <v>5425.02335</v>
      </c>
    </row>
    <row r="119">
      <c r="N119" s="13">
        <f>IFERROR(__xludf.DUMMYFUNCTION("""COMPUTED_VALUE"""),4058.1161)</f>
        <v>4058.1161</v>
      </c>
      <c r="O119" s="13">
        <f>IFERROR(__xludf.DUMMYFUNCTION("""COMPUTED_VALUE"""),6334.34355)</f>
        <v>6334.34355</v>
      </c>
      <c r="P119" s="13">
        <f>IFERROR(__xludf.DUMMYFUNCTION("""COMPUTED_VALUE"""),17496.306)</f>
        <v>17496.306</v>
      </c>
      <c r="Q119" s="13">
        <f>IFERROR(__xludf.DUMMYFUNCTION("""COMPUTED_VALUE"""),4239.89265)</f>
        <v>4239.89265</v>
      </c>
    </row>
    <row r="120">
      <c r="N120" s="13">
        <f>IFERROR(__xludf.DUMMYFUNCTION("""COMPUTED_VALUE"""),36950.2567)</f>
        <v>36950.2567</v>
      </c>
      <c r="O120" s="13">
        <f>IFERROR(__xludf.DUMMYFUNCTION("""COMPUTED_VALUE"""),4667.60765)</f>
        <v>4667.60765</v>
      </c>
      <c r="P120" s="13">
        <f>IFERROR(__xludf.DUMMYFUNCTION("""COMPUTED_VALUE"""),4076.497)</f>
        <v>4076.497</v>
      </c>
      <c r="Q120" s="13">
        <f>IFERROR(__xludf.DUMMYFUNCTION("""COMPUTED_VALUE"""),3866.8552)</f>
        <v>3866.8552</v>
      </c>
    </row>
    <row r="121">
      <c r="N121" s="13">
        <f>IFERROR(__xludf.DUMMYFUNCTION("""COMPUTED_VALUE"""),4151.0287)</f>
        <v>4151.0287</v>
      </c>
      <c r="O121" s="13">
        <f>IFERROR(__xludf.DUMMYFUNCTION("""COMPUTED_VALUE"""),5148.5526)</f>
        <v>5148.5526</v>
      </c>
      <c r="P121" s="13">
        <f>IFERROR(__xludf.DUMMYFUNCTION("""COMPUTED_VALUE"""),3989.841)</f>
        <v>3989.841</v>
      </c>
      <c r="Q121" s="13">
        <f>IFERROR(__xludf.DUMMYFUNCTION("""COMPUTED_VALUE"""),32734.1863)</f>
        <v>32734.1863</v>
      </c>
    </row>
    <row r="122">
      <c r="N122" s="13">
        <f>IFERROR(__xludf.DUMMYFUNCTION("""COMPUTED_VALUE"""),19521.9682)</f>
        <v>19521.9682</v>
      </c>
      <c r="O122" s="13">
        <f>IFERROR(__xludf.DUMMYFUNCTION("""COMPUTED_VALUE"""),37607.5277)</f>
        <v>37607.5277</v>
      </c>
      <c r="P122" s="13">
        <f>IFERROR(__xludf.DUMMYFUNCTION("""COMPUTED_VALUE"""),4670.64)</f>
        <v>4670.64</v>
      </c>
      <c r="Q122" s="13">
        <f>IFERROR(__xludf.DUMMYFUNCTION("""COMPUTED_VALUE"""),6128.79745)</f>
        <v>6128.79745</v>
      </c>
    </row>
    <row r="123">
      <c r="N123" s="13">
        <f>IFERROR(__xludf.DUMMYFUNCTION("""COMPUTED_VALUE"""),4753.6368)</f>
        <v>4753.6368</v>
      </c>
      <c r="O123" s="13">
        <f>IFERROR(__xludf.DUMMYFUNCTION("""COMPUTED_VALUE"""),4544.2348)</f>
        <v>4544.2348</v>
      </c>
      <c r="P123" s="13">
        <f>IFERROR(__xludf.DUMMYFUNCTION("""COMPUTED_VALUE"""),37079.372)</f>
        <v>37079.372</v>
      </c>
      <c r="Q123" s="13">
        <f>IFERROR(__xludf.DUMMYFUNCTION("""COMPUTED_VALUE"""),4462.7218)</f>
        <v>4462.7218</v>
      </c>
    </row>
    <row r="124">
      <c r="N124" s="13">
        <f>IFERROR(__xludf.DUMMYFUNCTION("""COMPUTED_VALUE"""),4837.5823)</f>
        <v>4837.5823</v>
      </c>
      <c r="O124" s="13">
        <f>IFERROR(__xludf.DUMMYFUNCTION("""COMPUTED_VALUE"""),5354.07465)</f>
        <v>5354.07465</v>
      </c>
      <c r="P124" s="13">
        <f>IFERROR(__xludf.DUMMYFUNCTION("""COMPUTED_VALUE"""),5972.378)</f>
        <v>5972.378</v>
      </c>
      <c r="Q124" s="13">
        <f>IFERROR(__xludf.DUMMYFUNCTION("""COMPUTED_VALUE"""),4454.40265)</f>
        <v>4454.40265</v>
      </c>
    </row>
    <row r="125">
      <c r="N125" s="13">
        <f>IFERROR(__xludf.DUMMYFUNCTION("""COMPUTED_VALUE"""),40932.4295)</f>
        <v>40932.4295</v>
      </c>
      <c r="O125" s="13">
        <f>IFERROR(__xludf.DUMMYFUNCTION("""COMPUTED_VALUE"""),12404.8791)</f>
        <v>12404.8791</v>
      </c>
      <c r="P125" s="13">
        <f>IFERROR(__xludf.DUMMYFUNCTION("""COMPUTED_VALUE"""),6666.243)</f>
        <v>6666.243</v>
      </c>
      <c r="Q125" s="13">
        <f>IFERROR(__xludf.DUMMYFUNCTION("""COMPUTED_VALUE"""),4357.04365)</f>
        <v>4357.04365</v>
      </c>
    </row>
    <row r="126">
      <c r="N126" s="13">
        <f>IFERROR(__xludf.DUMMYFUNCTION("""COMPUTED_VALUE"""),4266.1658)</f>
        <v>4266.1658</v>
      </c>
      <c r="O126" s="13">
        <f>IFERROR(__xludf.DUMMYFUNCTION("""COMPUTED_VALUE"""),17904.52705)</f>
        <v>17904.52705</v>
      </c>
      <c r="P126" s="13">
        <f>IFERROR(__xludf.DUMMYFUNCTION("""COMPUTED_VALUE"""),4766.022)</f>
        <v>4766.022</v>
      </c>
      <c r="Q126" s="13">
        <f>IFERROR(__xludf.DUMMYFUNCTION("""COMPUTED_VALUE"""),21472.4788)</f>
        <v>21472.4788</v>
      </c>
    </row>
    <row r="127">
      <c r="N127" s="13">
        <f>IFERROR(__xludf.DUMMYFUNCTION("""COMPUTED_VALUE"""),18963.17192)</f>
        <v>18963.17192</v>
      </c>
      <c r="O127" s="13">
        <f>IFERROR(__xludf.DUMMYFUNCTION("""COMPUTED_VALUE"""),6551.7501)</f>
        <v>6551.7501</v>
      </c>
      <c r="P127" s="13">
        <f>IFERROR(__xludf.DUMMYFUNCTION("""COMPUTED_VALUE"""),5375.038)</f>
        <v>5375.038</v>
      </c>
      <c r="Q127" s="13">
        <f>IFERROR(__xludf.DUMMYFUNCTION("""COMPUTED_VALUE"""),21984.47061)</f>
        <v>21984.47061</v>
      </c>
    </row>
    <row r="128">
      <c r="N128" s="13">
        <f>IFERROR(__xludf.DUMMYFUNCTION("""COMPUTED_VALUE"""),3756.6216)</f>
        <v>3756.6216</v>
      </c>
      <c r="O128" s="13">
        <f>IFERROR(__xludf.DUMMYFUNCTION("""COMPUTED_VALUE"""),16776.30405)</f>
        <v>16776.30405</v>
      </c>
      <c r="P128" s="13">
        <f>IFERROR(__xludf.DUMMYFUNCTION("""COMPUTED_VALUE"""),19040.876)</f>
        <v>19040.876</v>
      </c>
      <c r="Q128" s="13">
        <f>IFERROR(__xludf.DUMMYFUNCTION("""COMPUTED_VALUE"""),6360.9936)</f>
        <v>6360.9936</v>
      </c>
    </row>
    <row r="129">
      <c r="N129" s="13">
        <f>IFERROR(__xludf.DUMMYFUNCTION("""COMPUTED_VALUE"""),4949.7587)</f>
        <v>4949.7587</v>
      </c>
      <c r="O129" s="13">
        <f>IFERROR(__xludf.DUMMYFUNCTION("""COMPUTED_VALUE"""),37701.8768)</f>
        <v>37701.8768</v>
      </c>
      <c r="P129" s="13">
        <f>IFERROR(__xludf.DUMMYFUNCTION("""COMPUTED_VALUE"""),6059.173)</f>
        <v>6059.173</v>
      </c>
      <c r="Q129" s="13">
        <f>IFERROR(__xludf.DUMMYFUNCTION("""COMPUTED_VALUE"""),55135.40209)</f>
        <v>55135.40209</v>
      </c>
    </row>
    <row r="130">
      <c r="N130" s="13">
        <f>IFERROR(__xludf.DUMMYFUNCTION("""COMPUTED_VALUE"""),4463.2051)</f>
        <v>4463.2051</v>
      </c>
      <c r="O130" s="13">
        <f>IFERROR(__xludf.DUMMYFUNCTION("""COMPUTED_VALUE"""),27375.90478)</f>
        <v>27375.90478</v>
      </c>
      <c r="P130" s="13">
        <f>IFERROR(__xludf.DUMMYFUNCTION("""COMPUTED_VALUE"""),5003.853)</f>
        <v>5003.853</v>
      </c>
      <c r="Q130" s="13">
        <f>IFERROR(__xludf.DUMMYFUNCTION("""COMPUTED_VALUE"""),5257.50795)</f>
        <v>5257.50795</v>
      </c>
    </row>
    <row r="131">
      <c r="N131" s="13">
        <f>IFERROR(__xludf.DUMMYFUNCTION("""COMPUTED_VALUE"""),3757.8448)</f>
        <v>3757.8448</v>
      </c>
      <c r="O131" s="13">
        <f>IFERROR(__xludf.DUMMYFUNCTION("""COMPUTED_VALUE"""),5594.8455)</f>
        <v>5594.8455</v>
      </c>
      <c r="P131" s="13">
        <f>IFERROR(__xludf.DUMMYFUNCTION("""COMPUTED_VALUE"""),5012.471)</f>
        <v>5012.471</v>
      </c>
      <c r="Q131" s="13">
        <f>IFERROR(__xludf.DUMMYFUNCTION("""COMPUTED_VALUE"""),5261.46945)</f>
        <v>5261.46945</v>
      </c>
    </row>
    <row r="132">
      <c r="N132" s="13">
        <f>IFERROR(__xludf.DUMMYFUNCTION("""COMPUTED_VALUE"""),4350.5144)</f>
        <v>4350.5144</v>
      </c>
      <c r="O132" s="13">
        <f>IFERROR(__xludf.DUMMYFUNCTION("""COMPUTED_VALUE"""),6753.038)</f>
        <v>6753.038</v>
      </c>
      <c r="P132" s="13">
        <f>IFERROR(__xludf.DUMMYFUNCTION("""COMPUTED_VALUE"""),35491.64)</f>
        <v>35491.64</v>
      </c>
      <c r="Q132" s="13">
        <f>IFERROR(__xludf.DUMMYFUNCTION("""COMPUTED_VALUE"""),4571.41305)</f>
        <v>4571.41305</v>
      </c>
    </row>
    <row r="133">
      <c r="N133" s="13">
        <f>IFERROR(__xludf.DUMMYFUNCTION("""COMPUTED_VALUE"""),3875.7341)</f>
        <v>3875.7341</v>
      </c>
      <c r="O133" s="13">
        <f>IFERROR(__xludf.DUMMYFUNCTION("""COMPUTED_VALUE"""),4992.3764)</f>
        <v>4992.3764</v>
      </c>
      <c r="P133" s="13">
        <f>IFERROR(__xludf.DUMMYFUNCTION("""COMPUTED_VALUE"""),6196.448)</f>
        <v>6196.448</v>
      </c>
      <c r="Q133" s="13">
        <f>IFERROR(__xludf.DUMMYFUNCTION("""COMPUTED_VALUE"""),5989.52365)</f>
        <v>5989.52365</v>
      </c>
    </row>
    <row r="134">
      <c r="N134" s="13">
        <f>IFERROR(__xludf.DUMMYFUNCTION("""COMPUTED_VALUE"""),19350.3689)</f>
        <v>19350.3689</v>
      </c>
      <c r="O134" s="13">
        <f>IFERROR(__xludf.DUMMYFUNCTION("""COMPUTED_VALUE"""),4500.33925)</f>
        <v>4500.33925</v>
      </c>
      <c r="P134" s="13">
        <f>IFERROR(__xludf.DUMMYFUNCTION("""COMPUTED_VALUE"""),11737.84884)</f>
        <v>11737.84884</v>
      </c>
      <c r="Q134" s="13">
        <f>IFERROR(__xludf.DUMMYFUNCTION("""COMPUTED_VALUE"""),4894.7533)</f>
        <v>4894.7533</v>
      </c>
    </row>
    <row r="135">
      <c r="N135" s="13">
        <f>IFERROR(__xludf.DUMMYFUNCTION("""COMPUTED_VALUE"""),4074.4537)</f>
        <v>4074.4537</v>
      </c>
      <c r="O135" s="13">
        <f>IFERROR(__xludf.DUMMYFUNCTION("""COMPUTED_VALUE"""),4518.82625)</f>
        <v>4518.82625</v>
      </c>
      <c r="P135" s="13">
        <f>IFERROR(__xludf.DUMMYFUNCTION("""COMPUTED_VALUE"""),14358.36437)</f>
        <v>14358.36437</v>
      </c>
      <c r="Q135" s="13">
        <f>IFERROR(__xludf.DUMMYFUNCTION("""COMPUTED_VALUE"""),43943.8761)</f>
        <v>43943.8761</v>
      </c>
    </row>
    <row r="136">
      <c r="N136" s="13">
        <f>IFERROR(__xludf.DUMMYFUNCTION("""COMPUTED_VALUE"""),4686.3887)</f>
        <v>4686.3887</v>
      </c>
      <c r="O136" s="13">
        <f>IFERROR(__xludf.DUMMYFUNCTION("""COMPUTED_VALUE"""),39774.2763)</f>
        <v>39774.2763</v>
      </c>
      <c r="P136" s="13">
        <f>IFERROR(__xludf.DUMMYFUNCTION("""COMPUTED_VALUE"""),4536.259)</f>
        <v>4536.259</v>
      </c>
      <c r="Q136" s="13">
        <f>IFERROR(__xludf.DUMMYFUNCTION("""COMPUTED_VALUE"""),5385.3379)</f>
        <v>5385.3379</v>
      </c>
    </row>
    <row r="137">
      <c r="N137" s="13">
        <f>IFERROR(__xludf.DUMMYFUNCTION("""COMPUTED_VALUE"""),3994.1778)</f>
        <v>3994.1778</v>
      </c>
      <c r="O137" s="13">
        <f>IFERROR(__xludf.DUMMYFUNCTION("""COMPUTED_VALUE"""),20984.0936)</f>
        <v>20984.0936</v>
      </c>
      <c r="P137" s="13">
        <f>IFERROR(__xludf.DUMMYFUNCTION("""COMPUTED_VALUE"""),5246.047)</f>
        <v>5246.047</v>
      </c>
      <c r="Q137" s="13">
        <f>IFERROR(__xludf.DUMMYFUNCTION("""COMPUTED_VALUE"""),4320.41085)</f>
        <v>4320.41085</v>
      </c>
    </row>
    <row r="138">
      <c r="N138" s="13">
        <f>IFERROR(__xludf.DUMMYFUNCTION("""COMPUTED_VALUE"""),3972.9247)</f>
        <v>3972.9247</v>
      </c>
      <c r="O138" s="13">
        <f>IFERROR(__xludf.DUMMYFUNCTION("""COMPUTED_VALUE"""),24915.04626)</f>
        <v>24915.04626</v>
      </c>
      <c r="P138" s="13">
        <f>IFERROR(__xludf.DUMMYFUNCTION("""COMPUTED_VALUE"""),4751.07)</f>
        <v>4751.07</v>
      </c>
      <c r="Q138" s="13">
        <f>IFERROR(__xludf.DUMMYFUNCTION("""COMPUTED_VALUE"""),20009.63365)</f>
        <v>20009.63365</v>
      </c>
    </row>
    <row r="139">
      <c r="N139" s="13">
        <f>IFERROR(__xludf.DUMMYFUNCTION("""COMPUTED_VALUE"""),17626.23951)</f>
        <v>17626.23951</v>
      </c>
      <c r="O139" s="13">
        <f>IFERROR(__xludf.DUMMYFUNCTION("""COMPUTED_VALUE"""),6402.29135)</f>
        <v>6402.29135</v>
      </c>
      <c r="P139" s="13">
        <f>IFERROR(__xludf.DUMMYFUNCTION("""COMPUTED_VALUE"""),5926.846)</f>
        <v>5926.846</v>
      </c>
      <c r="Q139" s="13">
        <f>IFERROR(__xludf.DUMMYFUNCTION("""COMPUTED_VALUE"""),5729.0053)</f>
        <v>5729.0053</v>
      </c>
    </row>
    <row r="140">
      <c r="N140" s="13">
        <f>IFERROR(__xludf.DUMMYFUNCTION("""COMPUTED_VALUE"""),19719.6947)</f>
        <v>19719.6947</v>
      </c>
      <c r="O140" s="13">
        <f>IFERROR(__xludf.DUMMYFUNCTION("""COMPUTED_VALUE"""),5227.98875)</f>
        <v>5227.98875</v>
      </c>
      <c r="P140" s="13">
        <f>IFERROR(__xludf.DUMMYFUNCTION("""COMPUTED_VALUE"""),4762.329)</f>
        <v>4762.329</v>
      </c>
      <c r="Q140" s="13">
        <f>IFERROR(__xludf.DUMMYFUNCTION("""COMPUTED_VALUE"""),5125.2157)</f>
        <v>5125.2157</v>
      </c>
    </row>
    <row r="141">
      <c r="N141" s="13">
        <f>IFERROR(__xludf.DUMMYFUNCTION("""COMPUTED_VALUE"""),4673.3922)</f>
        <v>4673.3922</v>
      </c>
      <c r="O141" s="13">
        <f>IFERROR(__xludf.DUMMYFUNCTION("""COMPUTED_VALUE"""),19496.71917)</f>
        <v>19496.71917</v>
      </c>
      <c r="P141" s="13">
        <f>IFERROR(__xludf.DUMMYFUNCTION("""COMPUTED_VALUE"""),5240.765)</f>
        <v>5240.765</v>
      </c>
      <c r="Q141" s="13">
        <f>IFERROR(__xludf.DUMMYFUNCTION("""COMPUTED_VALUE"""),39983.42595)</f>
        <v>39983.42595</v>
      </c>
    </row>
    <row r="142">
      <c r="N142" s="13">
        <f>IFERROR(__xludf.DUMMYFUNCTION("""COMPUTED_VALUE"""),4562.8421)</f>
        <v>4562.8421</v>
      </c>
      <c r="O142" s="13">
        <f>IFERROR(__xludf.DUMMYFUNCTION("""COMPUTED_VALUE"""),43753.33705)</f>
        <v>43753.33705</v>
      </c>
      <c r="P142" s="13">
        <f>IFERROR(__xludf.DUMMYFUNCTION("""COMPUTED_VALUE"""),6414.178)</f>
        <v>6414.178</v>
      </c>
      <c r="Q142" s="13">
        <f>IFERROR(__xludf.DUMMYFUNCTION("""COMPUTED_VALUE"""),20234.85475)</f>
        <v>20234.85475</v>
      </c>
    </row>
    <row r="143">
      <c r="N143" s="13">
        <f>IFERROR(__xludf.DUMMYFUNCTION("""COMPUTED_VALUE"""),4889.9995)</f>
        <v>4889.9995</v>
      </c>
      <c r="O143" s="13">
        <f>IFERROR(__xludf.DUMMYFUNCTION("""COMPUTED_VALUE"""),6746.7425)</f>
        <v>6746.7425</v>
      </c>
      <c r="P143" s="13">
        <f>IFERROR(__xludf.DUMMYFUNCTION("""COMPUTED_VALUE"""),4746.344)</f>
        <v>4746.344</v>
      </c>
      <c r="Q143" s="13">
        <f>IFERROR(__xludf.DUMMYFUNCTION("""COMPUTED_VALUE"""),5630.45785)</f>
        <v>5630.45785</v>
      </c>
    </row>
    <row r="144">
      <c r="N144" s="13">
        <f>IFERROR(__xludf.DUMMYFUNCTION("""COMPUTED_VALUE"""),4185.0979)</f>
        <v>4185.0979</v>
      </c>
      <c r="O144" s="13">
        <f>IFERROR(__xludf.DUMMYFUNCTION("""COMPUTED_VALUE"""),6748.5912)</f>
        <v>6748.5912</v>
      </c>
      <c r="P144" s="13">
        <f>IFERROR(__xludf.DUMMYFUNCTION("""COMPUTED_VALUE"""),4883.866)</f>
        <v>4883.866</v>
      </c>
      <c r="Q144" s="13">
        <f>IFERROR(__xludf.DUMMYFUNCTION("""COMPUTED_VALUE"""),5116.5004)</f>
        <v>5116.5004</v>
      </c>
    </row>
    <row r="145">
      <c r="N145" s="13">
        <f>IFERROR(__xludf.DUMMYFUNCTION("""COMPUTED_VALUE"""),4779.6023)</f>
        <v>4779.6023</v>
      </c>
      <c r="O145" s="13">
        <f>IFERROR(__xludf.DUMMYFUNCTION("""COMPUTED_VALUE"""),5469.0066)</f>
        <v>5469.0066</v>
      </c>
      <c r="P145" s="13">
        <f>IFERROR(__xludf.DUMMYFUNCTION("""COMPUTED_VALUE"""),18608.262)</f>
        <v>18608.262</v>
      </c>
      <c r="Q145" s="13">
        <f>IFERROR(__xludf.DUMMYFUNCTION("""COMPUTED_VALUE"""),5266.3656)</f>
        <v>5266.3656</v>
      </c>
    </row>
    <row r="146">
      <c r="N146" s="13">
        <f>IFERROR(__xludf.DUMMYFUNCTION("""COMPUTED_VALUE"""),11326.71487)</f>
        <v>11326.71487</v>
      </c>
      <c r="O146" s="13">
        <f>IFERROR(__xludf.DUMMYFUNCTION("""COMPUTED_VALUE"""),20773.62775)</f>
        <v>20773.62775</v>
      </c>
      <c r="P146" s="13">
        <f>IFERROR(__xludf.DUMMYFUNCTION("""COMPUTED_VALUE"""),4402.233)</f>
        <v>4402.233</v>
      </c>
      <c r="Q146" s="13">
        <f>IFERROR(__xludf.DUMMYFUNCTION("""COMPUTED_VALUE"""),5377.4578)</f>
        <v>5377.4578</v>
      </c>
    </row>
    <row r="147">
      <c r="N147" s="13">
        <f>IFERROR(__xludf.DUMMYFUNCTION("""COMPUTED_VALUE"""),6653.7886)</f>
        <v>6653.7886</v>
      </c>
      <c r="O147" s="13">
        <f>IFERROR(__xludf.DUMMYFUNCTION("""COMPUTED_VALUE"""),5458.04645)</f>
        <v>5458.04645</v>
      </c>
      <c r="P147" s="13">
        <f>IFERROR(__xludf.DUMMYFUNCTION("""COMPUTED_VALUE"""),38415.474)</f>
        <v>38415.474</v>
      </c>
      <c r="Q147" s="13">
        <f>IFERROR(__xludf.DUMMYFUNCTION("""COMPUTED_VALUE"""),5272.1758)</f>
        <v>5272.1758</v>
      </c>
    </row>
    <row r="148">
      <c r="N148" s="13">
        <f>IFERROR(__xludf.DUMMYFUNCTION("""COMPUTED_VALUE"""),38282.7495)</f>
        <v>38282.7495</v>
      </c>
      <c r="O148" s="13">
        <f>IFERROR(__xludf.DUMMYFUNCTION("""COMPUTED_VALUE"""),7228.21565)</f>
        <v>7228.21565</v>
      </c>
      <c r="P148" s="13">
        <f>IFERROR(__xludf.DUMMYFUNCTION("""COMPUTED_VALUE"""),5472.449)</f>
        <v>5472.449</v>
      </c>
      <c r="Q148" s="13">
        <f>IFERROR(__xludf.DUMMYFUNCTION("""COMPUTED_VALUE"""),5267.81815)</f>
        <v>5267.81815</v>
      </c>
    </row>
    <row r="149">
      <c r="N149" s="13">
        <f>IFERROR(__xludf.DUMMYFUNCTION("""COMPUTED_VALUE"""),3704.3545)</f>
        <v>3704.3545</v>
      </c>
      <c r="O149" s="13">
        <f>IFERROR(__xludf.DUMMYFUNCTION("""COMPUTED_VALUE"""),6406.4107)</f>
        <v>6406.4107</v>
      </c>
      <c r="P149" s="13">
        <f>IFERROR(__xludf.DUMMYFUNCTION("""COMPUTED_VALUE"""),39836.519)</f>
        <v>39836.519</v>
      </c>
      <c r="Q149" s="13">
        <f>IFERROR(__xludf.DUMMYFUNCTION("""COMPUTED_VALUE"""),6548.19505)</f>
        <v>6548.19505</v>
      </c>
    </row>
    <row r="150">
      <c r="N150" s="13">
        <f>IFERROR(__xludf.DUMMYFUNCTION("""COMPUTED_VALUE"""),4795.6568)</f>
        <v>4795.6568</v>
      </c>
      <c r="O150" s="13">
        <f>IFERROR(__xludf.DUMMYFUNCTION("""COMPUTED_VALUE"""),37270.1512)</f>
        <v>37270.1512</v>
      </c>
      <c r="P150" s="13">
        <f>IFERROR(__xludf.DUMMYFUNCTION("""COMPUTED_VALUE"""),4646.759)</f>
        <v>4646.759</v>
      </c>
      <c r="Q150" s="13">
        <f>IFERROR(__xludf.DUMMYFUNCTION("""COMPUTED_VALUE"""),5373.36425)</f>
        <v>5373.36425</v>
      </c>
    </row>
    <row r="151">
      <c r="N151" s="13">
        <f>IFERROR(__xludf.DUMMYFUNCTION("""COMPUTED_VALUE"""),18972.495)</f>
        <v>18972.495</v>
      </c>
      <c r="O151" s="13">
        <f>IFERROR(__xludf.DUMMYFUNCTION("""COMPUTED_VALUE"""),39047.285)</f>
        <v>39047.285</v>
      </c>
      <c r="P151" s="13">
        <f>IFERROR(__xludf.DUMMYFUNCTION("""COMPUTED_VALUE"""),40182.246)</f>
        <v>40182.246</v>
      </c>
      <c r="Q151" s="13">
        <f>IFERROR(__xludf.DUMMYFUNCTION("""COMPUTED_VALUE"""),7281.5056)</f>
        <v>7281.5056</v>
      </c>
    </row>
    <row r="152">
      <c r="N152" s="13">
        <f>IFERROR(__xludf.DUMMYFUNCTION("""COMPUTED_VALUE"""),5002.7827)</f>
        <v>5002.7827</v>
      </c>
      <c r="O152" s="13">
        <f>IFERROR(__xludf.DUMMYFUNCTION("""COMPUTED_VALUE"""),6877.9801)</f>
        <v>6877.9801</v>
      </c>
      <c r="P152" s="13">
        <f>IFERROR(__xludf.DUMMYFUNCTION("""COMPUTED_VALUE"""),46113.511)</f>
        <v>46113.511</v>
      </c>
      <c r="Q152" s="13">
        <f>IFERROR(__xludf.DUMMYFUNCTION("""COMPUTED_VALUE"""),6203.90175)</f>
        <v>6203.90175</v>
      </c>
    </row>
    <row r="153">
      <c r="N153" s="13">
        <f>IFERROR(__xludf.DUMMYFUNCTION("""COMPUTED_VALUE"""),6184.2994)</f>
        <v>6184.2994</v>
      </c>
      <c r="O153" s="13">
        <f>IFERROR(__xludf.DUMMYFUNCTION("""COMPUTED_VALUE"""),20296.86345)</f>
        <v>20296.86345</v>
      </c>
      <c r="P153" s="13">
        <f>IFERROR(__xludf.DUMMYFUNCTION("""COMPUTED_VALUE"""),6311.952)</f>
        <v>6311.952</v>
      </c>
      <c r="Q153" s="13">
        <f>IFERROR(__xludf.DUMMYFUNCTION("""COMPUTED_VALUE"""),6686.4313)</f>
        <v>6686.4313</v>
      </c>
    </row>
    <row r="154">
      <c r="N154" s="13">
        <f>IFERROR(__xludf.DUMMYFUNCTION("""COMPUTED_VALUE"""),3935.1799)</f>
        <v>3935.1799</v>
      </c>
      <c r="O154" s="13">
        <f>IFERROR(__xludf.DUMMYFUNCTION("""COMPUTED_VALUE"""),6985.50695)</f>
        <v>6985.50695</v>
      </c>
      <c r="P154" s="13">
        <f>IFERROR(__xludf.DUMMYFUNCTION("""COMPUTED_VALUE"""),20420.60465)</f>
        <v>20420.60465</v>
      </c>
      <c r="Q154" s="13">
        <f>IFERROR(__xludf.DUMMYFUNCTION("""COMPUTED_VALUE"""),5028.1466)</f>
        <v>5028.1466</v>
      </c>
    </row>
    <row r="155">
      <c r="N155" s="13">
        <f>IFERROR(__xludf.DUMMYFUNCTION("""COMPUTED_VALUE"""),5124.1887)</f>
        <v>5124.1887</v>
      </c>
      <c r="O155" s="13">
        <f>IFERROR(__xludf.DUMMYFUNCTION("""COMPUTED_VALUE"""),6079.6715)</f>
        <v>6079.6715</v>
      </c>
      <c r="P155" s="13">
        <f>IFERROR(__xludf.DUMMYFUNCTION("""COMPUTED_VALUE"""),15820.699)</f>
        <v>15820.699</v>
      </c>
      <c r="Q155" s="13">
        <f>IFERROR(__xludf.DUMMYFUNCTION("""COMPUTED_VALUE"""),6796.86325)</f>
        <v>6796.86325</v>
      </c>
    </row>
    <row r="156">
      <c r="N156" s="13">
        <f>IFERROR(__xludf.DUMMYFUNCTION("""COMPUTED_VALUE"""),4415.1588)</f>
        <v>4415.1588</v>
      </c>
      <c r="O156" s="13">
        <f>IFERROR(__xludf.DUMMYFUNCTION("""COMPUTED_VALUE"""),6555.07035)</f>
        <v>6555.07035</v>
      </c>
      <c r="P156" s="13">
        <f>IFERROR(__xludf.DUMMYFUNCTION("""COMPUTED_VALUE"""),6082.405)</f>
        <v>6082.405</v>
      </c>
      <c r="Q156" s="13">
        <f>IFERROR(__xludf.DUMMYFUNCTION("""COMPUTED_VALUE"""),6112.35295)</f>
        <v>6112.35295</v>
      </c>
    </row>
    <row r="157">
      <c r="N157" s="13">
        <f>IFERROR(__xludf.DUMMYFUNCTION("""COMPUTED_VALUE"""),5846.9176)</f>
        <v>5846.9176</v>
      </c>
      <c r="O157" s="13">
        <f>IFERROR(__xludf.DUMMYFUNCTION("""COMPUTED_VALUE"""),6067.12675)</f>
        <v>6067.12675</v>
      </c>
      <c r="P157" s="13">
        <f>IFERROR(__xludf.DUMMYFUNCTION("""COMPUTED_VALUE"""),6571.544)</f>
        <v>6571.544</v>
      </c>
      <c r="Q157" s="13">
        <f>IFERROR(__xludf.DUMMYFUNCTION("""COMPUTED_VALUE"""),6198.7518)</f>
        <v>6198.7518</v>
      </c>
    </row>
    <row r="158">
      <c r="N158" s="13">
        <f>IFERROR(__xludf.DUMMYFUNCTION("""COMPUTED_VALUE"""),19361.9988)</f>
        <v>19361.9988</v>
      </c>
      <c r="O158" s="13">
        <f>IFERROR(__xludf.DUMMYFUNCTION("""COMPUTED_VALUE"""),7144.86265)</f>
        <v>7144.86265</v>
      </c>
      <c r="P158" s="13">
        <f>IFERROR(__xludf.DUMMYFUNCTION("""COMPUTED_VALUE"""),7151.092)</f>
        <v>7151.092</v>
      </c>
      <c r="Q158" s="13">
        <f>IFERROR(__xludf.DUMMYFUNCTION("""COMPUTED_VALUE"""),6455.86265)</f>
        <v>6455.86265</v>
      </c>
    </row>
    <row r="159">
      <c r="N159" s="13">
        <f>IFERROR(__xludf.DUMMYFUNCTION("""COMPUTED_VALUE"""),5934.3798)</f>
        <v>5934.3798</v>
      </c>
      <c r="O159" s="13">
        <f>IFERROR(__xludf.DUMMYFUNCTION("""COMPUTED_VALUE"""),6640.54485)</f>
        <v>6640.54485</v>
      </c>
      <c r="P159" s="13">
        <f>IFERROR(__xludf.DUMMYFUNCTION("""COMPUTED_VALUE"""),5488.262)</f>
        <v>5488.262</v>
      </c>
      <c r="Q159" s="13">
        <f>IFERROR(__xludf.DUMMYFUNCTION("""COMPUTED_VALUE"""),6373.55735)</f>
        <v>6373.55735</v>
      </c>
    </row>
    <row r="160">
      <c r="N160" s="13">
        <f>IFERROR(__xludf.DUMMYFUNCTION("""COMPUTED_VALUE"""),5245.2269)</f>
        <v>5245.2269</v>
      </c>
      <c r="O160" s="13">
        <f>IFERROR(__xludf.DUMMYFUNCTION("""COMPUTED_VALUE"""),7133.9025)</f>
        <v>7133.9025</v>
      </c>
      <c r="P160" s="13">
        <f>IFERROR(__xludf.DUMMYFUNCTION("""COMPUTED_VALUE"""),5383.536)</f>
        <v>5383.536</v>
      </c>
      <c r="Q160" s="13">
        <f>IFERROR(__xludf.DUMMYFUNCTION("""COMPUTED_VALUE"""),6933.24225)</f>
        <v>6933.24225</v>
      </c>
    </row>
    <row r="161">
      <c r="N161" s="13">
        <f>IFERROR(__xludf.DUMMYFUNCTION("""COMPUTED_VALUE"""),5836.5204)</f>
        <v>5836.5204</v>
      </c>
      <c r="O161" s="13">
        <f>IFERROR(__xludf.DUMMYFUNCTION("""COMPUTED_VALUE"""),21659.9301)</f>
        <v>21659.9301</v>
      </c>
      <c r="P161" s="13">
        <f>IFERROR(__xludf.DUMMYFUNCTION("""COMPUTED_VALUE"""),5649.715)</f>
        <v>5649.715</v>
      </c>
      <c r="Q161" s="13">
        <f>IFERROR(__xludf.DUMMYFUNCTION("""COMPUTED_VALUE"""),5855.9025)</f>
        <v>5855.9025</v>
      </c>
    </row>
    <row r="162">
      <c r="N162" s="13">
        <f>IFERROR(__xludf.DUMMYFUNCTION("""COMPUTED_VALUE"""),4747.0529)</f>
        <v>4747.0529</v>
      </c>
      <c r="O162" s="13">
        <f>IFERROR(__xludf.DUMMYFUNCTION("""COMPUTED_VALUE"""),20149.3229)</f>
        <v>20149.3229</v>
      </c>
      <c r="P162" s="13">
        <f>IFERROR(__xludf.DUMMYFUNCTION("""COMPUTED_VALUE"""),7512.267)</f>
        <v>7512.267</v>
      </c>
      <c r="Q162" s="13">
        <f>IFERROR(__xludf.DUMMYFUNCTION("""COMPUTED_VALUE"""),6457.8434)</f>
        <v>6457.8434</v>
      </c>
    </row>
    <row r="163">
      <c r="N163" s="13">
        <f>IFERROR(__xludf.DUMMYFUNCTION("""COMPUTED_VALUE"""),38709.176)</f>
        <v>38709.176</v>
      </c>
      <c r="O163" s="13">
        <f>IFERROR(__xludf.DUMMYFUNCTION("""COMPUTED_VALUE"""),7985.815)</f>
        <v>7985.815</v>
      </c>
      <c r="P163" s="13">
        <f>IFERROR(__xludf.DUMMYFUNCTION("""COMPUTED_VALUE"""),21082.16)</f>
        <v>21082.16</v>
      </c>
      <c r="Q163" s="13">
        <f>IFERROR(__xludf.DUMMYFUNCTION("""COMPUTED_VALUE"""),7537.1639)</f>
        <v>7537.1639</v>
      </c>
    </row>
    <row r="164">
      <c r="N164" s="13">
        <f>IFERROR(__xludf.DUMMYFUNCTION("""COMPUTED_VALUE"""),37742.5757)</f>
        <v>37742.5757</v>
      </c>
      <c r="O164" s="13">
        <f>IFERROR(__xludf.DUMMYFUNCTION("""COMPUTED_VALUE"""),7986.47525)</f>
        <v>7986.47525</v>
      </c>
      <c r="P164" s="13">
        <f>IFERROR(__xludf.DUMMYFUNCTION("""COMPUTED_VALUE"""),40103.89)</f>
        <v>40103.89</v>
      </c>
      <c r="Q164" s="13">
        <f>IFERROR(__xludf.DUMMYFUNCTION("""COMPUTED_VALUE"""),6710.1919)</f>
        <v>6710.1919</v>
      </c>
    </row>
    <row r="165">
      <c r="N165" s="13">
        <f>IFERROR(__xludf.DUMMYFUNCTION("""COMPUTED_VALUE"""),5478.0368)</f>
        <v>5478.0368</v>
      </c>
      <c r="O165" s="13">
        <f>IFERROR(__xludf.DUMMYFUNCTION("""COMPUTED_VALUE"""),5757.41345)</f>
        <v>5757.41345</v>
      </c>
      <c r="P165" s="13">
        <f>IFERROR(__xludf.DUMMYFUNCTION("""COMPUTED_VALUE"""),6238.298)</f>
        <v>6238.298</v>
      </c>
      <c r="Q165" s="13">
        <f>IFERROR(__xludf.DUMMYFUNCTION("""COMPUTED_VALUE"""),6123.5688)</f>
        <v>6123.5688</v>
      </c>
    </row>
    <row r="166">
      <c r="N166" s="13">
        <f>IFERROR(__xludf.DUMMYFUNCTION("""COMPUTED_VALUE"""),4399.731)</f>
        <v>4399.731</v>
      </c>
      <c r="O166" s="13">
        <f>IFERROR(__xludf.DUMMYFUNCTION("""COMPUTED_VALUE"""),22462.04375)</f>
        <v>22462.04375</v>
      </c>
      <c r="P166" s="13">
        <f>IFERROR(__xludf.DUMMYFUNCTION("""COMPUTED_VALUE"""),7418.522)</f>
        <v>7418.522</v>
      </c>
      <c r="Q166" s="13">
        <f>IFERROR(__xludf.DUMMYFUNCTION("""COMPUTED_VALUE"""),7209.4918)</f>
        <v>7209.4918</v>
      </c>
    </row>
    <row r="167">
      <c r="N167" s="13">
        <f>IFERROR(__xludf.DUMMYFUNCTION("""COMPUTED_VALUE"""),5584.3057)</f>
        <v>5584.3057</v>
      </c>
      <c r="O167" s="13">
        <f>IFERROR(__xludf.DUMMYFUNCTION("""COMPUTED_VALUE"""),7077.1894)</f>
        <v>7077.1894</v>
      </c>
      <c r="P167" s="13">
        <f>IFERROR(__xludf.DUMMYFUNCTION("""COMPUTED_VALUE"""),19023.26)</f>
        <v>19023.26</v>
      </c>
      <c r="Q167" s="13">
        <f>IFERROR(__xludf.DUMMYFUNCTION("""COMPUTED_VALUE"""),6117.4945)</f>
        <v>6117.4945</v>
      </c>
    </row>
    <row r="168">
      <c r="N168" s="13">
        <f>IFERROR(__xludf.DUMMYFUNCTION("""COMPUTED_VALUE"""),7243.8136)</f>
        <v>7243.8136</v>
      </c>
      <c r="O168" s="13">
        <f>IFERROR(__xludf.DUMMYFUNCTION("""COMPUTED_VALUE"""),6610.1097)</f>
        <v>6610.1097</v>
      </c>
      <c r="P168" s="13">
        <f>IFERROR(__xludf.DUMMYFUNCTION("""COMPUTED_VALUE"""),7196.867)</f>
        <v>7196.867</v>
      </c>
      <c r="Q168" s="13">
        <f>IFERROR(__xludf.DUMMYFUNCTION("""COMPUTED_VALUE"""),8965.79575)</f>
        <v>8965.79575</v>
      </c>
    </row>
    <row r="169">
      <c r="N169" s="13">
        <f>IFERROR(__xludf.DUMMYFUNCTION("""COMPUTED_VALUE"""),4889.0368)</f>
        <v>4889.0368</v>
      </c>
      <c r="O169" s="13">
        <f>IFERROR(__xludf.DUMMYFUNCTION("""COMPUTED_VALUE"""),22331.5668)</f>
        <v>22331.5668</v>
      </c>
      <c r="P169" s="13">
        <f>IFERROR(__xludf.DUMMYFUNCTION("""COMPUTED_VALUE"""),5910.944)</f>
        <v>5910.944</v>
      </c>
      <c r="Q169" s="13">
        <f>IFERROR(__xludf.DUMMYFUNCTION("""COMPUTED_VALUE"""),7201.70085)</f>
        <v>7201.70085</v>
      </c>
    </row>
    <row r="170">
      <c r="N170" s="13">
        <f>IFERROR(__xludf.DUMMYFUNCTION("""COMPUTED_VALUE"""),6313.759)</f>
        <v>6313.759</v>
      </c>
      <c r="O170" s="13">
        <f>IFERROR(__xludf.DUMMYFUNCTION("""COMPUTED_VALUE"""),6600.20595)</f>
        <v>6600.20595</v>
      </c>
      <c r="P170" s="13">
        <f>IFERROR(__xludf.DUMMYFUNCTION("""COMPUTED_VALUE"""),6600.361)</f>
        <v>6600.361</v>
      </c>
      <c r="Q170" s="13">
        <f>IFERROR(__xludf.DUMMYFUNCTION("""COMPUTED_VALUE"""),8059.6791)</f>
        <v>8059.6791</v>
      </c>
    </row>
    <row r="171">
      <c r="N171" s="13">
        <f>IFERROR(__xludf.DUMMYFUNCTION("""COMPUTED_VALUE"""),19214.70553)</f>
        <v>19214.70553</v>
      </c>
      <c r="O171" s="13">
        <f>IFERROR(__xludf.DUMMYFUNCTION("""COMPUTED_VALUE"""),39125.33225)</f>
        <v>39125.33225</v>
      </c>
      <c r="P171" s="13">
        <f>IFERROR(__xludf.DUMMYFUNCTION("""COMPUTED_VALUE"""),6496.886)</f>
        <v>6496.886</v>
      </c>
      <c r="Q171" s="13">
        <f>IFERROR(__xludf.DUMMYFUNCTION("""COMPUTED_VALUE"""),6389.37785)</f>
        <v>6389.37785</v>
      </c>
    </row>
    <row r="172">
      <c r="N172" s="13">
        <f>IFERROR(__xludf.DUMMYFUNCTION("""COMPUTED_VALUE"""),6435.6237)</f>
        <v>6435.6237</v>
      </c>
      <c r="O172" s="13">
        <f>IFERROR(__xludf.DUMMYFUNCTION("""COMPUTED_VALUE"""),7173.35995)</f>
        <v>7173.35995</v>
      </c>
      <c r="P172" s="13">
        <f>IFERROR(__xludf.DUMMYFUNCTION("""COMPUTED_VALUE"""),15828.82173)</f>
        <v>15828.82173</v>
      </c>
      <c r="Q172" s="13">
        <f>IFERROR(__xludf.DUMMYFUNCTION("""COMPUTED_VALUE"""),8162.71625)</f>
        <v>8162.71625</v>
      </c>
    </row>
    <row r="173">
      <c r="N173" s="13">
        <f>IFERROR(__xludf.DUMMYFUNCTION("""COMPUTED_VALUE"""),40419.0191)</f>
        <v>40419.0191</v>
      </c>
      <c r="O173" s="13">
        <f>IFERROR(__xludf.DUMMYFUNCTION("""COMPUTED_VALUE"""),8252.2843)</f>
        <v>8252.2843</v>
      </c>
      <c r="P173" s="13">
        <f>IFERROR(__xludf.DUMMYFUNCTION("""COMPUTED_VALUE"""),6186.127)</f>
        <v>6186.127</v>
      </c>
      <c r="Q173" s="13">
        <f>IFERROR(__xludf.DUMMYFUNCTION("""COMPUTED_VALUE"""),40003.33225)</f>
        <v>40003.33225</v>
      </c>
    </row>
    <row r="174">
      <c r="N174" s="13">
        <f>IFERROR(__xludf.DUMMYFUNCTION("""COMPUTED_VALUE"""),19539.243)</f>
        <v>19539.243</v>
      </c>
      <c r="O174" s="13">
        <f>IFERROR(__xludf.DUMMYFUNCTION("""COMPUTED_VALUE"""),8538.28845)</f>
        <v>8538.28845</v>
      </c>
      <c r="P174" s="13">
        <f>IFERROR(__xludf.DUMMYFUNCTION("""COMPUTED_VALUE"""),6775.961)</f>
        <v>6775.961</v>
      </c>
      <c r="Q174" s="13">
        <f>IFERROR(__xludf.DUMMYFUNCTION("""COMPUTED_VALUE"""),6986.697)</f>
        <v>6986.697</v>
      </c>
    </row>
    <row r="175">
      <c r="N175" s="13">
        <f>IFERROR(__xludf.DUMMYFUNCTION("""COMPUTED_VALUE"""),39871.7043)</f>
        <v>39871.7043</v>
      </c>
      <c r="O175" s="13">
        <f>IFERROR(__xludf.DUMMYFUNCTION("""COMPUTED_VALUE"""),7358.17565)</f>
        <v>7358.17565</v>
      </c>
      <c r="P175" s="13">
        <f>IFERROR(__xludf.DUMMYFUNCTION("""COMPUTED_VALUE"""),7371.772)</f>
        <v>7371.772</v>
      </c>
      <c r="Q175" s="13">
        <f>IFERROR(__xludf.DUMMYFUNCTION("""COMPUTED_VALUE"""),28476.73499)</f>
        <v>28476.73499</v>
      </c>
    </row>
    <row r="176">
      <c r="N176" s="13">
        <f>IFERROR(__xludf.DUMMYFUNCTION("""COMPUTED_VALUE"""),5400.9805)</f>
        <v>5400.9805</v>
      </c>
      <c r="O176" s="13">
        <f>IFERROR(__xludf.DUMMYFUNCTION("""COMPUTED_VALUE"""),39597.4072)</f>
        <v>39597.4072</v>
      </c>
      <c r="P176" s="13">
        <f>IFERROR(__xludf.DUMMYFUNCTION("""COMPUTED_VALUE"""),6282.235)</f>
        <v>6282.235</v>
      </c>
      <c r="Q176" s="13">
        <f>IFERROR(__xludf.DUMMYFUNCTION("""COMPUTED_VALUE"""),6393.60345)</f>
        <v>6393.60345</v>
      </c>
    </row>
    <row r="177">
      <c r="N177" s="13">
        <f>IFERROR(__xludf.DUMMYFUNCTION("""COMPUTED_VALUE"""),6652.5288)</f>
        <v>6652.5288</v>
      </c>
      <c r="O177" s="13">
        <f>IFERROR(__xludf.DUMMYFUNCTION("""COMPUTED_VALUE"""),9222.4026)</f>
        <v>9222.4026</v>
      </c>
      <c r="P177" s="13">
        <f>IFERROR(__xludf.DUMMYFUNCTION("""COMPUTED_VALUE"""),7954.517)</f>
        <v>7954.517</v>
      </c>
      <c r="Q177" s="13">
        <f>IFERROR(__xludf.DUMMYFUNCTION("""COMPUTED_VALUE"""),6571.02435)</f>
        <v>6571.02435</v>
      </c>
    </row>
    <row r="178">
      <c r="N178" s="13">
        <f>IFERROR(__xludf.DUMMYFUNCTION("""COMPUTED_VALUE"""),5974.3847)</f>
        <v>5974.3847</v>
      </c>
      <c r="O178" s="13">
        <f>IFERROR(__xludf.DUMMYFUNCTION("""COMPUTED_VALUE"""),13725.47184)</f>
        <v>13725.47184</v>
      </c>
      <c r="P178" s="13">
        <f>IFERROR(__xludf.DUMMYFUNCTION("""COMPUTED_VALUE"""),6875.961)</f>
        <v>6875.961</v>
      </c>
      <c r="Q178" s="13">
        <f>IFERROR(__xludf.DUMMYFUNCTION("""COMPUTED_VALUE"""),7265.7025)</f>
        <v>7265.7025</v>
      </c>
    </row>
    <row r="179">
      <c r="N179" s="13">
        <f>IFERROR(__xludf.DUMMYFUNCTION("""COMPUTED_VALUE"""),5397.6167)</f>
        <v>5397.6167</v>
      </c>
      <c r="O179" s="13">
        <f>IFERROR(__xludf.DUMMYFUNCTION("""COMPUTED_VALUE"""),6858.4796)</f>
        <v>6858.4796</v>
      </c>
      <c r="P179" s="13">
        <f>IFERROR(__xludf.DUMMYFUNCTION("""COMPUTED_VALUE"""),5969.723)</f>
        <v>5969.723</v>
      </c>
      <c r="Q179" s="13">
        <f>IFERROR(__xludf.DUMMYFUNCTION("""COMPUTED_VALUE"""),7749.1564)</f>
        <v>7749.1564</v>
      </c>
    </row>
    <row r="180">
      <c r="N180" s="13">
        <f>IFERROR(__xludf.DUMMYFUNCTION("""COMPUTED_VALUE"""),5976.8311)</f>
        <v>5976.8311</v>
      </c>
      <c r="O180" s="13">
        <f>IFERROR(__xludf.DUMMYFUNCTION("""COMPUTED_VALUE"""),19964.7463)</f>
        <v>19964.7463</v>
      </c>
      <c r="P180" s="13">
        <f>IFERROR(__xludf.DUMMYFUNCTION("""COMPUTED_VALUE"""),22144.032)</f>
        <v>22144.032</v>
      </c>
      <c r="Q180" s="13">
        <f>IFERROR(__xludf.DUMMYFUNCTION("""COMPUTED_VALUE"""),7256.7231)</f>
        <v>7256.7231</v>
      </c>
    </row>
    <row r="181">
      <c r="N181" s="13">
        <f>IFERROR(__xludf.DUMMYFUNCTION("""COMPUTED_VALUE"""),5484.4673)</f>
        <v>5484.4673</v>
      </c>
      <c r="O181" s="13">
        <f>IFERROR(__xludf.DUMMYFUNCTION("""COMPUTED_VALUE"""),7639.41745)</f>
        <v>7639.41745</v>
      </c>
      <c r="P181" s="13">
        <f>IFERROR(__xludf.DUMMYFUNCTION("""COMPUTED_VALUE"""),7050.642)</f>
        <v>7050.642</v>
      </c>
      <c r="Q181" s="13">
        <f>IFERROR(__xludf.DUMMYFUNCTION("""COMPUTED_VALUE"""),6664.68595)</f>
        <v>6664.68595</v>
      </c>
    </row>
    <row r="182">
      <c r="N182" s="13">
        <f>IFERROR(__xludf.DUMMYFUNCTION("""COMPUTED_VALUE"""),41949.2441)</f>
        <v>41949.2441</v>
      </c>
      <c r="O182" s="13">
        <f>IFERROR(__xludf.DUMMYFUNCTION("""COMPUTED_VALUE"""),7729.64575)</f>
        <v>7729.64575</v>
      </c>
      <c r="P182" s="13">
        <f>IFERROR(__xludf.DUMMYFUNCTION("""COMPUTED_VALUE"""),7160.094)</f>
        <v>7160.094</v>
      </c>
      <c r="Q182" s="13">
        <f>IFERROR(__xludf.DUMMYFUNCTION("""COMPUTED_VALUE"""),7261.741)</f>
        <v>7261.741</v>
      </c>
    </row>
    <row r="183">
      <c r="N183" s="13">
        <f>IFERROR(__xludf.DUMMYFUNCTION("""COMPUTED_VALUE"""),6356.2707)</f>
        <v>6356.2707</v>
      </c>
      <c r="O183" s="13">
        <f>IFERROR(__xludf.DUMMYFUNCTION("""COMPUTED_VALUE"""),7650.77375)</f>
        <v>7650.77375</v>
      </c>
      <c r="P183" s="13">
        <f>IFERROR(__xludf.DUMMYFUNCTION("""COMPUTED_VALUE"""),7045.499)</f>
        <v>7045.499</v>
      </c>
      <c r="Q183" s="13">
        <f>IFERROR(__xludf.DUMMYFUNCTION("""COMPUTED_VALUE"""),7153.5539)</f>
        <v>7153.5539</v>
      </c>
    </row>
    <row r="184">
      <c r="N184" s="13">
        <f>IFERROR(__xludf.DUMMYFUNCTION("""COMPUTED_VALUE"""),5662.225)</f>
        <v>5662.225</v>
      </c>
      <c r="O184" s="13">
        <f>IFERROR(__xludf.DUMMYFUNCTION("""COMPUTED_VALUE"""),21259.37795)</f>
        <v>21259.37795</v>
      </c>
      <c r="P184" s="13">
        <f>IFERROR(__xludf.DUMMYFUNCTION("""COMPUTED_VALUE"""),5979.731)</f>
        <v>5979.731</v>
      </c>
      <c r="Q184" s="13">
        <f>IFERROR(__xludf.DUMMYFUNCTION("""COMPUTED_VALUE"""),21348.706)</f>
        <v>21348.706</v>
      </c>
    </row>
    <row r="185">
      <c r="N185" s="13">
        <f>IFERROR(__xludf.DUMMYFUNCTION("""COMPUTED_VALUE"""),8596.8278)</f>
        <v>8596.8278</v>
      </c>
      <c r="O185" s="13">
        <f>IFERROR(__xludf.DUMMYFUNCTION("""COMPUTED_VALUE"""),7050.0213)</f>
        <v>7050.0213</v>
      </c>
      <c r="P185" s="13">
        <f>IFERROR(__xludf.DUMMYFUNCTION("""COMPUTED_VALUE"""),6474.013)</f>
        <v>6474.013</v>
      </c>
      <c r="Q185" s="13">
        <f>IFERROR(__xludf.DUMMYFUNCTION("""COMPUTED_VALUE"""),7443.64305)</f>
        <v>7443.64305</v>
      </c>
    </row>
    <row r="186">
      <c r="N186" s="13">
        <f>IFERROR(__xludf.DUMMYFUNCTION("""COMPUTED_VALUE"""),8582.3023)</f>
        <v>8582.3023</v>
      </c>
      <c r="O186" s="13">
        <f>IFERROR(__xludf.DUMMYFUNCTION("""COMPUTED_VALUE"""),8606.2174)</f>
        <v>8606.2174</v>
      </c>
      <c r="P186" s="13">
        <f>IFERROR(__xludf.DUMMYFUNCTION("""COMPUTED_VALUE"""),8522.003)</f>
        <v>8522.003</v>
      </c>
      <c r="Q186" s="13">
        <f>IFERROR(__xludf.DUMMYFUNCTION("""COMPUTED_VALUE"""),8017.06115)</f>
        <v>8017.06115</v>
      </c>
    </row>
    <row r="187">
      <c r="N187" s="13">
        <f>IFERROR(__xludf.DUMMYFUNCTION("""COMPUTED_VALUE"""),6338.0756)</f>
        <v>6338.0756</v>
      </c>
      <c r="O187" s="13">
        <f>IFERROR(__xludf.DUMMYFUNCTION("""COMPUTED_VALUE"""),19144.57652)</f>
        <v>19144.57652</v>
      </c>
      <c r="P187" s="13">
        <f>IFERROR(__xludf.DUMMYFUNCTION("""COMPUTED_VALUE"""),7441.501)</f>
        <v>7441.501</v>
      </c>
      <c r="Q187" s="13">
        <f>IFERROR(__xludf.DUMMYFUNCTION("""COMPUTED_VALUE"""),32787.45859)</f>
        <v>32787.45859</v>
      </c>
    </row>
    <row r="188">
      <c r="N188" s="13">
        <f>IFERROR(__xludf.DUMMYFUNCTION("""COMPUTED_VALUE"""),23563.01618)</f>
        <v>23563.01618</v>
      </c>
      <c r="O188" s="13">
        <f>IFERROR(__xludf.DUMMYFUNCTION("""COMPUTED_VALUE"""),6837.3687)</f>
        <v>6837.3687</v>
      </c>
      <c r="P188" s="13">
        <f>IFERROR(__xludf.DUMMYFUNCTION("""COMPUTED_VALUE"""),6849.026)</f>
        <v>6849.026</v>
      </c>
      <c r="Q188" s="13">
        <f>IFERROR(__xludf.DUMMYFUNCTION("""COMPUTED_VALUE"""),6358.77645)</f>
        <v>6358.77645</v>
      </c>
    </row>
    <row r="189">
      <c r="N189" s="13">
        <f>IFERROR(__xludf.DUMMYFUNCTION("""COMPUTED_VALUE"""),5920.1041)</f>
        <v>5920.1041</v>
      </c>
      <c r="O189" s="13">
        <f>IFERROR(__xludf.DUMMYFUNCTION("""COMPUTED_VALUE"""),19798.05455)</f>
        <v>19798.05455</v>
      </c>
      <c r="P189" s="13">
        <f>IFERROR(__xludf.DUMMYFUNCTION("""COMPUTED_VALUE"""),6250.435)</f>
        <v>6250.435</v>
      </c>
      <c r="Q189" s="13">
        <f>IFERROR(__xludf.DUMMYFUNCTION("""COMPUTED_VALUE"""),6940.90985)</f>
        <v>6940.90985</v>
      </c>
    </row>
    <row r="190">
      <c r="N190" s="13">
        <f>IFERROR(__xludf.DUMMYFUNCTION("""COMPUTED_VALUE"""),19444.2658)</f>
        <v>19444.2658</v>
      </c>
      <c r="O190" s="13">
        <f>IFERROR(__xludf.DUMMYFUNCTION("""COMPUTED_VALUE"""),41034.2214)</f>
        <v>41034.2214</v>
      </c>
      <c r="P190" s="13">
        <f>IFERROR(__xludf.DUMMYFUNCTION("""COMPUTED_VALUE"""),22478.6)</f>
        <v>22478.6</v>
      </c>
      <c r="Q190" s="13">
        <f>IFERROR(__xludf.DUMMYFUNCTION("""COMPUTED_VALUE"""),8310.83915)</f>
        <v>8310.83915</v>
      </c>
    </row>
    <row r="191">
      <c r="N191" s="13">
        <f>IFERROR(__xludf.DUMMYFUNCTION("""COMPUTED_VALUE"""),17179.522)</f>
        <v>17179.522</v>
      </c>
      <c r="O191" s="13">
        <f>IFERROR(__xludf.DUMMYFUNCTION("""COMPUTED_VALUE"""),7325.0482)</f>
        <v>7325.0482</v>
      </c>
      <c r="P191" s="13">
        <f>IFERROR(__xludf.DUMMYFUNCTION("""COMPUTED_VALUE"""),7337.748)</f>
        <v>7337.748</v>
      </c>
      <c r="Q191" s="13">
        <f>IFERROR(__xludf.DUMMYFUNCTION("""COMPUTED_VALUE"""),21774.32215)</f>
        <v>21774.32215</v>
      </c>
    </row>
    <row r="192">
      <c r="N192" s="13">
        <f>IFERROR(__xludf.DUMMYFUNCTION("""COMPUTED_VALUE"""),7682.67)</f>
        <v>7682.67</v>
      </c>
      <c r="O192" s="13">
        <f>IFERROR(__xludf.DUMMYFUNCTION("""COMPUTED_VALUE"""),21771.3423)</f>
        <v>21771.3423</v>
      </c>
      <c r="P192" s="13">
        <f>IFERROR(__xludf.DUMMYFUNCTION("""COMPUTED_VALUE"""),37829.7242)</f>
        <v>37829.7242</v>
      </c>
      <c r="Q192" s="13">
        <f>IFERROR(__xludf.DUMMYFUNCTION("""COMPUTED_VALUE"""),8410.04685)</f>
        <v>8410.04685</v>
      </c>
    </row>
    <row r="193">
      <c r="N193" s="13">
        <f>IFERROR(__xludf.DUMMYFUNCTION("""COMPUTED_VALUE"""),6500.2359)</f>
        <v>6500.2359</v>
      </c>
      <c r="O193" s="13">
        <f>IFERROR(__xludf.DUMMYFUNCTION("""COMPUTED_VALUE"""),39556.4945)</f>
        <v>39556.4945</v>
      </c>
      <c r="P193" s="13">
        <f>IFERROR(__xludf.DUMMYFUNCTION("""COMPUTED_VALUE"""),7726.854)</f>
        <v>7726.854</v>
      </c>
      <c r="Q193" s="13">
        <f>IFERROR(__xludf.DUMMYFUNCTION("""COMPUTED_VALUE"""),21880.82)</f>
        <v>21880.82</v>
      </c>
    </row>
    <row r="194">
      <c r="N194" s="13">
        <f>IFERROR(__xludf.DUMMYFUNCTION("""COMPUTED_VALUE"""),5438.7491)</f>
        <v>5438.7491</v>
      </c>
      <c r="O194" s="13">
        <f>IFERROR(__xludf.DUMMYFUNCTION("""COMPUTED_VALUE"""),8302.53565)</f>
        <v>8302.53565</v>
      </c>
      <c r="P194" s="13">
        <f>IFERROR(__xludf.DUMMYFUNCTION("""COMPUTED_VALUE"""),7740.337)</f>
        <v>7740.337</v>
      </c>
      <c r="Q194" s="13">
        <f>IFERROR(__xludf.DUMMYFUNCTION("""COMPUTED_VALUE"""),7727.2532)</f>
        <v>7727.2532</v>
      </c>
    </row>
    <row r="195">
      <c r="N195" s="13">
        <f>IFERROR(__xludf.DUMMYFUNCTION("""COMPUTED_VALUE"""),5415.6612)</f>
        <v>5415.6612</v>
      </c>
      <c r="O195" s="13">
        <f>IFERROR(__xludf.DUMMYFUNCTION("""COMPUTED_VALUE"""),19594.80965)</f>
        <v>19594.80965</v>
      </c>
      <c r="P195" s="13">
        <f>IFERROR(__xludf.DUMMYFUNCTION("""COMPUTED_VALUE"""),7626.993)</f>
        <v>7626.993</v>
      </c>
      <c r="Q195" s="13">
        <f>IFERROR(__xludf.DUMMYFUNCTION("""COMPUTED_VALUE"""),6948.7008)</f>
        <v>6948.7008</v>
      </c>
    </row>
    <row r="196">
      <c r="N196" s="13">
        <f>IFERROR(__xludf.DUMMYFUNCTION("""COMPUTED_VALUE"""),6593.5083)</f>
        <v>6593.5083</v>
      </c>
      <c r="O196" s="13">
        <f>IFERROR(__xludf.DUMMYFUNCTION("""COMPUTED_VALUE"""),12797.20962)</f>
        <v>12797.20962</v>
      </c>
      <c r="P196" s="13">
        <f>IFERROR(__xludf.DUMMYFUNCTION("""COMPUTED_VALUE"""),38998.546)</f>
        <v>38998.546</v>
      </c>
      <c r="Q196" s="13">
        <f>IFERROR(__xludf.DUMMYFUNCTION("""COMPUTED_VALUE"""),7419.4779)</f>
        <v>7419.4779</v>
      </c>
    </row>
    <row r="197">
      <c r="N197" s="13">
        <f>IFERROR(__xludf.DUMMYFUNCTION("""COMPUTED_VALUE"""),6272.4772)</f>
        <v>6272.4772</v>
      </c>
      <c r="O197" s="13">
        <f>IFERROR(__xludf.DUMMYFUNCTION("""COMPUTED_VALUE"""),8891.1395)</f>
        <v>8891.1395</v>
      </c>
      <c r="P197" s="13">
        <f>IFERROR(__xludf.DUMMYFUNCTION("""COMPUTED_VALUE"""),7624.63)</f>
        <v>7624.63</v>
      </c>
      <c r="Q197" s="13">
        <f>IFERROR(__xludf.DUMMYFUNCTION("""COMPUTED_VALUE"""),7421.19455)</f>
        <v>7421.19455</v>
      </c>
    </row>
    <row r="198">
      <c r="N198" s="13">
        <f>IFERROR(__xludf.DUMMYFUNCTION("""COMPUTED_VALUE"""),5709.1644)</f>
        <v>5709.1644</v>
      </c>
      <c r="O198" s="13">
        <f>IFERROR(__xludf.DUMMYFUNCTION("""COMPUTED_VALUE"""),32108.66282)</f>
        <v>32108.66282</v>
      </c>
      <c r="P198" s="13">
        <f>IFERROR(__xludf.DUMMYFUNCTION("""COMPUTED_VALUE"""),7623.518)</f>
        <v>7623.518</v>
      </c>
      <c r="Q198" s="13">
        <f>IFERROR(__xludf.DUMMYFUNCTION("""COMPUTED_VALUE"""),8116.26885)</f>
        <v>8116.26885</v>
      </c>
    </row>
    <row r="199">
      <c r="N199" s="13">
        <f>IFERROR(__xludf.DUMMYFUNCTION("""COMPUTED_VALUE"""),6185.3208)</f>
        <v>6185.3208</v>
      </c>
      <c r="O199" s="13">
        <f>IFERROR(__xludf.DUMMYFUNCTION("""COMPUTED_VALUE"""),7935.29115)</f>
        <v>7935.29115</v>
      </c>
      <c r="P199" s="13">
        <f>IFERROR(__xludf.DUMMYFUNCTION("""COMPUTED_VALUE"""),8520.026)</f>
        <v>8520.026</v>
      </c>
      <c r="Q199" s="13">
        <f>IFERROR(__xludf.DUMMYFUNCTION("""COMPUTED_VALUE"""),42983.4585)</f>
        <v>42983.4585</v>
      </c>
    </row>
    <row r="200">
      <c r="N200" s="13">
        <f>IFERROR(__xludf.DUMMYFUNCTION("""COMPUTED_VALUE"""),40273.6455)</f>
        <v>40273.6455</v>
      </c>
      <c r="O200" s="13">
        <f>IFERROR(__xludf.DUMMYFUNCTION("""COMPUTED_VALUE"""),8604.48365)</f>
        <v>8604.48365</v>
      </c>
      <c r="P200" s="13">
        <f>IFERROR(__xludf.DUMMYFUNCTION("""COMPUTED_VALUE"""),7441.053)</f>
        <v>7441.053</v>
      </c>
      <c r="Q200" s="13">
        <f>IFERROR(__xludf.DUMMYFUNCTION("""COMPUTED_VALUE"""),7518.02535)</f>
        <v>7518.02535</v>
      </c>
    </row>
    <row r="201">
      <c r="N201" s="13">
        <f>IFERROR(__xludf.DUMMYFUNCTION("""COMPUTED_VALUE"""),6781.3542)</f>
        <v>6781.3542</v>
      </c>
      <c r="O201" s="13">
        <f>IFERROR(__xludf.DUMMYFUNCTION("""COMPUTED_VALUE"""),9095.06825)</f>
        <v>9095.06825</v>
      </c>
      <c r="P201" s="13">
        <f>IFERROR(__xludf.DUMMYFUNCTION("""COMPUTED_VALUE"""),7345.084)</f>
        <v>7345.084</v>
      </c>
      <c r="Q201" s="13">
        <f>IFERROR(__xludf.DUMMYFUNCTION("""COMPUTED_VALUE"""),8023.13545)</f>
        <v>8023.13545</v>
      </c>
    </row>
    <row r="202">
      <c r="N202" s="13">
        <f>IFERROR(__xludf.DUMMYFUNCTION("""COMPUTED_VALUE"""),6289.7549)</f>
        <v>6289.7549</v>
      </c>
      <c r="O202" s="13">
        <f>IFERROR(__xludf.DUMMYFUNCTION("""COMPUTED_VALUE"""),7448.40395)</f>
        <v>7448.40395</v>
      </c>
      <c r="P202" s="13">
        <f>IFERROR(__xludf.DUMMYFUNCTION("""COMPUTED_VALUE"""),8027.968)</f>
        <v>8027.968</v>
      </c>
      <c r="Q202" s="13">
        <f>IFERROR(__xludf.DUMMYFUNCTION("""COMPUTED_VALUE"""),21098.55405)</f>
        <v>21098.55405</v>
      </c>
    </row>
    <row r="203">
      <c r="N203" s="13">
        <f>IFERROR(__xludf.DUMMYFUNCTION("""COMPUTED_VALUE"""),5699.8375)</f>
        <v>5699.8375</v>
      </c>
      <c r="O203" s="13">
        <f>IFERROR(__xludf.DUMMYFUNCTION("""COMPUTED_VALUE"""),35069.37452)</f>
        <v>35069.37452</v>
      </c>
      <c r="P203" s="13">
        <f>IFERROR(__xludf.DUMMYFUNCTION("""COMPUTED_VALUE"""),7445.918)</f>
        <v>7445.918</v>
      </c>
      <c r="Q203" s="13">
        <f>IFERROR(__xludf.DUMMYFUNCTION("""COMPUTED_VALUE"""),42760.5022)</f>
        <v>42760.5022</v>
      </c>
    </row>
    <row r="204">
      <c r="N204" s="13">
        <f>IFERROR(__xludf.DUMMYFUNCTION("""COMPUTED_VALUE"""),6770.1925)</f>
        <v>6770.1925</v>
      </c>
      <c r="O204" s="13">
        <f>IFERROR(__xludf.DUMMYFUNCTION("""COMPUTED_VALUE"""),9704.66805)</f>
        <v>9704.66805</v>
      </c>
      <c r="P204" s="13">
        <f>IFERROR(__xludf.DUMMYFUNCTION("""COMPUTED_VALUE"""),7348.142)</f>
        <v>7348.142</v>
      </c>
      <c r="Q204" s="13">
        <f>IFERROR(__xludf.DUMMYFUNCTION("""COMPUTED_VALUE"""),8413.46305)</f>
        <v>8413.46305</v>
      </c>
    </row>
    <row r="205">
      <c r="N205" s="13">
        <f>IFERROR(__xludf.DUMMYFUNCTION("""COMPUTED_VALUE"""),19515.5416)</f>
        <v>19515.5416</v>
      </c>
      <c r="O205" s="13">
        <f>IFERROR(__xludf.DUMMYFUNCTION("""COMPUTED_VALUE"""),8603.8234)</f>
        <v>8603.8234</v>
      </c>
      <c r="P205" s="13">
        <f>IFERROR(__xludf.DUMMYFUNCTION("""COMPUTED_VALUE"""),9101.798)</f>
        <v>9101.798</v>
      </c>
      <c r="Q205" s="13">
        <f>IFERROR(__xludf.DUMMYFUNCTION("""COMPUTED_VALUE"""),7222.78625)</f>
        <v>7222.78625</v>
      </c>
    </row>
    <row r="206">
      <c r="N206" s="13">
        <f>IFERROR(__xludf.DUMMYFUNCTION("""COMPUTED_VALUE"""),38245.59327)</f>
        <v>38245.59327</v>
      </c>
      <c r="O206" s="13">
        <f>IFERROR(__xludf.DUMMYFUNCTION("""COMPUTED_VALUE"""),9432.9253)</f>
        <v>9432.9253</v>
      </c>
      <c r="P206" s="13">
        <f>IFERROR(__xludf.DUMMYFUNCTION("""COMPUTED_VALUE"""),8615.3)</f>
        <v>8615.3</v>
      </c>
      <c r="Q206" s="13">
        <f>IFERROR(__xludf.DUMMYFUNCTION("""COMPUTED_VALUE"""),7731.85785)</f>
        <v>7731.85785</v>
      </c>
    </row>
    <row r="207">
      <c r="N207" s="13">
        <f>IFERROR(__xludf.DUMMYFUNCTION("""COMPUTED_VALUE"""),7640.3092)</f>
        <v>7640.3092</v>
      </c>
      <c r="O207" s="13">
        <f>IFERROR(__xludf.DUMMYFUNCTION("""COMPUTED_VALUE"""),8334.45755)</f>
        <v>8334.45755</v>
      </c>
      <c r="P207" s="13">
        <f>IFERROR(__xludf.DUMMYFUNCTION("""COMPUTED_VALUE"""),8823.279)</f>
        <v>8823.279</v>
      </c>
      <c r="Q207" s="13">
        <f>IFERROR(__xludf.DUMMYFUNCTION("""COMPUTED_VALUE"""),28340.18885)</f>
        <v>28340.18885</v>
      </c>
    </row>
    <row r="208">
      <c r="N208" s="13">
        <f>IFERROR(__xludf.DUMMYFUNCTION("""COMPUTED_VALUE"""),7046.7222)</f>
        <v>7046.7222</v>
      </c>
      <c r="O208" s="13">
        <f>IFERROR(__xludf.DUMMYFUNCTION("""COMPUTED_VALUE"""),9411.005)</f>
        <v>9411.005</v>
      </c>
      <c r="P208" s="13">
        <f>IFERROR(__xludf.DUMMYFUNCTION("""COMPUTED_VALUE"""),7147.105)</f>
        <v>7147.105</v>
      </c>
      <c r="Q208" s="13">
        <f>IFERROR(__xludf.DUMMYFUNCTION("""COMPUTED_VALUE"""),39725.51805)</f>
        <v>39725.51805</v>
      </c>
    </row>
    <row r="209">
      <c r="N209" s="13">
        <f>IFERROR(__xludf.DUMMYFUNCTION("""COMPUTED_VALUE"""),7160.3303)</f>
        <v>7160.3303</v>
      </c>
      <c r="O209" s="13">
        <f>IFERROR(__xludf.DUMMYFUNCTION("""COMPUTED_VALUE"""),8342.90875)</f>
        <v>8342.90875</v>
      </c>
      <c r="P209" s="13">
        <f>IFERROR(__xludf.DUMMYFUNCTION("""COMPUTED_VALUE"""),24603.04837)</f>
        <v>24603.04837</v>
      </c>
      <c r="Q209" s="13">
        <f>IFERROR(__xludf.DUMMYFUNCTION("""COMPUTED_VALUE"""),8026.6666)</f>
        <v>8026.6666</v>
      </c>
    </row>
    <row r="210">
      <c r="N210" s="13">
        <f>IFERROR(__xludf.DUMMYFUNCTION("""COMPUTED_VALUE"""),5966.8874)</f>
        <v>5966.8874</v>
      </c>
      <c r="O210" s="13">
        <f>IFERROR(__xludf.DUMMYFUNCTION("""COMPUTED_VALUE"""),8334.5896)</f>
        <v>8334.5896</v>
      </c>
      <c r="P210" s="13">
        <f>IFERROR(__xludf.DUMMYFUNCTION("""COMPUTED_VALUE"""),8825.086)</f>
        <v>8825.086</v>
      </c>
      <c r="Q210" s="13">
        <f>IFERROR(__xludf.DUMMYFUNCTION("""COMPUTED_VALUE"""),40720.55105)</f>
        <v>40720.55105</v>
      </c>
    </row>
    <row r="211">
      <c r="N211" s="13">
        <f>IFERROR(__xludf.DUMMYFUNCTION("""COMPUTED_VALUE"""),7162.0122)</f>
        <v>7162.0122</v>
      </c>
      <c r="O211" s="13">
        <f>IFERROR(__xludf.DUMMYFUNCTION("""COMPUTED_VALUE"""),8823.98575)</f>
        <v>8823.98575</v>
      </c>
      <c r="P211" s="13">
        <f>IFERROR(__xludf.DUMMYFUNCTION("""COMPUTED_VALUE"""),9414.92)</f>
        <v>9414.92</v>
      </c>
      <c r="Q211" s="13">
        <f>IFERROR(__xludf.DUMMYFUNCTION("""COMPUTED_VALUE"""),7526.70645)</f>
        <v>7526.70645</v>
      </c>
    </row>
    <row r="212">
      <c r="N212" s="13">
        <f>IFERROR(__xludf.DUMMYFUNCTION("""COMPUTED_VALUE"""),43896.3763)</f>
        <v>43896.3763</v>
      </c>
      <c r="O212" s="13">
        <f>IFERROR(__xludf.DUMMYFUNCTION("""COMPUTED_VALUE"""),42111.6647)</f>
        <v>42111.6647</v>
      </c>
      <c r="P212" s="13">
        <f>IFERROR(__xludf.DUMMYFUNCTION("""COMPUTED_VALUE"""),10096.97)</f>
        <v>10096.97</v>
      </c>
      <c r="Q212" s="13">
        <f>IFERROR(__xludf.DUMMYFUNCTION("""COMPUTED_VALUE"""),9193.8385)</f>
        <v>9193.8385</v>
      </c>
    </row>
    <row r="213">
      <c r="N213" s="13">
        <f>IFERROR(__xludf.DUMMYFUNCTION("""COMPUTED_VALUE"""),42124.5153)</f>
        <v>42124.5153</v>
      </c>
      <c r="O213" s="13">
        <f>IFERROR(__xludf.DUMMYFUNCTION("""COMPUTED_VALUE"""),9500.57305)</f>
        <v>9500.57305</v>
      </c>
      <c r="P213" s="13">
        <f>IFERROR(__xludf.DUMMYFUNCTION("""COMPUTED_VALUE"""),41661.602)</f>
        <v>41661.602</v>
      </c>
      <c r="Q213" s="13">
        <f>IFERROR(__xludf.DUMMYFUNCTION("""COMPUTED_VALUE"""),21677.28345)</f>
        <v>21677.28345</v>
      </c>
    </row>
    <row r="214">
      <c r="N214" s="13">
        <f>IFERROR(__xludf.DUMMYFUNCTION("""COMPUTED_VALUE"""),7345.7266)</f>
        <v>7345.7266</v>
      </c>
      <c r="O214" s="13">
        <f>IFERROR(__xludf.DUMMYFUNCTION("""COMPUTED_VALUE"""),10407.08585)</f>
        <v>10407.08585</v>
      </c>
      <c r="P214" s="13">
        <f>IFERROR(__xludf.DUMMYFUNCTION("""COMPUTED_VALUE"""),8539.671)</f>
        <v>8539.671</v>
      </c>
      <c r="Q214" s="13">
        <f>IFERROR(__xludf.DUMMYFUNCTION("""COMPUTED_VALUE"""),8733.22925)</f>
        <v>8733.22925</v>
      </c>
    </row>
    <row r="215">
      <c r="N215" s="13">
        <f>IFERROR(__xludf.DUMMYFUNCTION("""COMPUTED_VALUE"""),45863.205)</f>
        <v>45863.205</v>
      </c>
      <c r="O215" s="13">
        <f>IFERROR(__xludf.DUMMYFUNCTION("""COMPUTED_VALUE"""),9225.2564)</f>
        <v>9225.2564</v>
      </c>
      <c r="P215" s="13">
        <f>IFERROR(__xludf.DUMMYFUNCTION("""COMPUTED_VALUE"""),26236.57997)</f>
        <v>26236.57997</v>
      </c>
      <c r="Q215" s="13">
        <f>IFERROR(__xludf.DUMMYFUNCTION("""COMPUTED_VALUE"""),9301.89355)</f>
        <v>9301.89355</v>
      </c>
    </row>
    <row r="216">
      <c r="N216" s="13">
        <f>IFERROR(__xludf.DUMMYFUNCTION("""COMPUTED_VALUE"""),18806.14547)</f>
        <v>18806.14547</v>
      </c>
      <c r="O216" s="13">
        <f>IFERROR(__xludf.DUMMYFUNCTION("""COMPUTED_VALUE"""),9715.841)</f>
        <v>9715.841</v>
      </c>
      <c r="P216" s="13">
        <f>IFERROR(__xludf.DUMMYFUNCTION("""COMPUTED_VALUE"""),8068.185)</f>
        <v>8068.185</v>
      </c>
      <c r="Q216" s="13">
        <f>IFERROR(__xludf.DUMMYFUNCTION("""COMPUTED_VALUE"""),10115.00885)</f>
        <v>10115.00885</v>
      </c>
    </row>
    <row r="217">
      <c r="N217" s="13">
        <f>IFERROR(__xludf.DUMMYFUNCTION("""COMPUTED_VALUE"""),42560.4304)</f>
        <v>42560.4304</v>
      </c>
      <c r="O217" s="13">
        <f>IFERROR(__xludf.DUMMYFUNCTION("""COMPUTED_VALUE"""),20878.78443)</f>
        <v>20878.78443</v>
      </c>
      <c r="P217" s="13">
        <f>IFERROR(__xludf.DUMMYFUNCTION("""COMPUTED_VALUE"""),8556.907)</f>
        <v>8556.907</v>
      </c>
      <c r="Q217" s="13">
        <f>IFERROR(__xludf.DUMMYFUNCTION("""COMPUTED_VALUE"""),9620.3307)</f>
        <v>9620.3307</v>
      </c>
    </row>
    <row r="218">
      <c r="N218" s="13">
        <f>IFERROR(__xludf.DUMMYFUNCTION("""COMPUTED_VALUE"""),18767.7377)</f>
        <v>18767.7377</v>
      </c>
      <c r="O218" s="13">
        <f>IFERROR(__xludf.DUMMYFUNCTION("""COMPUTED_VALUE"""),23401.30575)</f>
        <v>23401.30575</v>
      </c>
      <c r="P218" s="13">
        <f>IFERROR(__xludf.DUMMYFUNCTION("""COMPUTED_VALUE"""),8062.764)</f>
        <v>8062.764</v>
      </c>
      <c r="Q218" s="13">
        <f>IFERROR(__xludf.DUMMYFUNCTION("""COMPUTED_VALUE"""),8428.0693)</f>
        <v>8428.0693</v>
      </c>
    </row>
    <row r="219">
      <c r="N219" s="13">
        <f>IFERROR(__xludf.DUMMYFUNCTION("""COMPUTED_VALUE"""),40941.2854)</f>
        <v>40941.2854</v>
      </c>
      <c r="O219" s="13">
        <f>IFERROR(__xludf.DUMMYFUNCTION("""COMPUTED_VALUE"""),8627.5411)</f>
        <v>8627.5411</v>
      </c>
      <c r="P219" s="13">
        <f>IFERROR(__xludf.DUMMYFUNCTION("""COMPUTED_VALUE"""),25309.489)</f>
        <v>25309.489</v>
      </c>
      <c r="Q219" s="13">
        <f>IFERROR(__xludf.DUMMYFUNCTION("""COMPUTED_VALUE"""),8930.93455)</f>
        <v>8930.93455</v>
      </c>
    </row>
    <row r="220">
      <c r="N220" s="13">
        <f>IFERROR(__xludf.DUMMYFUNCTION("""COMPUTED_VALUE"""),14478.33015)</f>
        <v>14478.33015</v>
      </c>
      <c r="O220" s="13">
        <f>IFERROR(__xludf.DUMMYFUNCTION("""COMPUTED_VALUE"""),8534.6718)</f>
        <v>8534.6718</v>
      </c>
      <c r="P220" s="13">
        <f>IFERROR(__xludf.DUMMYFUNCTION("""COMPUTED_VALUE"""),8551.347)</f>
        <v>8551.347</v>
      </c>
      <c r="Q220" s="13">
        <f>IFERROR(__xludf.DUMMYFUNCTION("""COMPUTED_VALUE"""),24915.22085)</f>
        <v>24915.22085</v>
      </c>
    </row>
    <row r="221">
      <c r="N221" s="13">
        <f>IFERROR(__xludf.DUMMYFUNCTION("""COMPUTED_VALUE"""),7731.4271)</f>
        <v>7731.4271</v>
      </c>
      <c r="O221" s="13">
        <f>IFERROR(__xludf.DUMMYFUNCTION("""COMPUTED_VALUE"""),10043.249)</f>
        <v>10043.249</v>
      </c>
      <c r="P221" s="13">
        <f>IFERROR(__xludf.DUMMYFUNCTION("""COMPUTED_VALUE"""),23568.272)</f>
        <v>23568.272</v>
      </c>
      <c r="Q221" s="13">
        <f>IFERROR(__xludf.DUMMYFUNCTION("""COMPUTED_VALUE"""),24535.69855)</f>
        <v>24535.69855</v>
      </c>
    </row>
    <row r="222">
      <c r="N222" s="13">
        <f>IFERROR(__xludf.DUMMYFUNCTION("""COMPUTED_VALUE"""),7152.6714)</f>
        <v>7152.6714</v>
      </c>
      <c r="O222" s="13">
        <f>IFERROR(__xludf.DUMMYFUNCTION("""COMPUTED_VALUE"""),10736.87075)</f>
        <v>10736.87075</v>
      </c>
      <c r="P222" s="13">
        <f>IFERROR(__xludf.DUMMYFUNCTION("""COMPUTED_VALUE"""),8968.33)</f>
        <v>8968.33</v>
      </c>
      <c r="Q222" s="13">
        <f>IFERROR(__xludf.DUMMYFUNCTION("""COMPUTED_VALUE"""),11033.6617)</f>
        <v>11033.6617</v>
      </c>
    </row>
    <row r="223">
      <c r="N223" s="13">
        <f>IFERROR(__xludf.DUMMYFUNCTION("""COMPUTED_VALUE"""),48885.13561)</f>
        <v>48885.13561</v>
      </c>
      <c r="O223" s="13">
        <f>IFERROR(__xludf.DUMMYFUNCTION("""COMPUTED_VALUE"""),8964.06055)</f>
        <v>8964.06055</v>
      </c>
      <c r="P223" s="13">
        <f>IFERROR(__xludf.DUMMYFUNCTION("""COMPUTED_VALUE"""),9563.029)</f>
        <v>9563.029</v>
      </c>
      <c r="Q223" s="13">
        <f>IFERROR(__xludf.DUMMYFUNCTION("""COMPUTED_VALUE"""),9249.4952)</f>
        <v>9249.4952</v>
      </c>
    </row>
    <row r="224">
      <c r="N224" s="13">
        <f>IFERROR(__xludf.DUMMYFUNCTION("""COMPUTED_VALUE"""),8211.1002)</f>
        <v>8211.1002</v>
      </c>
      <c r="O224" s="13">
        <f>IFERROR(__xludf.DUMMYFUNCTION("""COMPUTED_VALUE"""),10141.1362)</f>
        <v>10141.1362</v>
      </c>
      <c r="P224" s="13">
        <f>IFERROR(__xludf.DUMMYFUNCTION("""COMPUTED_VALUE"""),21232.18226)</f>
        <v>21232.18226</v>
      </c>
      <c r="Q224" s="13">
        <f>IFERROR(__xludf.DUMMYFUNCTION("""COMPUTED_VALUE"""),45702.02235)</f>
        <v>45702.02235</v>
      </c>
    </row>
    <row r="225">
      <c r="N225" s="13">
        <f>IFERROR(__xludf.DUMMYFUNCTION("""COMPUTED_VALUE"""),46200.9851)</f>
        <v>46200.9851</v>
      </c>
      <c r="O225" s="13">
        <f>IFERROR(__xludf.DUMMYFUNCTION("""COMPUTED_VALUE"""),26392.26029)</f>
        <v>26392.26029</v>
      </c>
      <c r="P225" s="13">
        <f>IFERROR(__xludf.DUMMYFUNCTION("""COMPUTED_VALUE"""),8269.044)</f>
        <v>8269.044</v>
      </c>
      <c r="Q225" s="13">
        <f>IFERROR(__xludf.DUMMYFUNCTION("""COMPUTED_VALUE"""),28468.91901)</f>
        <v>28468.91901</v>
      </c>
    </row>
    <row r="226">
      <c r="N226" s="13">
        <f>IFERROR(__xludf.DUMMYFUNCTION("""COMPUTED_VALUE"""),8219.2039)</f>
        <v>8219.2039</v>
      </c>
      <c r="O226" s="13">
        <f>IFERROR(__xludf.DUMMYFUNCTION("""COMPUTED_VALUE"""),9447.25035)</f>
        <v>9447.25035</v>
      </c>
      <c r="P226" s="13">
        <f>IFERROR(__xludf.DUMMYFUNCTION("""COMPUTED_VALUE"""),8277.523)</f>
        <v>8277.523</v>
      </c>
      <c r="Q226" s="13">
        <f>IFERROR(__xludf.DUMMYFUNCTION("""COMPUTED_VALUE"""),8765.249)</f>
        <v>8765.249</v>
      </c>
    </row>
    <row r="227">
      <c r="N227" s="13">
        <f>IFERROR(__xludf.DUMMYFUNCTION("""COMPUTED_VALUE"""),7633.7206)</f>
        <v>7633.7206</v>
      </c>
      <c r="O227" s="13">
        <f>IFERROR(__xludf.DUMMYFUNCTION("""COMPUTED_VALUE"""),9447.3824)</f>
        <v>9447.3824</v>
      </c>
      <c r="P227" s="13">
        <f>IFERROR(__xludf.DUMMYFUNCTION("""COMPUTED_VALUE"""),8116.68)</f>
        <v>8116.68</v>
      </c>
      <c r="Q227" s="13">
        <f>IFERROR(__xludf.DUMMYFUNCTION("""COMPUTED_VALUE"""),11015.1747)</f>
        <v>11015.1747</v>
      </c>
    </row>
    <row r="228">
      <c r="N228" s="13">
        <f>IFERROR(__xludf.DUMMYFUNCTION("""COMPUTED_VALUE"""),7147.4728)</f>
        <v>7147.4728</v>
      </c>
      <c r="O228" s="13">
        <f>IFERROR(__xludf.DUMMYFUNCTION("""COMPUTED_VALUE"""),9282.4806)</f>
        <v>9282.4806</v>
      </c>
      <c r="P228" s="13">
        <f>IFERROR(__xludf.DUMMYFUNCTION("""COMPUTED_VALUE"""),11552.904)</f>
        <v>11552.904</v>
      </c>
      <c r="Q228" s="13">
        <f>IFERROR(__xludf.DUMMYFUNCTION("""COMPUTED_VALUE"""),8671.19125)</f>
        <v>8671.19125</v>
      </c>
    </row>
    <row r="229">
      <c r="N229" s="13">
        <f>IFERROR(__xludf.DUMMYFUNCTION("""COMPUTED_VALUE"""),8516.829)</f>
        <v>8516.829</v>
      </c>
      <c r="O229" s="13">
        <f>IFERROR(__xludf.DUMMYFUNCTION("""COMPUTED_VALUE"""),9778.3472)</f>
        <v>9778.3472</v>
      </c>
      <c r="P229" s="13">
        <f>IFERROR(__xludf.DUMMYFUNCTION("""COMPUTED_VALUE"""),23306.547)</f>
        <v>23306.547</v>
      </c>
      <c r="Q229" s="13">
        <f>IFERROR(__xludf.DUMMYFUNCTION("""COMPUTED_VALUE"""),10269.46)</f>
        <v>10269.46</v>
      </c>
    </row>
    <row r="230">
      <c r="N230" s="13">
        <f>IFERROR(__xludf.DUMMYFUNCTION("""COMPUTED_VALUE"""),9788.8659)</f>
        <v>9788.8659</v>
      </c>
      <c r="O230" s="13">
        <f>IFERROR(__xludf.DUMMYFUNCTION("""COMPUTED_VALUE"""),9290.1395)</f>
        <v>9290.1395</v>
      </c>
      <c r="P230" s="13">
        <f>IFERROR(__xludf.DUMMYFUNCTION("""COMPUTED_VALUE"""),9182.17)</f>
        <v>9182.17</v>
      </c>
      <c r="Q230" s="13">
        <f>IFERROR(__xludf.DUMMYFUNCTION("""COMPUTED_VALUE"""),23807.2406)</f>
        <v>23807.2406</v>
      </c>
    </row>
    <row r="231">
      <c r="N231" s="13">
        <f>IFERROR(__xludf.DUMMYFUNCTION("""COMPUTED_VALUE"""),8527.532)</f>
        <v>8527.532</v>
      </c>
      <c r="O231" s="13">
        <f>IFERROR(__xludf.DUMMYFUNCTION("""COMPUTED_VALUE"""),24106.91255)</f>
        <v>24106.91255</v>
      </c>
      <c r="P231" s="13">
        <f>IFERROR(__xludf.DUMMYFUNCTION("""COMPUTED_VALUE"""),8703.456)</f>
        <v>8703.456</v>
      </c>
      <c r="Q231" s="13">
        <f>IFERROR(__xludf.DUMMYFUNCTION("""COMPUTED_VALUE"""),10156.7832)</f>
        <v>10156.7832</v>
      </c>
    </row>
    <row r="232">
      <c r="N232" s="13">
        <f>IFERROR(__xludf.DUMMYFUNCTION("""COMPUTED_VALUE"""),17929.30337)</f>
        <v>17929.30337</v>
      </c>
      <c r="O232" s="13">
        <f>IFERROR(__xludf.DUMMYFUNCTION("""COMPUTED_VALUE"""),8688.85885)</f>
        <v>8688.85885</v>
      </c>
      <c r="P232" s="13">
        <f>IFERROR(__xludf.DUMMYFUNCTION("""COMPUTED_VALUE"""),26140.3603)</f>
        <v>26140.3603</v>
      </c>
      <c r="Q232" s="13">
        <f>IFERROR(__xludf.DUMMYFUNCTION("""COMPUTED_VALUE"""),10264.4421)</f>
        <v>10264.4421</v>
      </c>
    </row>
    <row r="233">
      <c r="N233" s="13">
        <f>IFERROR(__xludf.DUMMYFUNCTION("""COMPUTED_VALUE"""),8605.3615)</f>
        <v>8605.3615</v>
      </c>
      <c r="O233" s="13">
        <f>IFERROR(__xludf.DUMMYFUNCTION("""COMPUTED_VALUE"""),9288.0267)</f>
        <v>9288.0267</v>
      </c>
      <c r="P233" s="13">
        <f>IFERROR(__xludf.DUMMYFUNCTION("""COMPUTED_VALUE"""),39727.614)</f>
        <v>39727.614</v>
      </c>
      <c r="Q233" s="13">
        <f>IFERROR(__xludf.DUMMYFUNCTION("""COMPUTED_VALUE"""),9566.9909)</f>
        <v>9566.9909</v>
      </c>
    </row>
    <row r="234">
      <c r="N234" s="13">
        <f>IFERROR(__xludf.DUMMYFUNCTION("""COMPUTED_VALUE"""),8515.7587)</f>
        <v>8515.7587</v>
      </c>
      <c r="O234" s="13">
        <f>IFERROR(__xludf.DUMMYFUNCTION("""COMPUTED_VALUE"""),10370.91255)</f>
        <v>10370.91255</v>
      </c>
      <c r="P234" s="13">
        <f>IFERROR(__xludf.DUMMYFUNCTION("""COMPUTED_VALUE"""),42856.838)</f>
        <v>42856.838</v>
      </c>
      <c r="Q234" s="13">
        <f>IFERROR(__xludf.DUMMYFUNCTION("""COMPUTED_VALUE"""),9583.8933)</f>
        <v>9583.8933</v>
      </c>
    </row>
    <row r="235">
      <c r="N235" s="13">
        <f>IFERROR(__xludf.DUMMYFUNCTION("""COMPUTED_VALUE"""),62592.87309)</f>
        <v>62592.87309</v>
      </c>
      <c r="O235" s="13">
        <f>IFERROR(__xludf.DUMMYFUNCTION("""COMPUTED_VALUE"""),41097.16175)</f>
        <v>41097.16175</v>
      </c>
      <c r="P235" s="13">
        <f>IFERROR(__xludf.DUMMYFUNCTION("""COMPUTED_VALUE"""),8444.474)</f>
        <v>8444.474</v>
      </c>
      <c r="Q235" s="13">
        <f>IFERROR(__xludf.DUMMYFUNCTION("""COMPUTED_VALUE"""),8988.15875)</f>
        <v>8988.15875</v>
      </c>
    </row>
    <row r="236">
      <c r="N236" s="13">
        <f>IFERROR(__xludf.DUMMYFUNCTION("""COMPUTED_VALUE"""),8240.5896)</f>
        <v>8240.5896</v>
      </c>
      <c r="O236" s="13">
        <f>IFERROR(__xludf.DUMMYFUNCTION("""COMPUTED_VALUE"""),9617.66245)</f>
        <v>9617.66245</v>
      </c>
      <c r="P236" s="13">
        <f>IFERROR(__xludf.DUMMYFUNCTION("""COMPUTED_VALUE"""),8932.084)</f>
        <v>8932.084</v>
      </c>
      <c r="Q236" s="13">
        <f>IFERROR(__xludf.DUMMYFUNCTION("""COMPUTED_VALUE"""),8835.26495)</f>
        <v>8835.26495</v>
      </c>
    </row>
    <row r="237">
      <c r="N237" s="13">
        <f>IFERROR(__xludf.DUMMYFUNCTION("""COMPUTED_VALUE"""),46151.1245)</f>
        <v>46151.1245</v>
      </c>
      <c r="O237" s="13">
        <f>IFERROR(__xludf.DUMMYFUNCTION("""COMPUTED_VALUE"""),41919.097)</f>
        <v>41919.097</v>
      </c>
      <c r="P237" s="13">
        <f>IFERROR(__xludf.DUMMYFUNCTION("""COMPUTED_VALUE"""),24520.264)</f>
        <v>24520.264</v>
      </c>
      <c r="Q237" s="13">
        <f>IFERROR(__xludf.DUMMYFUNCTION("""COMPUTED_VALUE"""),30284.64294)</f>
        <v>30284.64294</v>
      </c>
    </row>
    <row r="238">
      <c r="N238" s="13">
        <f>IFERROR(__xludf.DUMMYFUNCTION("""COMPUTED_VALUE"""),7742.1098)</f>
        <v>7742.1098</v>
      </c>
      <c r="O238" s="13">
        <f>IFERROR(__xludf.DUMMYFUNCTION("""COMPUTED_VALUE"""),25656.57526)</f>
        <v>25656.57526</v>
      </c>
      <c r="P238" s="13">
        <f>IFERROR(__xludf.DUMMYFUNCTION("""COMPUTED_VALUE"""),8457.818)</f>
        <v>8457.818</v>
      </c>
      <c r="Q238" s="13">
        <f>IFERROR(__xludf.DUMMYFUNCTION("""COMPUTED_VALUE"""),8827.2099)</f>
        <v>8827.2099</v>
      </c>
    </row>
    <row r="239">
      <c r="N239" s="13">
        <f>IFERROR(__xludf.DUMMYFUNCTION("""COMPUTED_VALUE"""),8232.6388)</f>
        <v>8232.6388</v>
      </c>
      <c r="O239" s="13">
        <f>IFERROR(__xludf.DUMMYFUNCTION("""COMPUTED_VALUE"""),9541.69555)</f>
        <v>9541.69555</v>
      </c>
      <c r="P239" s="13">
        <f>IFERROR(__xludf.DUMMYFUNCTION("""COMPUTED_VALUE"""),10118.424)</f>
        <v>10118.424</v>
      </c>
      <c r="Q239" s="13">
        <f>IFERROR(__xludf.DUMMYFUNCTION("""COMPUTED_VALUE"""),9910.35985)</f>
        <v>9910.35985</v>
      </c>
    </row>
    <row r="240">
      <c r="N240" s="13">
        <f>IFERROR(__xludf.DUMMYFUNCTION("""COMPUTED_VALUE"""),8944.1151)</f>
        <v>8944.1151</v>
      </c>
      <c r="O240" s="13">
        <f>IFERROR(__xludf.DUMMYFUNCTION("""COMPUTED_VALUE"""),10106.13425)</f>
        <v>10106.13425</v>
      </c>
      <c r="P240" s="13">
        <f>IFERROR(__xludf.DUMMYFUNCTION("""COMPUTED_VALUE"""),11299.343)</f>
        <v>11299.343</v>
      </c>
      <c r="Q240" s="13">
        <f>IFERROR(__xludf.DUMMYFUNCTION("""COMPUTED_VALUE"""),10493.9458)</f>
        <v>10493.9458</v>
      </c>
    </row>
    <row r="241">
      <c r="N241" s="13">
        <f>IFERROR(__xludf.DUMMYFUNCTION("""COMPUTED_VALUE"""),8233.0975)</f>
        <v>8233.0975</v>
      </c>
      <c r="O241" s="13">
        <f>IFERROR(__xludf.DUMMYFUNCTION("""COMPUTED_VALUE"""),25333.33284)</f>
        <v>25333.33284</v>
      </c>
      <c r="P241" s="13">
        <f>IFERROR(__xludf.DUMMYFUNCTION("""COMPUTED_VALUE"""),9630.397)</f>
        <v>9630.397</v>
      </c>
      <c r="Q241" s="13">
        <f>IFERROR(__xludf.DUMMYFUNCTION("""COMPUTED_VALUE"""),11085.5868)</f>
        <v>11085.5868</v>
      </c>
    </row>
    <row r="242">
      <c r="N242" s="13">
        <f>IFERROR(__xludf.DUMMYFUNCTION("""COMPUTED_VALUE"""),8347.1643)</f>
        <v>8347.1643</v>
      </c>
      <c r="O242" s="13">
        <f>IFERROR(__xludf.DUMMYFUNCTION("""COMPUTED_VALUE"""),9361.3268)</f>
        <v>9361.3268</v>
      </c>
      <c r="P242" s="13">
        <f>IFERROR(__xludf.DUMMYFUNCTION("""COMPUTED_VALUE"""),9264.797)</f>
        <v>9264.797</v>
      </c>
      <c r="Q242" s="13">
        <f>IFERROR(__xludf.DUMMYFUNCTION("""COMPUTED_VALUE"""),10600.5483)</f>
        <v>10600.5483</v>
      </c>
    </row>
    <row r="243">
      <c r="N243" s="13">
        <f>IFERROR(__xludf.DUMMYFUNCTION("""COMPUTED_VALUE"""),21978.6769)</f>
        <v>21978.6769</v>
      </c>
      <c r="O243" s="13">
        <f>IFERROR(__xludf.DUMMYFUNCTION("""COMPUTED_VALUE"""),9866.30485)</f>
        <v>9866.30485</v>
      </c>
      <c r="P243" s="13">
        <f>IFERROR(__xludf.DUMMYFUNCTION("""COMPUTED_VALUE"""),9880.068)</f>
        <v>9880.068</v>
      </c>
      <c r="Q243" s="13">
        <f>IFERROR(__xludf.DUMMYFUNCTION("""COMPUTED_VALUE"""),9644.2525)</f>
        <v>9644.2525</v>
      </c>
    </row>
    <row r="244">
      <c r="N244" s="13">
        <f>IFERROR(__xludf.DUMMYFUNCTION("""COMPUTED_VALUE"""),8083.9198)</f>
        <v>8083.9198</v>
      </c>
      <c r="O244" s="13">
        <f>IFERROR(__xludf.DUMMYFUNCTION("""COMPUTED_VALUE"""),9875.6804)</f>
        <v>9875.6804</v>
      </c>
      <c r="P244" s="13">
        <f>IFERROR(__xludf.DUMMYFUNCTION("""COMPUTED_VALUE"""),9861.025)</f>
        <v>9861.025</v>
      </c>
      <c r="Q244" s="13">
        <f>IFERROR(__xludf.DUMMYFUNCTION("""COMPUTED_VALUE"""),11520.09985)</f>
        <v>11520.09985</v>
      </c>
    </row>
    <row r="245">
      <c r="N245" s="13">
        <f>IFERROR(__xludf.DUMMYFUNCTION("""COMPUTED_VALUE"""),8547.6913)</f>
        <v>8547.6913</v>
      </c>
      <c r="O245" s="13">
        <f>IFERROR(__xludf.DUMMYFUNCTION("""COMPUTED_VALUE"""),46255.1125)</f>
        <v>46255.1125</v>
      </c>
      <c r="P245" s="13">
        <f>IFERROR(__xludf.DUMMYFUNCTION("""COMPUTED_VALUE"""),9391.346)</f>
        <v>9391.346</v>
      </c>
      <c r="Q245" s="13">
        <f>IFERROR(__xludf.DUMMYFUNCTION("""COMPUTED_VALUE"""),9174.13565)</f>
        <v>9174.13565</v>
      </c>
    </row>
    <row r="246">
      <c r="N246" s="13">
        <f>IFERROR(__xludf.DUMMYFUNCTION("""COMPUTED_VALUE"""),42969.8527)</f>
        <v>42969.8527</v>
      </c>
      <c r="O246" s="13">
        <f>IFERROR(__xludf.DUMMYFUNCTION("""COMPUTED_VALUE"""),9957.7216)</f>
        <v>9957.7216</v>
      </c>
      <c r="P246" s="13">
        <f>IFERROR(__xludf.DUMMYFUNCTION("""COMPUTED_VALUE"""),9872.701)</f>
        <v>9872.701</v>
      </c>
      <c r="Q246" s="13">
        <f>IFERROR(__xludf.DUMMYFUNCTION("""COMPUTED_VALUE"""),10848.1343)</f>
        <v>10848.1343</v>
      </c>
    </row>
    <row r="247">
      <c r="N247" s="13">
        <f>IFERROR(__xludf.DUMMYFUNCTION("""COMPUTED_VALUE"""),23065.4207)</f>
        <v>23065.4207</v>
      </c>
      <c r="O247" s="13">
        <f>IFERROR(__xludf.DUMMYFUNCTION("""COMPUTED_VALUE"""),44641.1974)</f>
        <v>44641.1974</v>
      </c>
      <c r="P247" s="13">
        <f>IFERROR(__xludf.DUMMYFUNCTION("""COMPUTED_VALUE"""),8782.469)</f>
        <v>8782.469</v>
      </c>
      <c r="Q247" s="13">
        <f>IFERROR(__xludf.DUMMYFUNCTION("""COMPUTED_VALUE"""),23967.38305)</f>
        <v>23967.38305</v>
      </c>
    </row>
    <row r="248">
      <c r="N248" s="13">
        <f>IFERROR(__xludf.DUMMYFUNCTION("""COMPUTED_VALUE"""),44202.6536)</f>
        <v>44202.6536</v>
      </c>
      <c r="O248" s="13">
        <f>IFERROR(__xludf.DUMMYFUNCTION("""COMPUTED_VALUE"""),9964.06)</f>
        <v>9964.06</v>
      </c>
      <c r="P248" s="13">
        <f>IFERROR(__xludf.DUMMYFUNCTION("""COMPUTED_VALUE"""),8798.593)</f>
        <v>8798.593</v>
      </c>
      <c r="Q248" s="13">
        <f>IFERROR(__xludf.DUMMYFUNCTION("""COMPUTED_VALUE"""),11436.73815)</f>
        <v>11436.73815</v>
      </c>
    </row>
    <row r="249">
      <c r="N249" s="13">
        <f>IFERROR(__xludf.DUMMYFUNCTION("""COMPUTED_VALUE"""),42211.1382)</f>
        <v>42211.1382</v>
      </c>
      <c r="O249" s="13">
        <f>IFERROR(__xludf.DUMMYFUNCTION("""COMPUTED_VALUE"""),10797.3362)</f>
        <v>10797.3362</v>
      </c>
      <c r="P249" s="13">
        <f>IFERROR(__xludf.DUMMYFUNCTION("""COMPUTED_VALUE"""),9634.538)</f>
        <v>9634.538</v>
      </c>
      <c r="Q249" s="13">
        <f>IFERROR(__xludf.DUMMYFUNCTION("""COMPUTED_VALUE"""),24393.6224)</f>
        <v>24393.6224</v>
      </c>
    </row>
    <row r="250">
      <c r="N250" s="13">
        <f>IFERROR(__xludf.DUMMYFUNCTION("""COMPUTED_VALUE"""),8569.8618)</f>
        <v>8569.8618</v>
      </c>
      <c r="O250" s="13">
        <f>IFERROR(__xludf.DUMMYFUNCTION("""COMPUTED_VALUE"""),11488.31695)</f>
        <v>11488.31695</v>
      </c>
      <c r="P250" s="13">
        <f>IFERROR(__xludf.DUMMYFUNCTION("""COMPUTED_VALUE"""),9625.92)</f>
        <v>9625.92</v>
      </c>
      <c r="Q250" s="13">
        <f>IFERROR(__xludf.DUMMYFUNCTION("""COMPUTED_VALUE"""),11187.6567)</f>
        <v>11187.6567</v>
      </c>
    </row>
    <row r="251">
      <c r="N251" s="13">
        <f>IFERROR(__xludf.DUMMYFUNCTION("""COMPUTED_VALUE"""),41676.0811)</f>
        <v>41676.0811</v>
      </c>
      <c r="O251" s="13">
        <f>IFERROR(__xludf.DUMMYFUNCTION("""COMPUTED_VALUE"""),24869.8368)</f>
        <v>24869.8368</v>
      </c>
      <c r="P251" s="13">
        <f>IFERROR(__xludf.DUMMYFUNCTION("""COMPUTED_VALUE"""),9144.565)</f>
        <v>9144.565</v>
      </c>
      <c r="Q251" s="13">
        <f>IFERROR(__xludf.DUMMYFUNCTION("""COMPUTED_VALUE"""),33471.97189)</f>
        <v>33471.97189</v>
      </c>
    </row>
    <row r="252">
      <c r="N252" s="13">
        <f>IFERROR(__xludf.DUMMYFUNCTION("""COMPUTED_VALUE"""),7789.635)</f>
        <v>7789.635</v>
      </c>
      <c r="O252" s="13">
        <f>IFERROR(__xludf.DUMMYFUNCTION("""COMPUTED_VALUE"""),9722.7695)</f>
        <v>9722.7695</v>
      </c>
      <c r="P252" s="13">
        <f>IFERROR(__xludf.DUMMYFUNCTION("""COMPUTED_VALUE"""),9724.53)</f>
        <v>9724.53</v>
      </c>
      <c r="Q252" s="13">
        <f>IFERROR(__xludf.DUMMYFUNCTION("""COMPUTED_VALUE"""),26467.09737)</f>
        <v>26467.09737</v>
      </c>
    </row>
    <row r="253">
      <c r="N253" s="13">
        <f>IFERROR(__xludf.DUMMYFUNCTION("""COMPUTED_VALUE"""),21223.6758)</f>
        <v>21223.6758</v>
      </c>
      <c r="O253" s="13">
        <f>IFERROR(__xludf.DUMMYFUNCTION("""COMPUTED_VALUE"""),11396.9002)</f>
        <v>11396.9002</v>
      </c>
      <c r="P253" s="13">
        <f>IFERROR(__xludf.DUMMYFUNCTION("""COMPUTED_VALUE"""),10806.839)</f>
        <v>10806.839</v>
      </c>
      <c r="Q253" s="13">
        <f>IFERROR(__xludf.DUMMYFUNCTION("""COMPUTED_VALUE"""),9991.03765)</f>
        <v>9991.03765</v>
      </c>
    </row>
    <row r="254">
      <c r="N254" s="13">
        <f>IFERROR(__xludf.DUMMYFUNCTION("""COMPUTED_VALUE"""),8871.1517)</f>
        <v>8871.1517</v>
      </c>
      <c r="O254" s="13">
        <f>IFERROR(__xludf.DUMMYFUNCTION("""COMPUTED_VALUE"""),23045.56616)</f>
        <v>23045.56616</v>
      </c>
      <c r="P254" s="13">
        <f>IFERROR(__xludf.DUMMYFUNCTION("""COMPUTED_VALUE"""),10325.206)</f>
        <v>10325.206</v>
      </c>
      <c r="Q254" s="13">
        <f>IFERROR(__xludf.DUMMYFUNCTION("""COMPUTED_VALUE"""),11289.10925)</f>
        <v>11289.10925</v>
      </c>
    </row>
    <row r="255">
      <c r="N255" s="13">
        <f>IFERROR(__xludf.DUMMYFUNCTION("""COMPUTED_VALUE"""),8280.6227)</f>
        <v>8280.6227</v>
      </c>
      <c r="O255" s="13">
        <f>IFERROR(__xludf.DUMMYFUNCTION("""COMPUTED_VALUE"""),10197.7722)</f>
        <v>10197.7722</v>
      </c>
      <c r="P255" s="13">
        <f>IFERROR(__xludf.DUMMYFUNCTION("""COMPUTED_VALUE"""),11411.685)</f>
        <v>11411.685</v>
      </c>
      <c r="Q255" s="13">
        <f>IFERROR(__xludf.DUMMYFUNCTION("""COMPUTED_VALUE"""),23887.6627)</f>
        <v>23887.6627</v>
      </c>
    </row>
    <row r="256">
      <c r="N256" s="13">
        <f>IFERROR(__xludf.DUMMYFUNCTION("""COMPUTED_VALUE"""),40974.1649)</f>
        <v>40974.1649</v>
      </c>
      <c r="O256" s="13">
        <f>IFERROR(__xludf.DUMMYFUNCTION("""COMPUTED_VALUE"""),10564.8845)</f>
        <v>10564.8845</v>
      </c>
      <c r="P256" s="13">
        <f>IFERROR(__xludf.DUMMYFUNCTION("""COMPUTED_VALUE"""),11741.726)</f>
        <v>11741.726</v>
      </c>
      <c r="Q256" s="13">
        <f>IFERROR(__xludf.DUMMYFUNCTION("""COMPUTED_VALUE"""),60021.39897)</f>
        <v>60021.39897</v>
      </c>
    </row>
    <row r="257">
      <c r="N257" s="13">
        <f>IFERROR(__xludf.DUMMYFUNCTION("""COMPUTED_VALUE"""),7804.1605)</f>
        <v>7804.1605</v>
      </c>
      <c r="O257" s="13">
        <f>IFERROR(__xludf.DUMMYFUNCTION("""COMPUTED_VALUE"""),24873.3849)</f>
        <v>24873.3849</v>
      </c>
      <c r="P257" s="13">
        <f>IFERROR(__xludf.DUMMYFUNCTION("""COMPUTED_VALUE"""),11163.568)</f>
        <v>11163.568</v>
      </c>
      <c r="Q257" s="13">
        <f>IFERROR(__xludf.DUMMYFUNCTION("""COMPUTED_VALUE"""),10942.13205)</f>
        <v>10942.13205</v>
      </c>
    </row>
    <row r="258">
      <c r="N258" s="13">
        <f>IFERROR(__xludf.DUMMYFUNCTION("""COMPUTED_VALUE"""),8978.1851)</f>
        <v>8978.1851</v>
      </c>
      <c r="O258" s="13">
        <f>IFERROR(__xludf.DUMMYFUNCTION("""COMPUTED_VALUE"""),11244.3769)</f>
        <v>11244.3769</v>
      </c>
      <c r="P258" s="13">
        <f>IFERROR(__xludf.DUMMYFUNCTION("""COMPUTED_VALUE"""),10085.846)</f>
        <v>10085.846</v>
      </c>
      <c r="Q258" s="13">
        <f>IFERROR(__xludf.DUMMYFUNCTION("""COMPUTED_VALUE"""),10959.6947)</f>
        <v>10959.6947</v>
      </c>
    </row>
    <row r="259">
      <c r="N259" s="13">
        <f>IFERROR(__xludf.DUMMYFUNCTION("""COMPUTED_VALUE"""),24180.9335)</f>
        <v>24180.9335</v>
      </c>
      <c r="O259" s="13">
        <f>IFERROR(__xludf.DUMMYFUNCTION("""COMPUTED_VALUE"""),29186.48236)</f>
        <v>29186.48236</v>
      </c>
      <c r="P259" s="13">
        <f>IFERROR(__xludf.DUMMYFUNCTION("""COMPUTED_VALUE"""),11264.541)</f>
        <v>11264.541</v>
      </c>
      <c r="Q259" s="13">
        <f>IFERROR(__xludf.DUMMYFUNCTION("""COMPUTED_VALUE"""),10355.641)</f>
        <v>10355.641</v>
      </c>
    </row>
    <row r="260">
      <c r="N260" s="13">
        <f>IFERROR(__xludf.DUMMYFUNCTION("""COMPUTED_VALUE"""),8283.6807)</f>
        <v>8283.6807</v>
      </c>
      <c r="O260" s="13">
        <f>IFERROR(__xludf.DUMMYFUNCTION("""COMPUTED_VALUE"""),43254.41795)</f>
        <v>43254.41795</v>
      </c>
      <c r="P260" s="13">
        <f>IFERROR(__xludf.DUMMYFUNCTION("""COMPUTED_VALUE"""),10065.413)</f>
        <v>10065.413</v>
      </c>
      <c r="Q260" s="13">
        <f>IFERROR(__xludf.DUMMYFUNCTION("""COMPUTED_VALUE"""),10461.9794)</f>
        <v>10461.9794</v>
      </c>
    </row>
    <row r="261">
      <c r="N261" s="13">
        <f>IFERROR(__xludf.DUMMYFUNCTION("""COMPUTED_VALUE"""),8601.3293)</f>
        <v>8601.3293</v>
      </c>
      <c r="O261" s="13">
        <f>IFERROR(__xludf.DUMMYFUNCTION("""COMPUTED_VALUE"""),10072.05505)</f>
        <v>10072.05505</v>
      </c>
      <c r="P261" s="13">
        <f>IFERROR(__xludf.DUMMYFUNCTION("""COMPUTED_VALUE"""),11150.78)</f>
        <v>11150.78</v>
      </c>
      <c r="Q261" s="13">
        <f>IFERROR(__xludf.DUMMYFUNCTION("""COMPUTED_VALUE"""),9863.4718)</f>
        <v>9863.4718</v>
      </c>
    </row>
    <row r="262">
      <c r="N262" s="13">
        <f>IFERROR(__xludf.DUMMYFUNCTION("""COMPUTED_VALUE"""),8124.4084)</f>
        <v>8124.4084</v>
      </c>
      <c r="O262" s="13">
        <f>IFERROR(__xludf.DUMMYFUNCTION("""COMPUTED_VALUE"""),11729.6795)</f>
        <v>11729.6795</v>
      </c>
      <c r="P262" s="13">
        <f>IFERROR(__xludf.DUMMYFUNCTION("""COMPUTED_VALUE"""),11253.421)</f>
        <v>11253.421</v>
      </c>
      <c r="Q262" s="13">
        <f>IFERROR(__xludf.DUMMYFUNCTION("""COMPUTED_VALUE"""),9869.8102)</f>
        <v>9869.8102</v>
      </c>
    </row>
    <row r="263">
      <c r="N263" s="13">
        <f>IFERROR(__xludf.DUMMYFUNCTION("""COMPUTED_VALUE"""),10977.2063)</f>
        <v>10977.2063</v>
      </c>
      <c r="O263" s="13">
        <f>IFERROR(__xludf.DUMMYFUNCTION("""COMPUTED_VALUE"""),48549.17835)</f>
        <v>48549.17835</v>
      </c>
      <c r="P263" s="13">
        <f>IFERROR(__xludf.DUMMYFUNCTION("""COMPUTED_VALUE"""),12105.32)</f>
        <v>12105.32</v>
      </c>
      <c r="Q263" s="13">
        <f>IFERROR(__xludf.DUMMYFUNCTION("""COMPUTED_VALUE"""),46661.4424)</f>
        <v>46661.4424</v>
      </c>
    </row>
    <row r="264">
      <c r="N264" s="13">
        <f>IFERROR(__xludf.DUMMYFUNCTION("""COMPUTED_VALUE"""),10381.4787)</f>
        <v>10381.4787</v>
      </c>
      <c r="O264" s="13">
        <f>IFERROR(__xludf.DUMMYFUNCTION("""COMPUTED_VALUE"""),10435.06525)</f>
        <v>10435.06525</v>
      </c>
      <c r="P264" s="13">
        <f>IFERROR(__xludf.DUMMYFUNCTION("""COMPUTED_VALUE"""),10450.552)</f>
        <v>10450.552</v>
      </c>
      <c r="Q264" s="13">
        <f>IFERROR(__xludf.DUMMYFUNCTION("""COMPUTED_VALUE"""),10825.2537)</f>
        <v>10825.2537</v>
      </c>
    </row>
    <row r="265">
      <c r="N265" s="13">
        <f>IFERROR(__xludf.DUMMYFUNCTION("""COMPUTED_VALUE"""),9304.7019)</f>
        <v>9304.7019</v>
      </c>
      <c r="O265" s="13">
        <f>IFERROR(__xludf.DUMMYFUNCTION("""COMPUTED_VALUE"""),10923.9332)</f>
        <v>10923.9332</v>
      </c>
      <c r="P265" s="13">
        <f>IFERROR(__xludf.DUMMYFUNCTION("""COMPUTED_VALUE"""),10436.096)</f>
        <v>10436.096</v>
      </c>
      <c r="Q265" s="13">
        <f>IFERROR(__xludf.DUMMYFUNCTION("""COMPUTED_VALUE"""),24476.47851)</f>
        <v>24476.47851</v>
      </c>
    </row>
    <row r="266">
      <c r="N266" s="13">
        <f>IFERROR(__xludf.DUMMYFUNCTION("""COMPUTED_VALUE"""),9800.8882)</f>
        <v>9800.8882</v>
      </c>
      <c r="O266" s="13">
        <f>IFERROR(__xludf.DUMMYFUNCTION("""COMPUTED_VALUE"""),10422.91665)</f>
        <v>10422.91665</v>
      </c>
      <c r="P266" s="13">
        <f>IFERROR(__xludf.DUMMYFUNCTION("""COMPUTED_VALUE"""),25382.297)</f>
        <v>25382.297</v>
      </c>
      <c r="Q266" s="13">
        <f>IFERROR(__xludf.DUMMYFUNCTION("""COMPUTED_VALUE"""),12475.3513)</f>
        <v>12475.3513</v>
      </c>
    </row>
    <row r="267">
      <c r="N267" s="13">
        <f>IFERROR(__xludf.DUMMYFUNCTION("""COMPUTED_VALUE"""),8125.7845)</f>
        <v>8125.7845</v>
      </c>
      <c r="O267" s="13">
        <f>IFERROR(__xludf.DUMMYFUNCTION("""COMPUTED_VALUE"""),25517.11363)</f>
        <v>25517.11363</v>
      </c>
      <c r="P267" s="13">
        <f>IFERROR(__xludf.DUMMYFUNCTION("""COMPUTED_VALUE"""),11538.421)</f>
        <v>11538.421</v>
      </c>
      <c r="Q267" s="13">
        <f>IFERROR(__xludf.DUMMYFUNCTION("""COMPUTED_VALUE"""),10231.4999)</f>
        <v>10231.4999</v>
      </c>
    </row>
    <row r="268">
      <c r="N268" s="13">
        <f>IFERROR(__xludf.DUMMYFUNCTION("""COMPUTED_VALUE"""),19749.38338)</f>
        <v>19749.38338</v>
      </c>
      <c r="O268" s="13">
        <f>IFERROR(__xludf.DUMMYFUNCTION("""COMPUTED_VALUE"""),12096.6512)</f>
        <v>12096.6512</v>
      </c>
      <c r="P268" s="13">
        <f>IFERROR(__xludf.DUMMYFUNCTION("""COMPUTED_VALUE"""),9850.432)</f>
        <v>9850.432</v>
      </c>
      <c r="Q268" s="13">
        <f>IFERROR(__xludf.DUMMYFUNCTION("""COMPUTED_VALUE"""),12495.29085)</f>
        <v>12495.29085</v>
      </c>
    </row>
    <row r="269">
      <c r="N269" s="13">
        <f>IFERROR(__xludf.DUMMYFUNCTION("""COMPUTED_VALUE"""),9058.7303)</f>
        <v>9058.7303</v>
      </c>
      <c r="O269" s="13">
        <f>IFERROR(__xludf.DUMMYFUNCTION("""COMPUTED_VALUE"""),11512.405)</f>
        <v>11512.405</v>
      </c>
      <c r="P269" s="13">
        <f>IFERROR(__xludf.DUMMYFUNCTION("""COMPUTED_VALUE"""),12094.478)</f>
        <v>12094.478</v>
      </c>
      <c r="Q269" s="13">
        <f>IFERROR(__xludf.DUMMYFUNCTION("""COMPUTED_VALUE"""),12479.70895)</f>
        <v>12479.70895</v>
      </c>
    </row>
    <row r="270">
      <c r="N270" s="13">
        <f>IFERROR(__xludf.DUMMYFUNCTION("""COMPUTED_VALUE"""),10107.2206)</f>
        <v>10107.2206</v>
      </c>
      <c r="O270" s="13">
        <f>IFERROR(__xludf.DUMMYFUNCTION("""COMPUTED_VALUE"""),13047.33235)</f>
        <v>13047.33235</v>
      </c>
      <c r="P270" s="13">
        <f>IFERROR(__xludf.DUMMYFUNCTION("""COMPUTED_VALUE"""),20630.28351)</f>
        <v>20630.28351</v>
      </c>
      <c r="Q270" s="13">
        <f>IFERROR(__xludf.DUMMYFUNCTION("""COMPUTED_VALUE"""),11305.93455)</f>
        <v>11305.93455</v>
      </c>
    </row>
    <row r="271">
      <c r="N271" s="13">
        <f>IFERROR(__xludf.DUMMYFUNCTION("""COMPUTED_VALUE"""),9549.5651)</f>
        <v>9549.5651</v>
      </c>
      <c r="O271" s="13">
        <f>IFERROR(__xludf.DUMMYFUNCTION("""COMPUTED_VALUE"""),11879.10405)</f>
        <v>11879.10405</v>
      </c>
      <c r="P271" s="13">
        <f>IFERROR(__xludf.DUMMYFUNCTION("""COMPUTED_VALUE"""),11881.358)</f>
        <v>11881.358</v>
      </c>
      <c r="Q271" s="13">
        <f>IFERROR(__xludf.DUMMYFUNCTION("""COMPUTED_VALUE"""),12268.63225)</f>
        <v>12268.63225</v>
      </c>
    </row>
    <row r="272">
      <c r="N272" s="13">
        <f>IFERROR(__xludf.DUMMYFUNCTION("""COMPUTED_VALUE"""),10702.6424)</f>
        <v>10702.6424</v>
      </c>
      <c r="O272" s="13">
        <f>IFERROR(__xludf.DUMMYFUNCTION("""COMPUTED_VALUE"""),42303.69215)</f>
        <v>42303.69215</v>
      </c>
      <c r="P272" s="13">
        <f>IFERROR(__xludf.DUMMYFUNCTION("""COMPUTED_VALUE"""),35160.13457)</f>
        <v>35160.13457</v>
      </c>
      <c r="Q272" s="13">
        <f>IFERROR(__xludf.DUMMYFUNCTION("""COMPUTED_VALUE"""),11082.5772)</f>
        <v>11082.5772</v>
      </c>
    </row>
    <row r="273">
      <c r="N273" s="13">
        <f>IFERROR(__xludf.DUMMYFUNCTION("""COMPUTED_VALUE"""),9048.0273)</f>
        <v>9048.0273</v>
      </c>
      <c r="O273" s="13">
        <f>IFERROR(__xludf.DUMMYFUNCTION("""COMPUTED_VALUE"""),11394.06555)</f>
        <v>11394.06555</v>
      </c>
      <c r="P273" s="13">
        <f>IFERROR(__xludf.DUMMYFUNCTION("""COMPUTED_VALUE"""),10713.644)</f>
        <v>10713.644</v>
      </c>
      <c r="Q273" s="13">
        <f>IFERROR(__xludf.DUMMYFUNCTION("""COMPUTED_VALUE"""),10601.63225)</f>
        <v>10601.63225</v>
      </c>
    </row>
    <row r="274">
      <c r="N274" s="13">
        <f>IFERROR(__xludf.DUMMYFUNCTION("""COMPUTED_VALUE"""),8442.667)</f>
        <v>8442.667</v>
      </c>
      <c r="O274" s="13">
        <f>IFERROR(__xludf.DUMMYFUNCTION("""COMPUTED_VALUE"""),10796.35025)</f>
        <v>10796.35025</v>
      </c>
      <c r="P274" s="13">
        <f>IFERROR(__xludf.DUMMYFUNCTION("""COMPUTED_VALUE"""),10214.636)</f>
        <v>10214.636</v>
      </c>
      <c r="Q274" s="13">
        <f>IFERROR(__xludf.DUMMYFUNCTION("""COMPUTED_VALUE"""),12269.68865)</f>
        <v>12269.68865</v>
      </c>
    </row>
    <row r="275">
      <c r="N275" s="13">
        <f>IFERROR(__xludf.DUMMYFUNCTION("""COMPUTED_VALUE"""),9877.6077)</f>
        <v>9877.6077</v>
      </c>
      <c r="O275" s="13">
        <f>IFERROR(__xludf.DUMMYFUNCTION("""COMPUTED_VALUE"""),11286.5387)</f>
        <v>11286.5387</v>
      </c>
      <c r="P275" s="13">
        <f>IFERROR(__xludf.DUMMYFUNCTION("""COMPUTED_VALUE"""),10791.96)</f>
        <v>10791.96</v>
      </c>
      <c r="Q275" s="13">
        <f>IFERROR(__xludf.DUMMYFUNCTION("""COMPUTED_VALUE"""),10594.50155)</f>
        <v>10594.50155</v>
      </c>
    </row>
    <row r="276">
      <c r="N276" s="13">
        <f>IFERROR(__xludf.DUMMYFUNCTION("""COMPUTED_VALUE"""),9855.1314)</f>
        <v>9855.1314</v>
      </c>
      <c r="O276" s="13">
        <f>IFERROR(__xludf.DUMMYFUNCTION("""COMPUTED_VALUE"""),22412.6485)</f>
        <v>22412.6485</v>
      </c>
      <c r="P276" s="13">
        <f>IFERROR(__xludf.DUMMYFUNCTION("""COMPUTED_VALUE"""),10704.47)</f>
        <v>10704.47</v>
      </c>
      <c r="Q276" s="13">
        <f>IFERROR(__xludf.DUMMYFUNCTION("""COMPUTED_VALUE"""),30063.58055)</f>
        <v>30063.58055</v>
      </c>
    </row>
    <row r="277">
      <c r="N277" s="13">
        <f>IFERROR(__xludf.DUMMYFUNCTION("""COMPUTED_VALUE"""),22218.1149)</f>
        <v>22218.1149</v>
      </c>
      <c r="O277" s="13">
        <f>IFERROR(__xludf.DUMMYFUNCTION("""COMPUTED_VALUE"""),11658.37915)</f>
        <v>11658.37915</v>
      </c>
      <c r="P277" s="13">
        <f>IFERROR(__xludf.DUMMYFUNCTION("""COMPUTED_VALUE"""),10602.385)</f>
        <v>10602.385</v>
      </c>
      <c r="Q277" s="13">
        <f>IFERROR(__xludf.DUMMYFUNCTION("""COMPUTED_VALUE"""),12044.342)</f>
        <v>12044.342</v>
      </c>
    </row>
    <row r="278">
      <c r="N278" s="13">
        <f>IFERROR(__xludf.DUMMYFUNCTION("""COMPUTED_VALUE"""),9283.562)</f>
        <v>9283.562</v>
      </c>
      <c r="O278" s="13">
        <f>IFERROR(__xludf.DUMMYFUNCTION("""COMPUTED_VALUE"""),13430.265)</f>
        <v>13430.265</v>
      </c>
      <c r="P278" s="13">
        <f>IFERROR(__xludf.DUMMYFUNCTION("""COMPUTED_VALUE"""),11073.176)</f>
        <v>11073.176</v>
      </c>
      <c r="Q278" s="13">
        <f>IFERROR(__xludf.DUMMYFUNCTION("""COMPUTED_VALUE"""),43921.1837)</f>
        <v>43921.1837</v>
      </c>
    </row>
    <row r="279">
      <c r="N279" s="13">
        <f>IFERROR(__xludf.DUMMYFUNCTION("""COMPUTED_VALUE"""),44400.4064)</f>
        <v>44400.4064</v>
      </c>
      <c r="O279" s="13">
        <f>IFERROR(__xludf.DUMMYFUNCTION("""COMPUTED_VALUE"""),11165.41765)</f>
        <v>11165.41765</v>
      </c>
      <c r="P279" s="13">
        <f>IFERROR(__xludf.DUMMYFUNCTION("""COMPUTED_VALUE"""),10601.412)</f>
        <v>10601.412</v>
      </c>
      <c r="Q279" s="13">
        <f>IFERROR(__xludf.DUMMYFUNCTION("""COMPUTED_VALUE"""),26109.32905)</f>
        <v>26109.32905</v>
      </c>
    </row>
    <row r="280">
      <c r="N280" s="13">
        <f>IFERROR(__xludf.DUMMYFUNCTION("""COMPUTED_VALUE"""),10560.4917)</f>
        <v>10560.4917</v>
      </c>
      <c r="O280" s="13">
        <f>IFERROR(__xludf.DUMMYFUNCTION("""COMPUTED_VALUE"""),11763.0009)</f>
        <v>11763.0009</v>
      </c>
      <c r="P280" s="13">
        <f>IFERROR(__xludf.DUMMYFUNCTION("""COMPUTED_VALUE"""),11070.535)</f>
        <v>11070.535</v>
      </c>
      <c r="Q280" s="13">
        <f>IFERROR(__xludf.DUMMYFUNCTION("""COMPUTED_VALUE"""),11454.0215)</f>
        <v>11454.0215</v>
      </c>
    </row>
    <row r="281">
      <c r="N281" s="13">
        <f>IFERROR(__xludf.DUMMYFUNCTION("""COMPUTED_VALUE"""),9386.1613)</f>
        <v>9386.1613</v>
      </c>
      <c r="O281" s="13">
        <f>IFERROR(__xludf.DUMMYFUNCTION("""COMPUTED_VALUE"""),11658.11505)</f>
        <v>11658.11505</v>
      </c>
      <c r="P281" s="13">
        <f>IFERROR(__xludf.DUMMYFUNCTION("""COMPUTED_VALUE"""),12363.547)</f>
        <v>12363.547</v>
      </c>
      <c r="Q281" s="13">
        <f>IFERROR(__xludf.DUMMYFUNCTION("""COMPUTED_VALUE"""),12643.3778)</f>
        <v>12643.3778</v>
      </c>
    </row>
    <row r="282">
      <c r="N282" s="13">
        <f>IFERROR(__xludf.DUMMYFUNCTION("""COMPUTED_VALUE"""),47462.894)</f>
        <v>47462.894</v>
      </c>
      <c r="O282" s="13">
        <f>IFERROR(__xludf.DUMMYFUNCTION("""COMPUTED_VALUE"""),11657.7189)</f>
        <v>11657.7189</v>
      </c>
      <c r="P282" s="13">
        <f>IFERROR(__xludf.DUMMYFUNCTION("""COMPUTED_VALUE"""),11674.13)</f>
        <v>11674.13</v>
      </c>
      <c r="Q282" s="13">
        <f>IFERROR(__xludf.DUMMYFUNCTION("""COMPUTED_VALUE"""),10976.24575)</f>
        <v>10976.24575</v>
      </c>
    </row>
    <row r="283">
      <c r="N283" s="13">
        <f>IFERROR(__xludf.DUMMYFUNCTION("""COMPUTED_VALUE"""),9377.9047)</f>
        <v>9377.9047</v>
      </c>
      <c r="O283" s="13">
        <f>IFERROR(__xludf.DUMMYFUNCTION("""COMPUTED_VALUE"""),11566.30055)</f>
        <v>11566.30055</v>
      </c>
      <c r="P283" s="13">
        <f>IFERROR(__xludf.DUMMYFUNCTION("""COMPUTED_VALUE"""),10577.087)</f>
        <v>10577.087</v>
      </c>
      <c r="Q283" s="13">
        <f>IFERROR(__xludf.DUMMYFUNCTION("""COMPUTED_VALUE"""),11356.6609)</f>
        <v>11356.6609</v>
      </c>
    </row>
    <row r="284">
      <c r="N284" s="13">
        <f>IFERROR(__xludf.DUMMYFUNCTION("""COMPUTED_VALUE"""),25992.82104)</f>
        <v>25992.82104</v>
      </c>
      <c r="O284" s="13">
        <f>IFERROR(__xludf.DUMMYFUNCTION("""COMPUTED_VALUE"""),12029.2867)</f>
        <v>12029.2867</v>
      </c>
      <c r="P284" s="13">
        <f>IFERROR(__xludf.DUMMYFUNCTION("""COMPUTED_VALUE"""),12646.207)</f>
        <v>12646.207</v>
      </c>
      <c r="Q284" s="13">
        <f>IFERROR(__xludf.DUMMYFUNCTION("""COMPUTED_VALUE"""),43578.9394)</f>
        <v>43578.9394</v>
      </c>
    </row>
    <row r="285">
      <c r="N285" s="13">
        <f>IFERROR(__xludf.DUMMYFUNCTION("""COMPUTED_VALUE"""),9140.951)</f>
        <v>9140.951</v>
      </c>
      <c r="O285" s="13">
        <f>IFERROR(__xludf.DUMMYFUNCTION("""COMPUTED_VALUE"""),13224.05705)</f>
        <v>13224.05705</v>
      </c>
      <c r="P285" s="13">
        <f>IFERROR(__xludf.DUMMYFUNCTION("""COMPUTED_VALUE"""),11455.28)</f>
        <v>11455.28</v>
      </c>
      <c r="Q285" s="13">
        <f>IFERROR(__xludf.DUMMYFUNCTION("""COMPUTED_VALUE"""),11830.6072)</f>
        <v>11830.6072</v>
      </c>
    </row>
    <row r="286">
      <c r="N286" s="13">
        <f>IFERROR(__xludf.DUMMYFUNCTION("""COMPUTED_VALUE"""),12592.5345)</f>
        <v>12592.5345</v>
      </c>
      <c r="O286" s="13">
        <f>IFERROR(__xludf.DUMMYFUNCTION("""COMPUTED_VALUE"""),14394.39815)</f>
        <v>14394.39815</v>
      </c>
      <c r="P286" s="13">
        <f>IFERROR(__xludf.DUMMYFUNCTION("""COMPUTED_VALUE"""),10965.446)</f>
        <v>10965.446</v>
      </c>
      <c r="Q286" s="13">
        <f>IFERROR(__xludf.DUMMYFUNCTION("""COMPUTED_VALUE"""),11840.77505)</f>
        <v>11840.77505</v>
      </c>
    </row>
    <row r="287">
      <c r="N287" s="13">
        <f>IFERROR(__xludf.DUMMYFUNCTION("""COMPUTED_VALUE"""),24667.419)</f>
        <v>24667.419</v>
      </c>
      <c r="O287" s="13">
        <f>IFERROR(__xludf.DUMMYFUNCTION("""COMPUTED_VALUE"""),27218.43725)</f>
        <v>27218.43725</v>
      </c>
      <c r="P287" s="13">
        <f>IFERROR(__xludf.DUMMYFUNCTION("""COMPUTED_VALUE"""),11576.13)</f>
        <v>11576.13</v>
      </c>
      <c r="Q287" s="13">
        <f>IFERROR(__xludf.DUMMYFUNCTION("""COMPUTED_VALUE"""),11842.62375)</f>
        <v>11842.62375</v>
      </c>
    </row>
    <row r="288">
      <c r="N288" s="13">
        <f>IFERROR(__xludf.DUMMYFUNCTION("""COMPUTED_VALUE"""),9748.9106)</f>
        <v>9748.9106</v>
      </c>
      <c r="O288" s="13">
        <f>IFERROR(__xludf.DUMMYFUNCTION("""COMPUTED_VALUE"""),11534.87265)</f>
        <v>11534.87265</v>
      </c>
      <c r="P288" s="13">
        <f>IFERROR(__xludf.DUMMYFUNCTION("""COMPUTED_VALUE"""),12032.326)</f>
        <v>12032.326</v>
      </c>
      <c r="Q288" s="13">
        <f>IFERROR(__xludf.DUMMYFUNCTION("""COMPUTED_VALUE"""),11945.1327)</f>
        <v>11945.1327</v>
      </c>
    </row>
    <row r="289">
      <c r="N289" s="13">
        <f>IFERROR(__xludf.DUMMYFUNCTION("""COMPUTED_VALUE"""),27117.99378)</f>
        <v>27117.99378</v>
      </c>
      <c r="O289" s="13">
        <f>IFERROR(__xludf.DUMMYFUNCTION("""COMPUTED_VALUE"""),20709.02034)</f>
        <v>20709.02034</v>
      </c>
      <c r="P289" s="13">
        <f>IFERROR(__xludf.DUMMYFUNCTION("""COMPUTED_VALUE"""),10959.33)</f>
        <v>10959.33</v>
      </c>
      <c r="Q289" s="13">
        <f>IFERROR(__xludf.DUMMYFUNCTION("""COMPUTED_VALUE"""),11353.2276)</f>
        <v>11353.2276</v>
      </c>
    </row>
    <row r="290">
      <c r="N290" s="13">
        <f>IFERROR(__xludf.DUMMYFUNCTION("""COMPUTED_VALUE"""),47269.854)</f>
        <v>47269.854</v>
      </c>
      <c r="O290" s="13">
        <f>IFERROR(__xludf.DUMMYFUNCTION("""COMPUTED_VALUE"""),13607.36875)</f>
        <v>13607.36875</v>
      </c>
      <c r="P290" s="13">
        <f>IFERROR(__xludf.DUMMYFUNCTION("""COMPUTED_VALUE"""),11837.16)</f>
        <v>11837.16</v>
      </c>
      <c r="Q290" s="13">
        <f>IFERROR(__xludf.DUMMYFUNCTION("""COMPUTED_VALUE"""),47496.49445)</f>
        <v>47496.49445</v>
      </c>
    </row>
    <row r="291">
      <c r="N291" s="13">
        <f>IFERROR(__xludf.DUMMYFUNCTION("""COMPUTED_VALUE"""),23244.7902)</f>
        <v>23244.7902</v>
      </c>
      <c r="O291" s="13">
        <f>IFERROR(__xludf.DUMMYFUNCTION("""COMPUTED_VALUE"""),11944.59435)</f>
        <v>11944.59435</v>
      </c>
      <c r="P291" s="13">
        <f>IFERROR(__xludf.DUMMYFUNCTION("""COMPUTED_VALUE"""),11362.755)</f>
        <v>11362.755</v>
      </c>
      <c r="Q291" s="13">
        <f>IFERROR(__xludf.DUMMYFUNCTION("""COMPUTED_VALUE"""),11735.87905)</f>
        <v>11735.87905</v>
      </c>
    </row>
    <row r="292">
      <c r="N292" s="13">
        <f>IFERROR(__xludf.DUMMYFUNCTION("""COMPUTED_VALUE"""),20462.99766)</f>
        <v>20462.99766</v>
      </c>
      <c r="O292" s="13">
        <f>IFERROR(__xludf.DUMMYFUNCTION("""COMPUTED_VALUE"""),12430.95335)</f>
        <v>12430.95335</v>
      </c>
      <c r="P292" s="13">
        <f>IFERROR(__xludf.DUMMYFUNCTION("""COMPUTED_VALUE"""),11842.442)</f>
        <v>11842.442</v>
      </c>
      <c r="Q292" s="13">
        <f>IFERROR(__xludf.DUMMYFUNCTION("""COMPUTED_VALUE"""),12222.8983)</f>
        <v>12222.8983</v>
      </c>
    </row>
    <row r="293">
      <c r="N293" s="13">
        <f>IFERROR(__xludf.DUMMYFUNCTION("""COMPUTED_VALUE"""),27346.04207)</f>
        <v>27346.04207</v>
      </c>
      <c r="O293" s="13">
        <f>IFERROR(__xludf.DUMMYFUNCTION("""COMPUTED_VALUE"""),13019.16105)</f>
        <v>13019.16105</v>
      </c>
      <c r="P293" s="13">
        <f>IFERROR(__xludf.DUMMYFUNCTION("""COMPUTED_VALUE"""),11365.952)</f>
        <v>11365.952</v>
      </c>
      <c r="Q293" s="13">
        <f>IFERROR(__xludf.DUMMYFUNCTION("""COMPUTED_VALUE"""),12231.6136)</f>
        <v>12231.6136</v>
      </c>
    </row>
    <row r="294">
      <c r="N294" s="13">
        <f>IFERROR(__xludf.DUMMYFUNCTION("""COMPUTED_VALUE"""),10579.711)</f>
        <v>10579.711</v>
      </c>
      <c r="O294" s="13">
        <f>IFERROR(__xludf.DUMMYFUNCTION("""COMPUTED_VALUE"""),11938.25595)</f>
        <v>11938.25595</v>
      </c>
      <c r="P294" s="13">
        <f>IFERROR(__xludf.DUMMYFUNCTION("""COMPUTED_VALUE"""),11848.141)</f>
        <v>11848.141</v>
      </c>
      <c r="Q294" s="13">
        <f>IFERROR(__xludf.DUMMYFUNCTION("""COMPUTED_VALUE"""),11743.9341)</f>
        <v>11743.9341</v>
      </c>
    </row>
    <row r="295">
      <c r="N295" s="13">
        <f>IFERROR(__xludf.DUMMYFUNCTION("""COMPUTED_VALUE"""),9504.3103)</f>
        <v>9504.3103</v>
      </c>
      <c r="O295" s="13">
        <f>IFERROR(__xludf.DUMMYFUNCTION("""COMPUTED_VALUE"""),11931.12525)</f>
        <v>11931.12525</v>
      </c>
      <c r="P295" s="13">
        <f>IFERROR(__xludf.DUMMYFUNCTION("""COMPUTED_VALUE"""),11345.519)</f>
        <v>11345.519</v>
      </c>
      <c r="Q295" s="13">
        <f>IFERROR(__xludf.DUMMYFUNCTION("""COMPUTED_VALUE"""),12235.8392)</f>
        <v>12235.8392</v>
      </c>
    </row>
    <row r="296">
      <c r="N296" s="13">
        <f>IFERROR(__xludf.DUMMYFUNCTION("""COMPUTED_VALUE"""),21195.818)</f>
        <v>21195.818</v>
      </c>
      <c r="O296" s="13">
        <f>IFERROR(__xludf.DUMMYFUNCTION("""COMPUTED_VALUE"""),30184.9367)</f>
        <v>30184.9367</v>
      </c>
      <c r="P296" s="13">
        <f>IFERROR(__xludf.DUMMYFUNCTION("""COMPUTED_VALUE"""),12333.828)</f>
        <v>12333.828</v>
      </c>
      <c r="Q296" s="13">
        <f>IFERROR(__xludf.DUMMYFUNCTION("""COMPUTED_VALUE"""),12224.35085)</f>
        <v>12224.35085</v>
      </c>
    </row>
    <row r="297">
      <c r="N297" s="13">
        <f>IFERROR(__xludf.DUMMYFUNCTION("""COMPUTED_VALUE"""),9487.6442)</f>
        <v>9487.6442</v>
      </c>
      <c r="O297" s="13">
        <f>IFERROR(__xludf.DUMMYFUNCTION("""COMPUTED_VALUE"""),12815.44495)</f>
        <v>12815.44495</v>
      </c>
      <c r="P297" s="13">
        <f>IFERROR(__xludf.DUMMYFUNCTION("""COMPUTED_VALUE"""),21797.0004)</f>
        <v>21797.0004</v>
      </c>
      <c r="Q297" s="13">
        <f>IFERROR(__xludf.DUMMYFUNCTION("""COMPUTED_VALUE"""),25678.77845)</f>
        <v>25678.77845</v>
      </c>
    </row>
    <row r="298">
      <c r="N298" s="13">
        <f>IFERROR(__xludf.DUMMYFUNCTION("""COMPUTED_VALUE"""),27322.73386)</f>
        <v>27322.73386</v>
      </c>
      <c r="O298" s="13">
        <f>IFERROR(__xludf.DUMMYFUNCTION("""COMPUTED_VALUE"""),14590.63205)</f>
        <v>14590.63205</v>
      </c>
      <c r="P298" s="13">
        <f>IFERROR(__xludf.DUMMYFUNCTION("""COMPUTED_VALUE"""),14007.222)</f>
        <v>14007.222</v>
      </c>
      <c r="Q298" s="13">
        <f>IFERROR(__xludf.DUMMYFUNCTION("""COMPUTED_VALUE"""),12129.61415)</f>
        <v>12129.61415</v>
      </c>
    </row>
    <row r="299">
      <c r="N299" s="13">
        <f>IFERROR(__xludf.DUMMYFUNCTION("""COMPUTED_VALUE"""),44260.7499)</f>
        <v>44260.7499</v>
      </c>
      <c r="O299" s="13">
        <f>IFERROR(__xludf.DUMMYFUNCTION("""COMPUTED_VALUE"""),47896.79135)</f>
        <v>47896.79135</v>
      </c>
      <c r="P299" s="13">
        <f>IFERROR(__xludf.DUMMYFUNCTION("""COMPUTED_VALUE"""),12233.828)</f>
        <v>12233.828</v>
      </c>
      <c r="Q299" s="13">
        <f>IFERROR(__xludf.DUMMYFUNCTION("""COMPUTED_VALUE"""),12622.1795)</f>
        <v>12622.1795</v>
      </c>
    </row>
    <row r="300">
      <c r="N300" s="13">
        <f>IFERROR(__xludf.DUMMYFUNCTION("""COMPUTED_VALUE"""),63770.42801)</f>
        <v>63770.42801</v>
      </c>
      <c r="O300" s="13">
        <f>IFERROR(__xludf.DUMMYFUNCTION("""COMPUTED_VALUE"""),12913.9924)</f>
        <v>12913.9924</v>
      </c>
      <c r="P300" s="13">
        <f>IFERROR(__xludf.DUMMYFUNCTION("""COMPUTED_VALUE"""),36910.60803)</f>
        <v>36910.60803</v>
      </c>
      <c r="Q300" s="13">
        <f>IFERROR(__xludf.DUMMYFUNCTION("""COMPUTED_VALUE"""),14382.70905)</f>
        <v>14382.70905</v>
      </c>
    </row>
    <row r="301">
      <c r="N301" s="13">
        <f>IFERROR(__xludf.DUMMYFUNCTION("""COMPUTED_VALUE"""),11013.7119)</f>
        <v>11013.7119</v>
      </c>
      <c r="O301" s="13">
        <f>IFERROR(__xludf.DUMMYFUNCTION("""COMPUTED_VALUE"""),12323.936)</f>
        <v>12323.936</v>
      </c>
      <c r="P301" s="13">
        <f>IFERROR(__xludf.DUMMYFUNCTION("""COMPUTED_VALUE"""),12347.172)</f>
        <v>12347.172</v>
      </c>
      <c r="Q301" s="13">
        <f>IFERROR(__xludf.DUMMYFUNCTION("""COMPUTED_VALUE"""),12124.9924)</f>
        <v>12124.9924</v>
      </c>
    </row>
    <row r="302">
      <c r="N302" s="13">
        <f>IFERROR(__xludf.DUMMYFUNCTION("""COMPUTED_VALUE"""),41999.52)</f>
        <v>41999.52</v>
      </c>
      <c r="O302" s="13">
        <f>IFERROR(__xludf.DUMMYFUNCTION("""COMPUTED_VALUE"""),13228.84695)</f>
        <v>13228.84695</v>
      </c>
      <c r="P302" s="13">
        <f>IFERROR(__xludf.DUMMYFUNCTION("""COMPUTED_VALUE"""),48173.361)</f>
        <v>48173.361</v>
      </c>
      <c r="Q302" s="13">
        <f>IFERROR(__xludf.DUMMYFUNCTION("""COMPUTED_VALUE"""),28923.13692)</f>
        <v>28923.13692</v>
      </c>
    </row>
    <row r="303">
      <c r="N303" s="13">
        <f>IFERROR(__xludf.DUMMYFUNCTION("""COMPUTED_VALUE"""),10928.849)</f>
        <v>10928.849</v>
      </c>
      <c r="O303" s="13">
        <f>IFERROR(__xludf.DUMMYFUNCTION("""COMPUTED_VALUE"""),30259.99556)</f>
        <v>30259.99556</v>
      </c>
      <c r="P303" s="13">
        <f>IFERROR(__xludf.DUMMYFUNCTION("""COMPUTED_VALUE"""),12638.195)</f>
        <v>12638.195</v>
      </c>
      <c r="Q303" s="13">
        <f>IFERROR(__xludf.DUMMYFUNCTION("""COMPUTED_VALUE"""),13012.20865)</f>
        <v>13012.20865</v>
      </c>
    </row>
    <row r="304">
      <c r="N304" s="13">
        <f>IFERROR(__xludf.DUMMYFUNCTION("""COMPUTED_VALUE"""),10338.9316)</f>
        <v>10338.9316</v>
      </c>
      <c r="O304" s="13">
        <f>IFERROR(__xludf.DUMMYFUNCTION("""COMPUTED_VALUE"""),13217.0945)</f>
        <v>13217.0945</v>
      </c>
      <c r="P304" s="13">
        <f>IFERROR(__xludf.DUMMYFUNCTION("""COMPUTED_VALUE"""),13224.693)</f>
        <v>13224.693</v>
      </c>
      <c r="Q304" s="13">
        <f>IFERROR(__xludf.DUMMYFUNCTION("""COMPUTED_VALUE"""),46130.5265)</f>
        <v>46130.5265</v>
      </c>
    </row>
    <row r="305">
      <c r="N305" s="13">
        <f>IFERROR(__xludf.DUMMYFUNCTION("""COMPUTED_VALUE"""),10226.2842)</f>
        <v>10226.2842</v>
      </c>
      <c r="O305" s="13">
        <f>IFERROR(__xludf.DUMMYFUNCTION("""COMPUTED_VALUE"""),12730.9996)</f>
        <v>12730.9996</v>
      </c>
      <c r="P305" s="13">
        <f>IFERROR(__xludf.DUMMYFUNCTION("""COMPUTED_VALUE"""),12146.971)</f>
        <v>12146.971</v>
      </c>
      <c r="Q305" s="13">
        <f>IFERROR(__xludf.DUMMYFUNCTION("""COMPUTED_VALUE"""),13112.6048)</f>
        <v>13112.6048</v>
      </c>
    </row>
    <row r="306">
      <c r="N306" s="13">
        <f>IFERROR(__xludf.DUMMYFUNCTION("""COMPUTED_VALUE"""),11987.1682)</f>
        <v>11987.1682</v>
      </c>
      <c r="O306" s="13">
        <f>IFERROR(__xludf.DUMMYFUNCTION("""COMPUTED_VALUE"""),12741.16745)</f>
        <v>12741.16745</v>
      </c>
      <c r="P306" s="13">
        <f>IFERROR(__xludf.DUMMYFUNCTION("""COMPUTED_VALUE"""),12644.589)</f>
        <v>12644.589</v>
      </c>
      <c r="Q306" s="13">
        <f>IFERROR(__xludf.DUMMYFUNCTION("""COMPUTED_VALUE"""),12523.6048)</f>
        <v>12523.6048</v>
      </c>
    </row>
    <row r="307">
      <c r="N307" s="13">
        <f>IFERROR(__xludf.DUMMYFUNCTION("""COMPUTED_VALUE"""),20781.48892)</f>
        <v>20781.48892</v>
      </c>
      <c r="O307" s="13">
        <f>IFERROR(__xludf.DUMMYFUNCTION("""COMPUTED_VALUE"""),13204.28565)</f>
        <v>13204.28565</v>
      </c>
      <c r="P307" s="13">
        <f>IFERROR(__xludf.DUMMYFUNCTION("""COMPUTED_VALUE"""),52590.82939)</f>
        <v>52590.82939</v>
      </c>
      <c r="Q307" s="13">
        <f>IFERROR(__xludf.DUMMYFUNCTION("""COMPUTED_VALUE"""),13429.0354)</f>
        <v>13429.0354</v>
      </c>
    </row>
    <row r="308">
      <c r="N308" s="13">
        <f>IFERROR(__xludf.DUMMYFUNCTION("""COMPUTED_VALUE"""),11881.9696)</f>
        <v>11881.9696</v>
      </c>
      <c r="O308" s="13">
        <f>IFERROR(__xludf.DUMMYFUNCTION("""COMPUTED_VALUE"""),13616.3586)</f>
        <v>13616.3586</v>
      </c>
      <c r="P308" s="13">
        <f>IFERROR(__xludf.DUMMYFUNCTION("""COMPUTED_VALUE"""),14235.072)</f>
        <v>14235.072</v>
      </c>
      <c r="Q308" s="13">
        <f>IFERROR(__xludf.DUMMYFUNCTION("""COMPUTED_VALUE"""),13415.0381)</f>
        <v>13415.0381</v>
      </c>
    </row>
    <row r="309">
      <c r="N309" s="13">
        <f>IFERROR(__xludf.DUMMYFUNCTION("""COMPUTED_VALUE"""),12485.8009)</f>
        <v>12485.8009</v>
      </c>
      <c r="O309" s="13">
        <f>IFERROR(__xludf.DUMMYFUNCTION("""COMPUTED_VALUE"""),48517.56315)</f>
        <v>48517.56315</v>
      </c>
      <c r="P309" s="13">
        <f>IFERROR(__xludf.DUMMYFUNCTION("""COMPUTED_VALUE"""),12574.049)</f>
        <v>12574.049</v>
      </c>
      <c r="Q309" s="13">
        <f>IFERROR(__xludf.DUMMYFUNCTION("""COMPUTED_VALUE"""),28868.6639)</f>
        <v>28868.6639</v>
      </c>
    </row>
    <row r="310">
      <c r="N310" s="13">
        <f>IFERROR(__xludf.DUMMYFUNCTION("""COMPUTED_VALUE"""),44423.803)</f>
        <v>44423.803</v>
      </c>
      <c r="O310" s="13">
        <f>IFERROR(__xludf.DUMMYFUNCTION("""COMPUTED_VALUE"""),13635.6379)</f>
        <v>13635.6379</v>
      </c>
      <c r="P310" s="13">
        <f>IFERROR(__xludf.DUMMYFUNCTION("""COMPUTED_VALUE"""),27941.28758)</f>
        <v>27941.28758</v>
      </c>
      <c r="Q310" s="13">
        <f>IFERROR(__xludf.DUMMYFUNCTION("""COMPUTED_VALUE"""),14119.62)</f>
        <v>14119.62</v>
      </c>
    </row>
    <row r="311">
      <c r="N311" s="13">
        <f>IFERROR(__xludf.DUMMYFUNCTION("""COMPUTED_VALUE"""),10807.4863)</f>
        <v>10807.4863</v>
      </c>
      <c r="O311" s="13">
        <f>IFERROR(__xludf.DUMMYFUNCTION("""COMPUTED_VALUE"""),13143.86485)</f>
        <v>13143.86485</v>
      </c>
      <c r="P311" s="13">
        <f>IFERROR(__xludf.DUMMYFUNCTION("""COMPUTED_VALUE"""),13063.883)</f>
        <v>13063.883</v>
      </c>
      <c r="Q311" s="13">
        <f>IFERROR(__xludf.DUMMYFUNCTION("""COMPUTED_VALUE"""),12950.0712)</f>
        <v>12950.0712</v>
      </c>
    </row>
    <row r="312">
      <c r="N312" s="13">
        <f>IFERROR(__xludf.DUMMYFUNCTION("""COMPUTED_VALUE"""),11090.7178)</f>
        <v>11090.7178</v>
      </c>
      <c r="O312" s="13">
        <f>IFERROR(__xludf.DUMMYFUNCTION("""COMPUTED_VALUE"""),13129.60345)</f>
        <v>13129.60345</v>
      </c>
      <c r="P312" s="13">
        <f>IFERROR(__xludf.DUMMYFUNCTION("""COMPUTED_VALUE"""),13041.921)</f>
        <v>13041.921</v>
      </c>
      <c r="Q312" s="13">
        <f>IFERROR(__xludf.DUMMYFUNCTION("""COMPUTED_VALUE"""),29141.3603)</f>
        <v>29141.3603</v>
      </c>
    </row>
    <row r="313">
      <c r="N313" s="13">
        <f>IFERROR(__xludf.DUMMYFUNCTION("""COMPUTED_VALUE"""),12265.5069)</f>
        <v>12265.5069</v>
      </c>
      <c r="O313" s="13">
        <f>IFERROR(__xludf.DUMMYFUNCTION("""COMPUTED_VALUE"""),13143.33665)</f>
        <v>13143.33665</v>
      </c>
      <c r="P313" s="13">
        <f>IFERROR(__xludf.DUMMYFUNCTION("""COMPUTED_VALUE"""),47403.88)</f>
        <v>47403.88</v>
      </c>
      <c r="Q313" s="13">
        <f>IFERROR(__xludf.DUMMYFUNCTION("""COMPUTED_VALUE"""),15612.19335)</f>
        <v>15612.19335</v>
      </c>
    </row>
    <row r="314">
      <c r="N314" s="13">
        <f>IFERROR(__xludf.DUMMYFUNCTION("""COMPUTED_VALUE"""),12949.1554)</f>
        <v>12949.1554</v>
      </c>
      <c r="O314" s="13">
        <f>IFERROR(__xludf.DUMMYFUNCTION("""COMPUTED_VALUE"""),15230.32405)</f>
        <v>15230.32405</v>
      </c>
      <c r="P314" s="13">
        <f>IFERROR(__xludf.DUMMYFUNCTION("""COMPUTED_VALUE"""),13470.86)</f>
        <v>13470.86</v>
      </c>
      <c r="Q314" s="13">
        <f>IFERROR(__xludf.DUMMYFUNCTION("""COMPUTED_VALUE"""),13937.6665)</f>
        <v>13937.6665</v>
      </c>
    </row>
    <row r="315">
      <c r="N315" s="13">
        <f>IFERROR(__xludf.DUMMYFUNCTION("""COMPUTED_VALUE"""),43813.8661)</f>
        <v>43813.8661</v>
      </c>
      <c r="O315" s="13">
        <f>IFERROR(__xludf.DUMMYFUNCTION("""COMPUTED_VALUE"""),14043.4767)</f>
        <v>14043.4767</v>
      </c>
      <c r="P315" s="13">
        <f>IFERROR(__xludf.DUMMYFUNCTION("""COMPUTED_VALUE"""),12957.118)</f>
        <v>12957.118</v>
      </c>
      <c r="Q315" s="13">
        <f>IFERROR(__xludf.DUMMYFUNCTION("""COMPUTED_VALUE"""),13352.0998)</f>
        <v>13352.0998</v>
      </c>
    </row>
    <row r="316">
      <c r="N316" s="13">
        <f>IFERROR(__xludf.DUMMYFUNCTION("""COMPUTED_VALUE"""),11093.6229)</f>
        <v>11093.6229</v>
      </c>
      <c r="O316" s="13">
        <f>IFERROR(__xludf.DUMMYFUNCTION("""COMPUTED_VALUE"""),31620.00106)</f>
        <v>31620.00106</v>
      </c>
      <c r="P316" s="13">
        <f>IFERROR(__xludf.DUMMYFUNCTION("""COMPUTED_VALUE"""),12979.358)</f>
        <v>12979.358</v>
      </c>
      <c r="Q316" s="13">
        <f>IFERROR(__xludf.DUMMYFUNCTION("""COMPUTED_VALUE"""),15019.76005)</f>
        <v>15019.76005</v>
      </c>
    </row>
    <row r="317">
      <c r="N317" s="13">
        <f>IFERROR(__xludf.DUMMYFUNCTION("""COMPUTED_VALUE"""),10594.2257)</f>
        <v>10594.2257</v>
      </c>
      <c r="O317" s="13">
        <f>IFERROR(__xludf.DUMMYFUNCTION("""COMPUTED_VALUE"""),45710.20785)</f>
        <v>45710.20785</v>
      </c>
      <c r="P317" s="13">
        <f>IFERROR(__xludf.DUMMYFUNCTION("""COMPUTED_VALUE"""),13451.122)</f>
        <v>13451.122</v>
      </c>
      <c r="Q317" s="13">
        <f>IFERROR(__xludf.DUMMYFUNCTION("""COMPUTED_VALUE"""),13844.7972)</f>
        <v>13844.7972</v>
      </c>
    </row>
    <row r="318">
      <c r="N318" s="13">
        <f>IFERROR(__xludf.DUMMYFUNCTION("""COMPUTED_VALUE"""),48675.5177)</f>
        <v>48675.5177</v>
      </c>
      <c r="O318" s="13">
        <f>IFERROR(__xludf.DUMMYFUNCTION("""COMPUTED_VALUE"""),13555.0049)</f>
        <v>13555.0049</v>
      </c>
      <c r="P318" s="13">
        <f>IFERROR(__xludf.DUMMYFUNCTION("""COMPUTED_VALUE"""),13462.52)</f>
        <v>13462.52</v>
      </c>
      <c r="Q318" s="13">
        <f>IFERROR(__xludf.DUMMYFUNCTION("""COMPUTED_VALUE"""),46718.16325)</f>
        <v>46718.16325</v>
      </c>
    </row>
    <row r="319">
      <c r="N319" s="13">
        <f>IFERROR(__xludf.DUMMYFUNCTION("""COMPUTED_VALUE"""),22192.43711)</f>
        <v>22192.43711</v>
      </c>
      <c r="O319" s="13">
        <f>IFERROR(__xludf.DUMMYFUNCTION("""COMPUTED_VALUE"""),28101.33305)</f>
        <v>28101.33305</v>
      </c>
      <c r="P319" s="13">
        <f>IFERROR(__xludf.DUMMYFUNCTION("""COMPUTED_VALUE"""),48824.45)</f>
        <v>48824.45</v>
      </c>
      <c r="Q319" s="13">
        <f>IFERROR(__xludf.DUMMYFUNCTION("""COMPUTED_VALUE"""),13770.0979)</f>
        <v>13770.0979</v>
      </c>
    </row>
    <row r="320">
      <c r="N320" s="13">
        <f>IFERROR(__xludf.DUMMYFUNCTION("""COMPUTED_VALUE"""),27533.9129)</f>
        <v>27533.9129</v>
      </c>
      <c r="O320" s="13">
        <f>IFERROR(__xludf.DUMMYFUNCTION("""COMPUTED_VALUE"""),14451.83515)</f>
        <v>14451.83515</v>
      </c>
      <c r="P320" s="13">
        <f>IFERROR(__xludf.DUMMYFUNCTION("""COMPUTED_VALUE"""),13880.949)</f>
        <v>13880.949</v>
      </c>
      <c r="Q320" s="13">
        <f>IFERROR(__xludf.DUMMYFUNCTION("""COMPUTED_VALUE"""),14256.1928)</f>
        <v>14256.1928</v>
      </c>
    </row>
    <row r="321">
      <c r="N321" s="13">
        <f>IFERROR(__xludf.DUMMYFUNCTION("""COMPUTED_VALUE"""),11554.2236)</f>
        <v>11554.2236</v>
      </c>
      <c r="O321" s="13">
        <f>IFERROR(__xludf.DUMMYFUNCTION("""COMPUTED_VALUE"""),29523.1656)</f>
        <v>29523.1656</v>
      </c>
      <c r="P321" s="13">
        <f>IFERROR(__xludf.DUMMYFUNCTION("""COMPUTED_VALUE"""),47305.305)</f>
        <v>47305.305</v>
      </c>
      <c r="Q321" s="13">
        <f>IFERROR(__xludf.DUMMYFUNCTION("""COMPUTED_VALUE"""),28950.4692)</f>
        <v>28950.4692</v>
      </c>
    </row>
    <row r="322">
      <c r="N322" s="13">
        <f>IFERROR(__xludf.DUMMYFUNCTION("""COMPUTED_VALUE"""),10982.5013)</f>
        <v>10982.5013</v>
      </c>
      <c r="O322" s="13">
        <f>IFERROR(__xludf.DUMMYFUNCTION("""COMPUTED_VALUE"""),13981.85035)</f>
        <v>13981.85035</v>
      </c>
      <c r="P322" s="13">
        <f>IFERROR(__xludf.DUMMYFUNCTION("""COMPUTED_VALUE"""),13390.559)</f>
        <v>13390.559</v>
      </c>
      <c r="Q322" s="13">
        <f>IFERROR(__xludf.DUMMYFUNCTION("""COMPUTED_VALUE"""),15555.18875)</f>
        <v>15555.18875</v>
      </c>
    </row>
    <row r="323">
      <c r="N323" s="13">
        <f>IFERROR(__xludf.DUMMYFUNCTION("""COMPUTED_VALUE"""),12629.1656)</f>
        <v>12629.1656</v>
      </c>
      <c r="O323" s="13">
        <f>IFERROR(__xludf.DUMMYFUNCTION("""COMPUTED_VALUE"""),13974.45555)</f>
        <v>13974.45555</v>
      </c>
      <c r="P323" s="13">
        <f>IFERROR(__xludf.DUMMYFUNCTION("""COMPUTED_VALUE"""),13393.756)</f>
        <v>13393.756</v>
      </c>
      <c r="Q323" s="13">
        <f>IFERROR(__xludf.DUMMYFUNCTION("""COMPUTED_VALUE"""),14349.8544)</f>
        <v>14349.8544</v>
      </c>
    </row>
    <row r="324">
      <c r="N324" s="13">
        <f>IFERROR(__xludf.DUMMYFUNCTION("""COMPUTED_VALUE"""),11946.6259)</f>
        <v>11946.6259</v>
      </c>
      <c r="O324" s="13">
        <f>IFERROR(__xludf.DUMMYFUNCTION("""COMPUTED_VALUE"""),14449.8544)</f>
        <v>14449.8544</v>
      </c>
      <c r="P324" s="13">
        <f>IFERROR(__xludf.DUMMYFUNCTION("""COMPUTED_VALUE"""),15170.069)</f>
        <v>15170.069</v>
      </c>
      <c r="Q324" s="13">
        <f>IFERROR(__xludf.DUMMYFUNCTION("""COMPUTED_VALUE"""),14254.6082)</f>
        <v>14254.6082</v>
      </c>
    </row>
    <row r="325">
      <c r="N325" s="13">
        <f>IFERROR(__xludf.DUMMYFUNCTION("""COMPUTED_VALUE"""),11381.3254)</f>
        <v>11381.3254</v>
      </c>
      <c r="O325" s="13">
        <f>IFERROR(__xludf.DUMMYFUNCTION("""COMPUTED_VALUE"""),14901.5167)</f>
        <v>14901.5167</v>
      </c>
      <c r="P325" s="13">
        <f>IFERROR(__xludf.DUMMYFUNCTION("""COMPUTED_VALUE"""),47291.055)</f>
        <v>47291.055</v>
      </c>
      <c r="Q325" s="13">
        <f>IFERROR(__xludf.DUMMYFUNCTION("""COMPUTED_VALUE"""),30166.61817)</f>
        <v>30166.61817</v>
      </c>
    </row>
    <row r="326">
      <c r="N326" s="13">
        <f>IFERROR(__xludf.DUMMYFUNCTION("""COMPUTED_VALUE"""),24227.33724)</f>
        <v>24227.33724</v>
      </c>
      <c r="O326" s="13">
        <f>IFERROR(__xludf.DUMMYFUNCTION("""COMPUTED_VALUE"""),14410.9321)</f>
        <v>14410.9321</v>
      </c>
      <c r="P326" s="13">
        <f>IFERROR(__xludf.DUMMYFUNCTION("""COMPUTED_VALUE"""),47928.03)</f>
        <v>47928.03</v>
      </c>
      <c r="Q326" s="13">
        <f>IFERROR(__xludf.DUMMYFUNCTION("""COMPUTED_VALUE"""),16455.70785)</f>
        <v>16455.70785</v>
      </c>
    </row>
    <row r="327">
      <c r="N327" s="13">
        <f>IFERROR(__xludf.DUMMYFUNCTION("""COMPUTED_VALUE"""),11856.4115)</f>
        <v>11856.4115</v>
      </c>
      <c r="O327" s="13">
        <f>IFERROR(__xludf.DUMMYFUNCTION("""COMPUTED_VALUE"""),16069.08475)</f>
        <v>16069.08475</v>
      </c>
      <c r="P327" s="13">
        <f>IFERROR(__xludf.DUMMYFUNCTION("""COMPUTED_VALUE"""),13822.803)</f>
        <v>13822.803</v>
      </c>
      <c r="Q327" s="13">
        <f>IFERROR(__xludf.DUMMYFUNCTION("""COMPUTED_VALUE"""),14692.66935)</f>
        <v>14692.66935</v>
      </c>
    </row>
    <row r="328">
      <c r="N328" s="13">
        <f>IFERROR(__xludf.DUMMYFUNCTION("""COMPUTED_VALUE"""),11833.7823)</f>
        <v>11833.7823</v>
      </c>
      <c r="O328" s="13">
        <f>IFERROR(__xludf.DUMMYFUNCTION("""COMPUTED_VALUE"""),14394.5579)</f>
        <v>14394.5579</v>
      </c>
      <c r="P328" s="13">
        <f>IFERROR(__xludf.DUMMYFUNCTION("""COMPUTED_VALUE"""),14988.432)</f>
        <v>14988.432</v>
      </c>
      <c r="Q328" s="13">
        <f>IFERROR(__xludf.DUMMYFUNCTION("""COMPUTED_VALUE"""),14210.53595)</f>
        <v>14210.53595</v>
      </c>
    </row>
    <row r="329">
      <c r="N329" s="13">
        <f>IFERROR(__xludf.DUMMYFUNCTION("""COMPUTED_VALUE"""),11363.2832)</f>
        <v>11363.2832</v>
      </c>
      <c r="O329" s="13"/>
      <c r="P329" s="13">
        <f>IFERROR(__xludf.DUMMYFUNCTION("""COMPUTED_VALUE"""),14319.031)</f>
        <v>14319.031</v>
      </c>
      <c r="Q329" s="13">
        <f>IFERROR(__xludf.DUMMYFUNCTION("""COMPUTED_VALUE"""),29330.98315)</f>
        <v>29330.98315</v>
      </c>
    </row>
    <row r="330">
      <c r="N330" s="13">
        <f>IFERROR(__xludf.DUMMYFUNCTION("""COMPUTED_VALUE"""),14001.1338)</f>
        <v>14001.1338</v>
      </c>
      <c r="O330" s="13"/>
      <c r="P330" s="13"/>
      <c r="Q330" s="13"/>
    </row>
    <row r="331">
      <c r="N331" s="13">
        <f>IFERROR(__xludf.DUMMYFUNCTION("""COMPUTED_VALUE"""),11743.299)</f>
        <v>11743.299</v>
      </c>
      <c r="O331" s="13"/>
      <c r="P331" s="13"/>
      <c r="Q331" s="13"/>
    </row>
    <row r="332">
      <c r="N332" s="13">
        <f>IFERROR(__xludf.DUMMYFUNCTION("""COMPUTED_VALUE"""),14001.2867)</f>
        <v>14001.2867</v>
      </c>
      <c r="O332" s="13"/>
      <c r="P332" s="13"/>
      <c r="Q332" s="13"/>
    </row>
    <row r="333">
      <c r="N333" s="13">
        <f>IFERROR(__xludf.DUMMYFUNCTION("""COMPUTED_VALUE"""),12928.7911)</f>
        <v>12928.7911</v>
      </c>
      <c r="O333" s="13"/>
      <c r="P333" s="13"/>
      <c r="Q333" s="13"/>
    </row>
    <row r="334">
      <c r="N334" s="13">
        <f>IFERROR(__xludf.DUMMYFUNCTION("""COMPUTED_VALUE"""),28287.89766)</f>
        <v>28287.89766</v>
      </c>
      <c r="O334" s="13"/>
      <c r="P334" s="13"/>
      <c r="Q334" s="13"/>
    </row>
    <row r="335">
      <c r="N335" s="13">
        <f>IFERROR(__xludf.DUMMYFUNCTION("""COMPUTED_VALUE"""),12925.886)</f>
        <v>12925.886</v>
      </c>
      <c r="O335" s="13"/>
      <c r="P335" s="13"/>
      <c r="Q335" s="13"/>
    </row>
    <row r="336">
      <c r="N336" s="13">
        <f>IFERROR(__xludf.DUMMYFUNCTION("""COMPUTED_VALUE"""),12244.531)</f>
        <v>12244.531</v>
      </c>
      <c r="O336" s="13"/>
      <c r="P336" s="13"/>
      <c r="Q336" s="13"/>
    </row>
    <row r="337">
      <c r="N337" s="13">
        <f>IFERROR(__xludf.DUMMYFUNCTION("""COMPUTED_VALUE"""),48970.2476)</f>
        <v>48970.2476</v>
      </c>
      <c r="O337" s="13"/>
      <c r="P337" s="13"/>
      <c r="Q337" s="13"/>
    </row>
    <row r="338">
      <c r="N338" s="13">
        <f>IFERROR(__xludf.DUMMYFUNCTION("""COMPUTED_VALUE"""),12629.8967)</f>
        <v>12629.8967</v>
      </c>
      <c r="O338" s="13"/>
      <c r="P338" s="13"/>
      <c r="Q338" s="13"/>
    </row>
    <row r="339">
      <c r="N339" s="13">
        <f>IFERROR(__xludf.DUMMYFUNCTION("""COMPUTED_VALUE"""),12648.7034)</f>
        <v>12648.7034</v>
      </c>
      <c r="O339" s="13"/>
      <c r="P339" s="13"/>
      <c r="Q339" s="13"/>
    </row>
    <row r="340">
      <c r="N340" s="13">
        <f>IFERROR(__xludf.DUMMYFUNCTION("""COMPUTED_VALUE"""),12142.5786)</f>
        <v>12142.5786</v>
      </c>
      <c r="O340" s="13"/>
      <c r="P340" s="13"/>
      <c r="Q340" s="13"/>
    </row>
    <row r="341">
      <c r="N341" s="13">
        <f>IFERROR(__xludf.DUMMYFUNCTION("""COMPUTED_VALUE"""),13919.8229)</f>
        <v>13919.8229</v>
      </c>
      <c r="O341" s="13"/>
      <c r="P341" s="13"/>
      <c r="Q341" s="13"/>
    </row>
    <row r="342">
      <c r="N342" s="13">
        <f>IFERROR(__xludf.DUMMYFUNCTION("""COMPUTED_VALUE"""),45008.9555)</f>
        <v>45008.9555</v>
      </c>
      <c r="O342" s="13"/>
      <c r="P342" s="13"/>
      <c r="Q342" s="13"/>
    </row>
    <row r="343">
      <c r="N343" s="13">
        <f>IFERROR(__xludf.DUMMYFUNCTION("""COMPUTED_VALUE"""),48673.5588)</f>
        <v>48673.5588</v>
      </c>
      <c r="O343" s="13"/>
      <c r="P343" s="13"/>
      <c r="Q343" s="13"/>
    </row>
    <row r="344">
      <c r="N344" s="13">
        <f>IFERROR(__xludf.DUMMYFUNCTION("""COMPUTED_VALUE"""),30942.1918)</f>
        <v>30942.1918</v>
      </c>
      <c r="O344" s="13"/>
      <c r="P344" s="13"/>
      <c r="Q344" s="13"/>
    </row>
    <row r="345">
      <c r="N345" s="13">
        <f>IFERROR(__xludf.DUMMYFUNCTION("""COMPUTED_VALUE"""),12557.6053)</f>
        <v>12557.6053</v>
      </c>
      <c r="O345" s="13"/>
      <c r="P345" s="13"/>
      <c r="Q345" s="13"/>
    </row>
    <row r="346">
      <c r="N346" s="13">
        <f>IFERROR(__xludf.DUMMYFUNCTION("""COMPUTED_VALUE"""),46599.1084)</f>
        <v>46599.1084</v>
      </c>
      <c r="O346" s="13"/>
      <c r="P346" s="13"/>
      <c r="Q346" s="13"/>
    </row>
    <row r="347">
      <c r="N347" s="13">
        <f>IFERROR(__xludf.DUMMYFUNCTION("""COMPUTED_VALUE"""),24513.09126)</f>
        <v>24513.09126</v>
      </c>
      <c r="O347" s="13"/>
      <c r="P347" s="13"/>
      <c r="Q347" s="13"/>
    </row>
    <row r="348">
      <c r="N348" s="13">
        <f>IFERROR(__xludf.DUMMYFUNCTION("""COMPUTED_VALUE"""),36580.28216)</f>
        <v>36580.28216</v>
      </c>
      <c r="O348" s="13"/>
      <c r="P348" s="13"/>
      <c r="Q348" s="13"/>
    </row>
    <row r="349">
      <c r="N349" s="13">
        <f>IFERROR(__xludf.DUMMYFUNCTION("""COMPUTED_VALUE"""),27808.7251)</f>
        <v>27808.7251</v>
      </c>
      <c r="O349" s="13"/>
      <c r="P349" s="13"/>
      <c r="Q349" s="13"/>
    </row>
    <row r="350">
      <c r="N350" s="13">
        <f>IFERROR(__xludf.DUMMYFUNCTION("""COMPUTED_VALUE"""),27000.98473)</f>
        <v>27000.98473</v>
      </c>
      <c r="O350" s="13"/>
      <c r="P350" s="13"/>
      <c r="Q350" s="13"/>
    </row>
    <row r="351">
      <c r="N351" s="13">
        <f>IFERROR(__xludf.DUMMYFUNCTION("""COMPUTED_VALUE"""),13457.9608)</f>
        <v>13457.9608</v>
      </c>
      <c r="O351" s="13"/>
      <c r="P351" s="13"/>
      <c r="Q351" s="13"/>
    </row>
    <row r="352">
      <c r="N352" s="13">
        <f>IFERROR(__xludf.DUMMYFUNCTION("""COMPUTED_VALUE"""),13470.8044)</f>
        <v>13470.8044</v>
      </c>
      <c r="O352" s="13"/>
      <c r="P352" s="13"/>
      <c r="Q352" s="13"/>
    </row>
    <row r="353">
      <c r="N353" s="13">
        <f>IFERROR(__xludf.DUMMYFUNCTION("""COMPUTED_VALUE"""),12982.8747)</f>
        <v>12982.8747</v>
      </c>
      <c r="O353" s="13"/>
      <c r="P353" s="13"/>
      <c r="Q353" s="13"/>
    </row>
    <row r="354">
      <c r="N354" s="13">
        <f>IFERROR(__xludf.DUMMYFUNCTION("""COMPUTED_VALUE"""),12981.3457)</f>
        <v>12981.3457</v>
      </c>
      <c r="O354" s="13"/>
      <c r="P354" s="13"/>
      <c r="Q354" s="13"/>
    </row>
    <row r="355">
      <c r="N355" s="13">
        <f>IFERROR(__xludf.DUMMYFUNCTION("""COMPUTED_VALUE"""),47055.5321)</f>
        <v>47055.5321</v>
      </c>
      <c r="O355" s="13"/>
      <c r="P355" s="13"/>
      <c r="Q355" s="13"/>
    </row>
    <row r="356">
      <c r="N356" s="13">
        <f>IFERROR(__xludf.DUMMYFUNCTION("""COMPUTED_VALUE"""),13405.3903)</f>
        <v>13405.3903</v>
      </c>
      <c r="O356" s="13"/>
      <c r="P356" s="13"/>
      <c r="Q356" s="13"/>
    </row>
    <row r="357">
      <c r="N357" s="13">
        <f>IFERROR(__xludf.DUMMYFUNCTION("""COMPUTED_VALUE"""),13887.204)</f>
        <v>13887.204</v>
      </c>
      <c r="O357" s="13"/>
      <c r="P357" s="13"/>
      <c r="Q357" s="13"/>
    </row>
    <row r="358">
      <c r="N358" s="13">
        <f>IFERROR(__xludf.DUMMYFUNCTION("""COMPUTED_VALUE"""),14474.675)</f>
        <v>14474.675</v>
      </c>
      <c r="O358" s="13"/>
      <c r="P358" s="13"/>
      <c r="Q358" s="13"/>
    </row>
    <row r="359">
      <c r="N359" s="13">
        <f>IFERROR(__xludf.DUMMYFUNCTION("""COMPUTED_VALUE"""),13887.9685)</f>
        <v>13887.9685</v>
      </c>
      <c r="O359" s="13"/>
      <c r="P359" s="13"/>
      <c r="Q359" s="13"/>
    </row>
    <row r="360">
      <c r="N360" s="13">
        <f>IFERROR(__xludf.DUMMYFUNCTION("""COMPUTED_VALUE"""),15161.5344)</f>
        <v>15161.5344</v>
      </c>
      <c r="O360" s="13"/>
      <c r="P360" s="13"/>
      <c r="Q360" s="13"/>
    </row>
    <row r="361">
      <c r="N361" s="13">
        <f>IFERROR(__xludf.DUMMYFUNCTION("""COMPUTED_VALUE"""),14418.2804)</f>
        <v>14418.2804</v>
      </c>
      <c r="O361" s="13"/>
      <c r="P361" s="13"/>
      <c r="Q361" s="13"/>
    </row>
    <row r="362">
      <c r="N362" s="13">
        <f>IFERROR(__xludf.DUMMYFUNCTION("""COMPUTED_VALUE"""),46889.2612)</f>
        <v>46889.2612</v>
      </c>
      <c r="O362" s="13"/>
      <c r="P362" s="13"/>
      <c r="Q362" s="13"/>
    </row>
    <row r="363">
      <c r="N363" s="13">
        <f>IFERROR(__xludf.DUMMYFUNCTION("""COMPUTED_VALUE"""),13831.1152)</f>
        <v>13831.1152</v>
      </c>
      <c r="O363" s="13"/>
      <c r="P363" s="13"/>
      <c r="Q363" s="13"/>
    </row>
    <row r="364">
      <c r="N364" s="13">
        <f>IFERROR(__xludf.DUMMYFUNCTION("""COMPUTED_VALUE"""),16085.1275)</f>
        <v>16085.1275</v>
      </c>
      <c r="O364" s="13"/>
      <c r="P364" s="13"/>
      <c r="Q364" s="13"/>
    </row>
    <row r="365">
      <c r="N365" s="13">
        <f>IFERROR(__xludf.DUMMYFUNCTION("""COMPUTED_VALUE"""),27037.9141)</f>
        <v>27037.9141</v>
      </c>
      <c r="O365" s="13"/>
      <c r="P365" s="13"/>
      <c r="Q365" s="13"/>
    </row>
    <row r="366">
      <c r="N366" s="13">
        <f>IFERROR(__xludf.DUMMYFUNCTION("""COMPUTED_VALUE"""),14313.8463)</f>
        <v>14313.8463</v>
      </c>
      <c r="O366" s="13"/>
      <c r="P366" s="13"/>
      <c r="Q366" s="13"/>
    </row>
    <row r="367">
      <c r="N367" s="13">
        <f>IFERROR(__xludf.DUMMYFUNCTION("""COMPUTED_VALUE"""),49577.6624)</f>
        <v>49577.6624</v>
      </c>
      <c r="O367" s="13"/>
      <c r="P367" s="13"/>
      <c r="Q367" s="13"/>
    </row>
    <row r="368">
      <c r="N368" s="13">
        <f>IFERROR(__xludf.DUMMYFUNCTION("""COMPUTED_VALUE"""),26926.5144)</f>
        <v>26926.5144</v>
      </c>
      <c r="O368" s="13"/>
      <c r="P368" s="13"/>
      <c r="Q368" s="13"/>
    </row>
    <row r="369">
      <c r="N369" s="13"/>
      <c r="O369" s="13"/>
      <c r="P369" s="13"/>
      <c r="Q369" s="13"/>
    </row>
    <row r="370">
      <c r="N370" s="13"/>
      <c r="O370" s="13"/>
      <c r="P370" s="13"/>
      <c r="Q370" s="13"/>
    </row>
    <row r="371">
      <c r="N371" s="13"/>
      <c r="O371" s="13"/>
      <c r="P371" s="13"/>
      <c r="Q371" s="13"/>
    </row>
    <row r="372">
      <c r="N372" s="13"/>
      <c r="O372" s="13"/>
      <c r="P372" s="13"/>
      <c r="Q372" s="13"/>
    </row>
    <row r="373">
      <c r="N373" s="13"/>
      <c r="O373" s="13"/>
      <c r="P373" s="13"/>
      <c r="Q373" s="13"/>
    </row>
    <row r="374">
      <c r="N374" s="13"/>
      <c r="O374" s="13"/>
      <c r="P374" s="13"/>
      <c r="Q374" s="13"/>
    </row>
    <row r="375">
      <c r="N375" s="13"/>
      <c r="O375" s="13"/>
      <c r="P375" s="13"/>
      <c r="Q375" s="13"/>
    </row>
    <row r="376">
      <c r="N376" s="13"/>
      <c r="O376" s="13"/>
      <c r="P376" s="13"/>
      <c r="Q376" s="13"/>
    </row>
    <row r="377">
      <c r="N377" s="13"/>
      <c r="O377" s="13"/>
      <c r="P377" s="13"/>
      <c r="Q377" s="13"/>
    </row>
    <row r="378">
      <c r="N378" s="13"/>
      <c r="O378" s="13"/>
      <c r="P378" s="13"/>
      <c r="Q378" s="13"/>
    </row>
    <row r="379">
      <c r="N379" s="13"/>
      <c r="O379" s="13"/>
      <c r="P379" s="13"/>
      <c r="Q379" s="13"/>
    </row>
    <row r="380">
      <c r="N380" s="13"/>
      <c r="O380" s="13"/>
      <c r="P380" s="13"/>
      <c r="Q380" s="13"/>
    </row>
    <row r="381">
      <c r="N381" s="13"/>
      <c r="O381" s="13"/>
      <c r="P381" s="13"/>
      <c r="Q381" s="13"/>
    </row>
    <row r="382">
      <c r="N382" s="13"/>
      <c r="O382" s="13"/>
      <c r="P382" s="13"/>
      <c r="Q382" s="13"/>
    </row>
    <row r="383">
      <c r="N383" s="13"/>
      <c r="O383" s="13"/>
      <c r="P383" s="13"/>
      <c r="Q383" s="13"/>
    </row>
    <row r="384">
      <c r="N384" s="13"/>
      <c r="O384" s="13"/>
      <c r="P384" s="13"/>
      <c r="Q384" s="13"/>
    </row>
    <row r="385">
      <c r="N385" s="13"/>
      <c r="O385" s="13"/>
      <c r="P385" s="13"/>
      <c r="Q385" s="13"/>
    </row>
    <row r="386">
      <c r="N386" s="13"/>
      <c r="O386" s="13"/>
      <c r="P386" s="13"/>
      <c r="Q386" s="13"/>
    </row>
    <row r="387">
      <c r="N387" s="13"/>
      <c r="O387" s="13"/>
      <c r="P387" s="13"/>
      <c r="Q387" s="13"/>
    </row>
    <row r="388">
      <c r="N388" s="13"/>
      <c r="O388" s="13"/>
      <c r="P388" s="13"/>
      <c r="Q388" s="13"/>
    </row>
    <row r="389">
      <c r="N389" s="13"/>
      <c r="O389" s="13"/>
      <c r="P389" s="13"/>
      <c r="Q389" s="13"/>
    </row>
    <row r="390">
      <c r="N390" s="13"/>
      <c r="O390" s="13"/>
      <c r="P390" s="13"/>
      <c r="Q390" s="13"/>
    </row>
    <row r="391">
      <c r="N391" s="13"/>
      <c r="O391" s="13"/>
      <c r="P391" s="13"/>
      <c r="Q391" s="13"/>
    </row>
    <row r="392">
      <c r="N392" s="13"/>
      <c r="O392" s="13"/>
      <c r="P392" s="13"/>
      <c r="Q392" s="13"/>
    </row>
    <row r="393">
      <c r="N393" s="13"/>
      <c r="O393" s="13"/>
      <c r="P393" s="13"/>
      <c r="Q393" s="13"/>
    </row>
    <row r="394">
      <c r="N394" s="13"/>
      <c r="O394" s="13"/>
      <c r="P394" s="13"/>
      <c r="Q394" s="13"/>
    </row>
    <row r="395">
      <c r="N395" s="13"/>
      <c r="O395" s="13"/>
      <c r="P395" s="13"/>
      <c r="Q395" s="13"/>
    </row>
    <row r="396">
      <c r="N396" s="13"/>
      <c r="O396" s="13"/>
      <c r="P396" s="13"/>
      <c r="Q396" s="13"/>
    </row>
    <row r="397">
      <c r="N397" s="13"/>
      <c r="O397" s="13"/>
      <c r="P397" s="13"/>
      <c r="Q397" s="13"/>
    </row>
    <row r="398">
      <c r="N398" s="13"/>
      <c r="O398" s="13"/>
      <c r="P398" s="13"/>
      <c r="Q398" s="13"/>
    </row>
    <row r="399">
      <c r="N399" s="13"/>
      <c r="O399" s="13"/>
      <c r="P399" s="13"/>
      <c r="Q399" s="13"/>
    </row>
    <row r="400">
      <c r="N400" s="13"/>
      <c r="O400" s="13"/>
      <c r="P400" s="13"/>
      <c r="Q400" s="13"/>
    </row>
    <row r="401">
      <c r="N401" s="13"/>
      <c r="O401" s="13"/>
      <c r="P401" s="13"/>
      <c r="Q401" s="13"/>
    </row>
    <row r="402">
      <c r="N402" s="13"/>
      <c r="O402" s="13"/>
      <c r="P402" s="13"/>
      <c r="Q402" s="13"/>
    </row>
    <row r="403">
      <c r="N403" s="13"/>
      <c r="O403" s="13"/>
      <c r="P403" s="13"/>
      <c r="Q403" s="13"/>
    </row>
    <row r="404">
      <c r="N404" s="13"/>
      <c r="O404" s="13"/>
      <c r="P404" s="13"/>
      <c r="Q404" s="13"/>
    </row>
    <row r="405">
      <c r="N405" s="13"/>
      <c r="O405" s="13"/>
      <c r="P405" s="13"/>
      <c r="Q405" s="13"/>
    </row>
    <row r="406">
      <c r="N406" s="13"/>
      <c r="O406" s="13"/>
      <c r="P406" s="13"/>
      <c r="Q406" s="13"/>
    </row>
    <row r="407">
      <c r="N407" s="13"/>
      <c r="O407" s="13"/>
      <c r="P407" s="13"/>
      <c r="Q407" s="13"/>
    </row>
    <row r="408">
      <c r="N408" s="13"/>
      <c r="O408" s="13"/>
      <c r="P408" s="13"/>
      <c r="Q408" s="13"/>
    </row>
    <row r="409">
      <c r="N409" s="13"/>
      <c r="O409" s="13"/>
      <c r="P409" s="13"/>
      <c r="Q409" s="13"/>
    </row>
    <row r="410">
      <c r="N410" s="13"/>
      <c r="O410" s="13"/>
      <c r="P410" s="13"/>
      <c r="Q410" s="13"/>
    </row>
    <row r="411">
      <c r="N411" s="13"/>
      <c r="O411" s="13"/>
      <c r="P411" s="13"/>
      <c r="Q411" s="13"/>
    </row>
    <row r="412">
      <c r="N412" s="13"/>
      <c r="O412" s="13"/>
      <c r="P412" s="13"/>
      <c r="Q412" s="13"/>
    </row>
    <row r="413">
      <c r="N413" s="13"/>
      <c r="O413" s="13"/>
      <c r="P413" s="13"/>
      <c r="Q413" s="13"/>
    </row>
    <row r="414">
      <c r="N414" s="13"/>
      <c r="O414" s="13"/>
      <c r="P414" s="13"/>
      <c r="Q414" s="13"/>
    </row>
    <row r="415">
      <c r="N415" s="13"/>
      <c r="O415" s="13"/>
      <c r="P415" s="13"/>
      <c r="Q415" s="13"/>
    </row>
    <row r="416">
      <c r="N416" s="13"/>
      <c r="O416" s="13"/>
      <c r="P416" s="13"/>
      <c r="Q416" s="13"/>
    </row>
    <row r="417">
      <c r="N417" s="13"/>
      <c r="O417" s="13"/>
      <c r="P417" s="13"/>
      <c r="Q417" s="13"/>
    </row>
    <row r="418">
      <c r="N418" s="13"/>
      <c r="O418" s="13"/>
      <c r="P418" s="13"/>
      <c r="Q418" s="13"/>
    </row>
    <row r="419">
      <c r="N419" s="13"/>
      <c r="O419" s="13"/>
      <c r="P419" s="13"/>
      <c r="Q419" s="13"/>
    </row>
    <row r="420">
      <c r="N420" s="13"/>
      <c r="O420" s="13"/>
      <c r="P420" s="13"/>
      <c r="Q420" s="13"/>
    </row>
    <row r="421">
      <c r="N421" s="13"/>
      <c r="O421" s="13"/>
      <c r="P421" s="13"/>
      <c r="Q421" s="13"/>
    </row>
    <row r="422">
      <c r="N422" s="13"/>
      <c r="O422" s="13"/>
      <c r="P422" s="13"/>
      <c r="Q422" s="13"/>
    </row>
    <row r="423">
      <c r="N423" s="13"/>
      <c r="O423" s="13"/>
      <c r="P423" s="13"/>
      <c r="Q423" s="13"/>
    </row>
    <row r="424">
      <c r="N424" s="13"/>
      <c r="O424" s="13"/>
      <c r="P424" s="13"/>
      <c r="Q424" s="13"/>
    </row>
    <row r="425">
      <c r="N425" s="13"/>
      <c r="O425" s="13"/>
      <c r="P425" s="13"/>
      <c r="Q425" s="13"/>
    </row>
    <row r="426">
      <c r="N426" s="13"/>
      <c r="O426" s="13"/>
      <c r="P426" s="13"/>
      <c r="Q426" s="13"/>
    </row>
    <row r="427">
      <c r="N427" s="13"/>
      <c r="O427" s="13"/>
      <c r="P427" s="13"/>
      <c r="Q427" s="13"/>
    </row>
    <row r="428">
      <c r="N428" s="13"/>
      <c r="O428" s="13"/>
      <c r="P428" s="13"/>
      <c r="Q428" s="13"/>
    </row>
    <row r="429">
      <c r="N429" s="13"/>
      <c r="O429" s="13"/>
      <c r="P429" s="13"/>
      <c r="Q429" s="13"/>
    </row>
    <row r="430">
      <c r="N430" s="13"/>
      <c r="O430" s="13"/>
      <c r="P430" s="13"/>
      <c r="Q430" s="13"/>
    </row>
    <row r="431">
      <c r="N431" s="13"/>
      <c r="O431" s="13"/>
      <c r="P431" s="13"/>
      <c r="Q431" s="13"/>
    </row>
    <row r="432">
      <c r="N432" s="13"/>
      <c r="O432" s="13"/>
      <c r="P432" s="13"/>
      <c r="Q432" s="13"/>
    </row>
    <row r="433">
      <c r="N433" s="13"/>
      <c r="O433" s="13"/>
      <c r="P433" s="13"/>
      <c r="Q433" s="13"/>
    </row>
    <row r="434">
      <c r="N434" s="13"/>
      <c r="O434" s="13"/>
      <c r="P434" s="13"/>
      <c r="Q434" s="13"/>
    </row>
    <row r="435">
      <c r="N435" s="13"/>
      <c r="O435" s="13"/>
      <c r="P435" s="13"/>
      <c r="Q435" s="13"/>
    </row>
    <row r="436">
      <c r="N436" s="13"/>
      <c r="O436" s="13"/>
      <c r="P436" s="13"/>
      <c r="Q436" s="13"/>
    </row>
    <row r="437">
      <c r="N437" s="13"/>
      <c r="O437" s="13"/>
      <c r="P437" s="13"/>
      <c r="Q437" s="13"/>
    </row>
    <row r="438">
      <c r="N438" s="13"/>
      <c r="O438" s="13"/>
      <c r="P438" s="13"/>
      <c r="Q438" s="13"/>
    </row>
    <row r="439">
      <c r="N439" s="13"/>
      <c r="O439" s="13"/>
      <c r="P439" s="13"/>
      <c r="Q439" s="13"/>
    </row>
    <row r="440">
      <c r="N440" s="13"/>
      <c r="O440" s="13"/>
      <c r="P440" s="13"/>
      <c r="Q440" s="13"/>
    </row>
    <row r="441">
      <c r="N441" s="13"/>
      <c r="O441" s="13"/>
      <c r="P441" s="13"/>
      <c r="Q441" s="13"/>
    </row>
    <row r="442">
      <c r="N442" s="13"/>
      <c r="O442" s="13"/>
      <c r="P442" s="13"/>
      <c r="Q442" s="13"/>
    </row>
    <row r="443">
      <c r="N443" s="13"/>
      <c r="O443" s="13"/>
      <c r="P443" s="13"/>
      <c r="Q443" s="13"/>
    </row>
    <row r="444">
      <c r="N444" s="13"/>
      <c r="O444" s="13"/>
      <c r="P444" s="13"/>
      <c r="Q444" s="13"/>
    </row>
    <row r="445">
      <c r="N445" s="13"/>
      <c r="O445" s="13"/>
      <c r="P445" s="13"/>
      <c r="Q445" s="13"/>
    </row>
    <row r="446">
      <c r="N446" s="13"/>
      <c r="O446" s="13"/>
      <c r="P446" s="13"/>
      <c r="Q446" s="13"/>
    </row>
    <row r="447">
      <c r="N447" s="13"/>
      <c r="O447" s="13"/>
      <c r="P447" s="13"/>
      <c r="Q447" s="13"/>
    </row>
    <row r="448">
      <c r="N448" s="13"/>
      <c r="O448" s="13"/>
      <c r="P448" s="13"/>
      <c r="Q448" s="13"/>
    </row>
    <row r="449">
      <c r="N449" s="13"/>
      <c r="O449" s="13"/>
      <c r="P449" s="13"/>
      <c r="Q449" s="13"/>
    </row>
    <row r="450">
      <c r="N450" s="13"/>
      <c r="O450" s="13"/>
      <c r="P450" s="13"/>
      <c r="Q450" s="13"/>
    </row>
    <row r="451">
      <c r="N451" s="13"/>
      <c r="O451" s="13"/>
      <c r="P451" s="13"/>
      <c r="Q451" s="13"/>
    </row>
    <row r="452">
      <c r="N452" s="13"/>
      <c r="O452" s="13"/>
      <c r="P452" s="13"/>
      <c r="Q452" s="13"/>
    </row>
    <row r="453">
      <c r="N453" s="13"/>
      <c r="O453" s="13"/>
      <c r="P453" s="13"/>
      <c r="Q453" s="13"/>
    </row>
    <row r="454">
      <c r="N454" s="13"/>
      <c r="O454" s="13"/>
      <c r="P454" s="13"/>
      <c r="Q454" s="13"/>
    </row>
    <row r="455">
      <c r="N455" s="13"/>
      <c r="O455" s="13"/>
      <c r="P455" s="13"/>
      <c r="Q455" s="13"/>
    </row>
    <row r="456">
      <c r="N456" s="13"/>
      <c r="O456" s="13"/>
      <c r="P456" s="13"/>
      <c r="Q456" s="13"/>
    </row>
    <row r="457">
      <c r="N457" s="13"/>
      <c r="O457" s="13"/>
      <c r="P457" s="13"/>
      <c r="Q457" s="13"/>
    </row>
    <row r="458">
      <c r="N458" s="13"/>
      <c r="O458" s="13"/>
      <c r="P458" s="13"/>
      <c r="Q458" s="13"/>
    </row>
    <row r="459">
      <c r="N459" s="13"/>
      <c r="O459" s="13"/>
      <c r="P459" s="13"/>
      <c r="Q459" s="13"/>
    </row>
    <row r="460">
      <c r="N460" s="13"/>
      <c r="O460" s="13"/>
      <c r="P460" s="13"/>
      <c r="Q460" s="13"/>
    </row>
    <row r="461">
      <c r="N461" s="13"/>
      <c r="O461" s="13"/>
      <c r="P461" s="13"/>
      <c r="Q461" s="13"/>
    </row>
    <row r="462">
      <c r="N462" s="13"/>
      <c r="O462" s="13"/>
      <c r="P462" s="13"/>
      <c r="Q462" s="13"/>
    </row>
    <row r="463">
      <c r="N463" s="13"/>
      <c r="O463" s="13"/>
      <c r="P463" s="13"/>
      <c r="Q463" s="13"/>
    </row>
    <row r="464">
      <c r="N464" s="13"/>
      <c r="O464" s="13"/>
      <c r="P464" s="13"/>
      <c r="Q464" s="13"/>
    </row>
    <row r="465">
      <c r="N465" s="13"/>
      <c r="O465" s="13"/>
      <c r="P465" s="13"/>
      <c r="Q465" s="13"/>
    </row>
    <row r="466">
      <c r="N466" s="13"/>
      <c r="O466" s="13"/>
      <c r="P466" s="13"/>
      <c r="Q466" s="13"/>
    </row>
    <row r="467">
      <c r="N467" s="13"/>
      <c r="O467" s="13"/>
      <c r="P467" s="13"/>
      <c r="Q467" s="13"/>
    </row>
    <row r="468">
      <c r="N468" s="13"/>
      <c r="O468" s="13"/>
      <c r="P468" s="13"/>
      <c r="Q468" s="13"/>
    </row>
    <row r="469">
      <c r="N469" s="13"/>
      <c r="O469" s="13"/>
      <c r="P469" s="13"/>
      <c r="Q469" s="13"/>
    </row>
    <row r="470">
      <c r="N470" s="13"/>
      <c r="O470" s="13"/>
      <c r="P470" s="13"/>
      <c r="Q470" s="13"/>
    </row>
    <row r="471">
      <c r="N471" s="13"/>
      <c r="O471" s="13"/>
      <c r="P471" s="13"/>
      <c r="Q471" s="13"/>
    </row>
    <row r="472">
      <c r="N472" s="13"/>
      <c r="O472" s="13"/>
      <c r="P472" s="13"/>
      <c r="Q472" s="13"/>
    </row>
    <row r="473">
      <c r="N473" s="13"/>
      <c r="O473" s="13"/>
      <c r="P473" s="13"/>
      <c r="Q473" s="13"/>
    </row>
    <row r="474">
      <c r="N474" s="13"/>
      <c r="O474" s="13"/>
      <c r="P474" s="13"/>
      <c r="Q474" s="13"/>
    </row>
    <row r="475">
      <c r="N475" s="13"/>
      <c r="O475" s="13"/>
      <c r="P475" s="13"/>
      <c r="Q475" s="13"/>
    </row>
    <row r="476">
      <c r="N476" s="13"/>
      <c r="O476" s="13"/>
      <c r="P476" s="13"/>
      <c r="Q476" s="13"/>
    </row>
    <row r="477">
      <c r="N477" s="13"/>
      <c r="O477" s="13"/>
      <c r="P477" s="13"/>
      <c r="Q477" s="13"/>
    </row>
    <row r="478">
      <c r="N478" s="13"/>
      <c r="O478" s="13"/>
      <c r="P478" s="13"/>
      <c r="Q478" s="13"/>
    </row>
    <row r="479">
      <c r="N479" s="13"/>
      <c r="O479" s="13"/>
      <c r="P479" s="13"/>
      <c r="Q479" s="13"/>
    </row>
    <row r="480">
      <c r="N480" s="13"/>
      <c r="O480" s="13"/>
      <c r="P480" s="13"/>
      <c r="Q480" s="13"/>
    </row>
    <row r="481">
      <c r="N481" s="13"/>
      <c r="O481" s="13"/>
      <c r="P481" s="13"/>
      <c r="Q481" s="13"/>
    </row>
    <row r="482">
      <c r="N482" s="13"/>
      <c r="O482" s="13"/>
      <c r="P482" s="13"/>
      <c r="Q482" s="13"/>
    </row>
    <row r="483">
      <c r="N483" s="13"/>
      <c r="O483" s="13"/>
      <c r="P483" s="13"/>
      <c r="Q483" s="13"/>
    </row>
    <row r="484">
      <c r="N484" s="13"/>
      <c r="O484" s="13"/>
      <c r="P484" s="13"/>
      <c r="Q484" s="13"/>
    </row>
    <row r="485">
      <c r="N485" s="13"/>
      <c r="O485" s="13"/>
      <c r="P485" s="13"/>
      <c r="Q485" s="13"/>
    </row>
    <row r="486">
      <c r="N486" s="13"/>
      <c r="O486" s="13"/>
      <c r="P486" s="13"/>
      <c r="Q486" s="13"/>
    </row>
    <row r="487">
      <c r="N487" s="13"/>
      <c r="O487" s="13"/>
      <c r="P487" s="13"/>
      <c r="Q487" s="13"/>
    </row>
    <row r="488">
      <c r="N488" s="13"/>
      <c r="O488" s="13"/>
      <c r="P488" s="13"/>
      <c r="Q488" s="13"/>
    </row>
    <row r="489">
      <c r="N489" s="13"/>
      <c r="O489" s="13"/>
      <c r="P489" s="13"/>
      <c r="Q489" s="13"/>
    </row>
    <row r="490">
      <c r="N490" s="13"/>
      <c r="O490" s="13"/>
      <c r="P490" s="13"/>
      <c r="Q490" s="13"/>
    </row>
    <row r="491">
      <c r="N491" s="13"/>
      <c r="O491" s="13"/>
      <c r="P491" s="13"/>
      <c r="Q491" s="13"/>
    </row>
    <row r="492">
      <c r="N492" s="13"/>
      <c r="O492" s="13"/>
      <c r="P492" s="13"/>
      <c r="Q492" s="13"/>
    </row>
    <row r="493">
      <c r="N493" s="13"/>
      <c r="O493" s="13"/>
      <c r="P493" s="13"/>
      <c r="Q493" s="13"/>
    </row>
    <row r="494">
      <c r="N494" s="13"/>
      <c r="O494" s="13"/>
      <c r="P494" s="13"/>
      <c r="Q494" s="13"/>
    </row>
    <row r="495">
      <c r="N495" s="13"/>
      <c r="O495" s="13"/>
      <c r="P495" s="13"/>
      <c r="Q495" s="13"/>
    </row>
    <row r="496">
      <c r="N496" s="13"/>
      <c r="O496" s="13"/>
      <c r="P496" s="13"/>
      <c r="Q496" s="13"/>
    </row>
    <row r="497">
      <c r="N497" s="13"/>
      <c r="O497" s="13"/>
      <c r="P497" s="13"/>
      <c r="Q497" s="13"/>
    </row>
    <row r="498">
      <c r="N498" s="13"/>
      <c r="O498" s="13"/>
      <c r="P498" s="13"/>
      <c r="Q498" s="13"/>
    </row>
    <row r="499">
      <c r="N499" s="13"/>
      <c r="O499" s="13"/>
      <c r="P499" s="13"/>
      <c r="Q499" s="13"/>
    </row>
    <row r="500">
      <c r="N500" s="13"/>
      <c r="O500" s="13"/>
      <c r="P500" s="13"/>
      <c r="Q500" s="13"/>
    </row>
    <row r="501">
      <c r="N501" s="13"/>
      <c r="O501" s="13"/>
      <c r="P501" s="13"/>
      <c r="Q501" s="13"/>
    </row>
    <row r="502">
      <c r="N502" s="13"/>
      <c r="O502" s="13"/>
      <c r="P502" s="13"/>
      <c r="Q502" s="13"/>
    </row>
    <row r="503">
      <c r="N503" s="13"/>
      <c r="O503" s="13"/>
      <c r="P503" s="13"/>
      <c r="Q503" s="13"/>
    </row>
    <row r="504">
      <c r="N504" s="13"/>
      <c r="O504" s="13"/>
      <c r="P504" s="13"/>
      <c r="Q504" s="13"/>
    </row>
    <row r="505">
      <c r="N505" s="13"/>
      <c r="O505" s="13"/>
      <c r="P505" s="13"/>
      <c r="Q505" s="13"/>
    </row>
    <row r="506">
      <c r="N506" s="13"/>
      <c r="O506" s="13"/>
      <c r="P506" s="13"/>
      <c r="Q506" s="13"/>
    </row>
    <row r="507">
      <c r="N507" s="13"/>
      <c r="O507" s="13"/>
      <c r="P507" s="13"/>
      <c r="Q507" s="13"/>
    </row>
    <row r="508">
      <c r="N508" s="13"/>
      <c r="O508" s="13"/>
      <c r="P508" s="13"/>
      <c r="Q508" s="13"/>
    </row>
    <row r="509">
      <c r="N509" s="13"/>
      <c r="O509" s="13"/>
      <c r="P509" s="13"/>
      <c r="Q509" s="13"/>
    </row>
    <row r="510">
      <c r="N510" s="13"/>
      <c r="O510" s="13"/>
      <c r="P510" s="13"/>
      <c r="Q510" s="13"/>
    </row>
    <row r="511">
      <c r="N511" s="13"/>
      <c r="O511" s="13"/>
      <c r="P511" s="13"/>
      <c r="Q511" s="13"/>
    </row>
    <row r="512">
      <c r="N512" s="13"/>
      <c r="O512" s="13"/>
      <c r="P512" s="13"/>
      <c r="Q512" s="13"/>
    </row>
    <row r="513">
      <c r="N513" s="13"/>
      <c r="O513" s="13"/>
      <c r="P513" s="13"/>
      <c r="Q513" s="13"/>
    </row>
    <row r="514">
      <c r="N514" s="13"/>
      <c r="O514" s="13"/>
      <c r="P514" s="13"/>
      <c r="Q514" s="13"/>
    </row>
    <row r="515">
      <c r="N515" s="13"/>
      <c r="O515" s="13"/>
      <c r="P515" s="13"/>
      <c r="Q515" s="13"/>
    </row>
    <row r="516">
      <c r="N516" s="13"/>
      <c r="O516" s="13"/>
      <c r="P516" s="13"/>
      <c r="Q516" s="13"/>
    </row>
    <row r="517">
      <c r="N517" s="13"/>
      <c r="O517" s="13"/>
      <c r="P517" s="13"/>
      <c r="Q517" s="13"/>
    </row>
    <row r="518">
      <c r="N518" s="13"/>
      <c r="O518" s="13"/>
      <c r="P518" s="13"/>
      <c r="Q518" s="13"/>
    </row>
    <row r="519">
      <c r="N519" s="13"/>
      <c r="O519" s="13"/>
      <c r="P519" s="13"/>
      <c r="Q519" s="13"/>
    </row>
    <row r="520">
      <c r="N520" s="13"/>
      <c r="O520" s="13"/>
      <c r="P520" s="13"/>
      <c r="Q520" s="13"/>
    </row>
    <row r="521">
      <c r="N521" s="13"/>
      <c r="O521" s="13"/>
      <c r="P521" s="13"/>
      <c r="Q521" s="13"/>
    </row>
    <row r="522">
      <c r="N522" s="13"/>
      <c r="O522" s="13"/>
      <c r="P522" s="13"/>
      <c r="Q522" s="13"/>
    </row>
    <row r="523">
      <c r="N523" s="13"/>
      <c r="O523" s="13"/>
      <c r="P523" s="13"/>
      <c r="Q523" s="13"/>
    </row>
    <row r="524">
      <c r="N524" s="13"/>
      <c r="O524" s="13"/>
      <c r="P524" s="13"/>
      <c r="Q524" s="13"/>
    </row>
    <row r="525">
      <c r="N525" s="13"/>
      <c r="O525" s="13"/>
      <c r="P525" s="13"/>
      <c r="Q525" s="13"/>
    </row>
    <row r="526">
      <c r="N526" s="13"/>
      <c r="O526" s="13"/>
      <c r="P526" s="13"/>
      <c r="Q526" s="13"/>
    </row>
    <row r="527">
      <c r="N527" s="13"/>
      <c r="O527" s="13"/>
      <c r="P527" s="13"/>
      <c r="Q527" s="13"/>
    </row>
    <row r="528">
      <c r="N528" s="13"/>
      <c r="O528" s="13"/>
      <c r="P528" s="13"/>
      <c r="Q528" s="13"/>
    </row>
    <row r="529">
      <c r="N529" s="13"/>
      <c r="O529" s="13"/>
      <c r="P529" s="13"/>
      <c r="Q529" s="13"/>
    </row>
    <row r="530">
      <c r="N530" s="13"/>
      <c r="O530" s="13"/>
      <c r="P530" s="13"/>
      <c r="Q530" s="13"/>
    </row>
    <row r="531">
      <c r="N531" s="13"/>
      <c r="O531" s="13"/>
      <c r="P531" s="13"/>
      <c r="Q531" s="13"/>
    </row>
    <row r="532">
      <c r="N532" s="13"/>
      <c r="O532" s="13"/>
      <c r="P532" s="13"/>
      <c r="Q532" s="13"/>
    </row>
    <row r="533">
      <c r="N533" s="13"/>
      <c r="O533" s="13"/>
      <c r="P533" s="13"/>
      <c r="Q533" s="13"/>
    </row>
    <row r="534">
      <c r="N534" s="13"/>
      <c r="O534" s="13"/>
      <c r="P534" s="13"/>
      <c r="Q534" s="13"/>
    </row>
    <row r="535">
      <c r="N535" s="13"/>
      <c r="O535" s="13"/>
      <c r="P535" s="13"/>
      <c r="Q535" s="13"/>
    </row>
    <row r="536">
      <c r="N536" s="13"/>
      <c r="O536" s="13"/>
      <c r="P536" s="13"/>
      <c r="Q536" s="13"/>
    </row>
    <row r="537">
      <c r="N537" s="13"/>
      <c r="O537" s="13"/>
      <c r="P537" s="13"/>
      <c r="Q537" s="13"/>
    </row>
    <row r="538">
      <c r="N538" s="13"/>
      <c r="O538" s="13"/>
      <c r="P538" s="13"/>
      <c r="Q538" s="13"/>
    </row>
    <row r="539">
      <c r="N539" s="13"/>
      <c r="O539" s="13"/>
      <c r="P539" s="13"/>
      <c r="Q539" s="13"/>
    </row>
    <row r="540">
      <c r="N540" s="13"/>
      <c r="O540" s="13"/>
      <c r="P540" s="13"/>
      <c r="Q540" s="13"/>
    </row>
    <row r="541">
      <c r="N541" s="13"/>
      <c r="O541" s="13"/>
      <c r="P541" s="13"/>
      <c r="Q541" s="13"/>
    </row>
    <row r="542">
      <c r="N542" s="13"/>
      <c r="O542" s="13"/>
      <c r="P542" s="13"/>
      <c r="Q542" s="13"/>
    </row>
    <row r="543">
      <c r="N543" s="13"/>
      <c r="O543" s="13"/>
      <c r="P543" s="13"/>
      <c r="Q543" s="13"/>
    </row>
    <row r="544">
      <c r="N544" s="13"/>
      <c r="O544" s="13"/>
      <c r="P544" s="13"/>
      <c r="Q544" s="13"/>
    </row>
    <row r="545">
      <c r="N545" s="13"/>
      <c r="O545" s="13"/>
      <c r="P545" s="13"/>
      <c r="Q545" s="13"/>
    </row>
    <row r="546">
      <c r="N546" s="13"/>
      <c r="O546" s="13"/>
      <c r="P546" s="13"/>
      <c r="Q546" s="13"/>
    </row>
    <row r="547">
      <c r="N547" s="13"/>
      <c r="O547" s="13"/>
      <c r="P547" s="13"/>
      <c r="Q547" s="13"/>
    </row>
    <row r="548">
      <c r="N548" s="13"/>
      <c r="O548" s="13"/>
      <c r="P548" s="13"/>
      <c r="Q548" s="13"/>
    </row>
    <row r="549">
      <c r="N549" s="13"/>
      <c r="O549" s="13"/>
      <c r="P549" s="13"/>
      <c r="Q549" s="13"/>
    </row>
    <row r="550">
      <c r="N550" s="13"/>
      <c r="O550" s="13"/>
      <c r="P550" s="13"/>
      <c r="Q550" s="13"/>
    </row>
    <row r="551">
      <c r="N551" s="13"/>
      <c r="O551" s="13"/>
      <c r="P551" s="13"/>
      <c r="Q551" s="13"/>
    </row>
    <row r="552">
      <c r="N552" s="13"/>
      <c r="O552" s="13"/>
      <c r="P552" s="13"/>
      <c r="Q552" s="13"/>
    </row>
    <row r="553">
      <c r="N553" s="13"/>
      <c r="O553" s="13"/>
      <c r="P553" s="13"/>
      <c r="Q553" s="13"/>
    </row>
    <row r="554">
      <c r="N554" s="13"/>
      <c r="O554" s="13"/>
      <c r="P554" s="13"/>
      <c r="Q554" s="13"/>
    </row>
    <row r="555">
      <c r="N555" s="13"/>
      <c r="O555" s="13"/>
      <c r="P555" s="13"/>
      <c r="Q555" s="13"/>
    </row>
    <row r="556">
      <c r="N556" s="13"/>
      <c r="O556" s="13"/>
      <c r="P556" s="13"/>
      <c r="Q556" s="13"/>
    </row>
    <row r="557">
      <c r="N557" s="13"/>
      <c r="O557" s="13"/>
      <c r="P557" s="13"/>
      <c r="Q557" s="13"/>
    </row>
    <row r="558">
      <c r="N558" s="13"/>
      <c r="O558" s="13"/>
      <c r="P558" s="13"/>
      <c r="Q558" s="13"/>
    </row>
    <row r="559">
      <c r="N559" s="13"/>
      <c r="O559" s="13"/>
      <c r="P559" s="13"/>
      <c r="Q559" s="13"/>
    </row>
    <row r="560">
      <c r="N560" s="13"/>
      <c r="O560" s="13"/>
      <c r="P560" s="13"/>
      <c r="Q560" s="13"/>
    </row>
    <row r="561">
      <c r="N561" s="13"/>
      <c r="O561" s="13"/>
      <c r="P561" s="13"/>
      <c r="Q561" s="13"/>
    </row>
    <row r="562">
      <c r="N562" s="13"/>
      <c r="O562" s="13"/>
      <c r="P562" s="13"/>
      <c r="Q562" s="13"/>
    </row>
    <row r="563">
      <c r="N563" s="13"/>
      <c r="O563" s="13"/>
      <c r="P563" s="13"/>
      <c r="Q563" s="13"/>
    </row>
    <row r="564">
      <c r="N564" s="13"/>
      <c r="O564" s="13"/>
      <c r="P564" s="13"/>
      <c r="Q564" s="13"/>
    </row>
    <row r="565">
      <c r="N565" s="13"/>
      <c r="O565" s="13"/>
      <c r="P565" s="13"/>
      <c r="Q565" s="13"/>
    </row>
    <row r="566">
      <c r="N566" s="13"/>
      <c r="O566" s="13"/>
      <c r="P566" s="13"/>
      <c r="Q566" s="13"/>
    </row>
    <row r="567">
      <c r="N567" s="13"/>
      <c r="O567" s="13"/>
      <c r="P567" s="13"/>
      <c r="Q567" s="13"/>
    </row>
    <row r="568">
      <c r="N568" s="13"/>
      <c r="O568" s="13"/>
      <c r="P568" s="13"/>
      <c r="Q568" s="13"/>
    </row>
    <row r="569">
      <c r="N569" s="13"/>
      <c r="O569" s="13"/>
      <c r="P569" s="13"/>
      <c r="Q569" s="13"/>
    </row>
    <row r="570">
      <c r="N570" s="13"/>
      <c r="O570" s="13"/>
      <c r="P570" s="13"/>
      <c r="Q570" s="13"/>
    </row>
    <row r="571">
      <c r="N571" s="13"/>
      <c r="O571" s="13"/>
      <c r="P571" s="13"/>
      <c r="Q571" s="13"/>
    </row>
    <row r="572">
      <c r="N572" s="13"/>
      <c r="O572" s="13"/>
      <c r="P572" s="13"/>
      <c r="Q572" s="13"/>
    </row>
    <row r="573">
      <c r="N573" s="13"/>
      <c r="O573" s="13"/>
      <c r="P573" s="13"/>
      <c r="Q573" s="13"/>
    </row>
    <row r="574">
      <c r="N574" s="13"/>
      <c r="O574" s="13"/>
      <c r="P574" s="13"/>
      <c r="Q574" s="13"/>
    </row>
    <row r="575">
      <c r="N575" s="13"/>
      <c r="O575" s="13"/>
      <c r="P575" s="13"/>
      <c r="Q575" s="13"/>
    </row>
    <row r="576">
      <c r="N576" s="13"/>
      <c r="O576" s="13"/>
      <c r="P576" s="13"/>
      <c r="Q576" s="13"/>
    </row>
    <row r="577">
      <c r="N577" s="13"/>
      <c r="O577" s="13"/>
      <c r="P577" s="13"/>
      <c r="Q577" s="13"/>
    </row>
    <row r="578">
      <c r="N578" s="13"/>
      <c r="O578" s="13"/>
      <c r="P578" s="13"/>
      <c r="Q578" s="13"/>
    </row>
    <row r="579">
      <c r="N579" s="13"/>
      <c r="O579" s="13"/>
      <c r="P579" s="13"/>
      <c r="Q579" s="13"/>
    </row>
    <row r="580">
      <c r="N580" s="13"/>
      <c r="O580" s="13"/>
      <c r="P580" s="13"/>
      <c r="Q580" s="13"/>
    </row>
    <row r="581">
      <c r="N581" s="13"/>
      <c r="O581" s="13"/>
      <c r="P581" s="13"/>
      <c r="Q581" s="13"/>
    </row>
    <row r="582">
      <c r="N582" s="13"/>
      <c r="O582" s="13"/>
      <c r="P582" s="13"/>
      <c r="Q582" s="13"/>
    </row>
    <row r="583">
      <c r="N583" s="13"/>
      <c r="O583" s="13"/>
      <c r="P583" s="13"/>
      <c r="Q583" s="13"/>
    </row>
    <row r="584">
      <c r="N584" s="13"/>
      <c r="O584" s="13"/>
      <c r="P584" s="13"/>
      <c r="Q584" s="13"/>
    </row>
    <row r="585">
      <c r="N585" s="13"/>
      <c r="O585" s="13"/>
      <c r="P585" s="13"/>
      <c r="Q585" s="13"/>
    </row>
    <row r="586">
      <c r="N586" s="13"/>
      <c r="O586" s="13"/>
      <c r="P586" s="13"/>
      <c r="Q586" s="13"/>
    </row>
    <row r="587">
      <c r="N587" s="13"/>
      <c r="O587" s="13"/>
      <c r="P587" s="13"/>
      <c r="Q587" s="13"/>
    </row>
    <row r="588">
      <c r="N588" s="13"/>
      <c r="O588" s="13"/>
      <c r="P588" s="13"/>
      <c r="Q588" s="13"/>
    </row>
    <row r="589">
      <c r="N589" s="13"/>
      <c r="O589" s="13"/>
      <c r="P589" s="13"/>
      <c r="Q589" s="13"/>
    </row>
    <row r="590">
      <c r="N590" s="13"/>
      <c r="O590" s="13"/>
      <c r="P590" s="13"/>
      <c r="Q590" s="13"/>
    </row>
    <row r="591">
      <c r="N591" s="13"/>
      <c r="O591" s="13"/>
      <c r="P591" s="13"/>
      <c r="Q591" s="13"/>
    </row>
    <row r="592">
      <c r="N592" s="13"/>
      <c r="O592" s="13"/>
      <c r="P592" s="13"/>
      <c r="Q592" s="13"/>
    </row>
    <row r="593">
      <c r="N593" s="13"/>
      <c r="O593" s="13"/>
      <c r="P593" s="13"/>
      <c r="Q593" s="13"/>
    </row>
    <row r="594">
      <c r="N594" s="13"/>
      <c r="O594" s="13"/>
      <c r="P594" s="13"/>
      <c r="Q594" s="13"/>
    </row>
    <row r="595">
      <c r="N595" s="13"/>
      <c r="O595" s="13"/>
      <c r="P595" s="13"/>
      <c r="Q595" s="13"/>
    </row>
    <row r="596">
      <c r="N596" s="13"/>
      <c r="O596" s="13"/>
      <c r="P596" s="13"/>
      <c r="Q596" s="13"/>
    </row>
    <row r="597">
      <c r="N597" s="13"/>
      <c r="O597" s="13"/>
      <c r="P597" s="13"/>
      <c r="Q597" s="13"/>
    </row>
    <row r="598">
      <c r="N598" s="13"/>
      <c r="O598" s="13"/>
      <c r="P598" s="13"/>
      <c r="Q598" s="13"/>
    </row>
    <row r="599">
      <c r="N599" s="13"/>
      <c r="O599" s="13"/>
      <c r="P599" s="13"/>
      <c r="Q599" s="13"/>
    </row>
    <row r="600">
      <c r="N600" s="13"/>
      <c r="O600" s="13"/>
      <c r="P600" s="13"/>
      <c r="Q600" s="13"/>
    </row>
    <row r="601">
      <c r="N601" s="13"/>
      <c r="O601" s="13"/>
      <c r="P601" s="13"/>
      <c r="Q601" s="13"/>
    </row>
    <row r="602">
      <c r="N602" s="13"/>
      <c r="O602" s="13"/>
      <c r="P602" s="13"/>
      <c r="Q602" s="13"/>
    </row>
    <row r="603">
      <c r="N603" s="13"/>
      <c r="O603" s="13"/>
      <c r="P603" s="13"/>
      <c r="Q603" s="13"/>
    </row>
    <row r="604">
      <c r="N604" s="13"/>
      <c r="O604" s="13"/>
      <c r="P604" s="13"/>
      <c r="Q604" s="13"/>
    </row>
    <row r="605">
      <c r="N605" s="13"/>
      <c r="O605" s="13"/>
      <c r="P605" s="13"/>
      <c r="Q605" s="13"/>
    </row>
    <row r="606">
      <c r="N606" s="13"/>
      <c r="O606" s="13"/>
      <c r="P606" s="13"/>
      <c r="Q606" s="13"/>
    </row>
    <row r="607">
      <c r="N607" s="13"/>
      <c r="O607" s="13"/>
      <c r="P607" s="13"/>
      <c r="Q607" s="13"/>
    </row>
    <row r="608">
      <c r="N608" s="13"/>
      <c r="O608" s="13"/>
      <c r="P608" s="13"/>
      <c r="Q608" s="13"/>
    </row>
    <row r="609">
      <c r="N609" s="13"/>
      <c r="O609" s="13"/>
      <c r="P609" s="13"/>
      <c r="Q609" s="13"/>
    </row>
    <row r="610">
      <c r="N610" s="13"/>
      <c r="O610" s="13"/>
      <c r="P610" s="13"/>
      <c r="Q610" s="13"/>
    </row>
    <row r="611">
      <c r="N611" s="13"/>
      <c r="O611" s="13"/>
      <c r="P611" s="13"/>
      <c r="Q611" s="13"/>
    </row>
    <row r="612">
      <c r="N612" s="13"/>
      <c r="O612" s="13"/>
      <c r="P612" s="13"/>
      <c r="Q612" s="13"/>
    </row>
    <row r="613">
      <c r="N613" s="13"/>
      <c r="O613" s="13"/>
      <c r="P613" s="13"/>
      <c r="Q613" s="13"/>
    </row>
    <row r="614">
      <c r="N614" s="13"/>
      <c r="O614" s="13"/>
      <c r="P614" s="13"/>
      <c r="Q614" s="13"/>
    </row>
    <row r="615">
      <c r="N615" s="13"/>
      <c r="O615" s="13"/>
      <c r="P615" s="13"/>
      <c r="Q615" s="13"/>
    </row>
    <row r="616">
      <c r="N616" s="13"/>
      <c r="O616" s="13"/>
      <c r="P616" s="13"/>
      <c r="Q616" s="13"/>
    </row>
    <row r="617">
      <c r="N617" s="13"/>
      <c r="O617" s="13"/>
      <c r="P617" s="13"/>
      <c r="Q617" s="13"/>
    </row>
    <row r="618">
      <c r="N618" s="13"/>
      <c r="O618" s="13"/>
      <c r="P618" s="13"/>
      <c r="Q618" s="13"/>
    </row>
    <row r="619">
      <c r="N619" s="13"/>
      <c r="O619" s="13"/>
      <c r="P619" s="13"/>
      <c r="Q619" s="13"/>
    </row>
    <row r="620">
      <c r="N620" s="13"/>
      <c r="O620" s="13"/>
      <c r="P620" s="13"/>
      <c r="Q620" s="13"/>
    </row>
    <row r="621">
      <c r="N621" s="13"/>
      <c r="O621" s="13"/>
      <c r="P621" s="13"/>
      <c r="Q621" s="13"/>
    </row>
    <row r="622">
      <c r="N622" s="13"/>
      <c r="O622" s="13"/>
      <c r="P622" s="13"/>
      <c r="Q622" s="13"/>
    </row>
    <row r="623">
      <c r="N623" s="13"/>
      <c r="O623" s="13"/>
      <c r="P623" s="13"/>
      <c r="Q623" s="13"/>
    </row>
    <row r="624">
      <c r="N624" s="13"/>
      <c r="O624" s="13"/>
      <c r="P624" s="13"/>
      <c r="Q624" s="13"/>
    </row>
    <row r="625">
      <c r="N625" s="13"/>
      <c r="O625" s="13"/>
      <c r="P625" s="13"/>
      <c r="Q625" s="13"/>
    </row>
    <row r="626">
      <c r="N626" s="13"/>
      <c r="O626" s="13"/>
      <c r="P626" s="13"/>
      <c r="Q626" s="13"/>
    </row>
    <row r="627">
      <c r="N627" s="13"/>
      <c r="O627" s="13"/>
      <c r="P627" s="13"/>
      <c r="Q627" s="13"/>
    </row>
    <row r="628">
      <c r="N628" s="13"/>
      <c r="O628" s="13"/>
      <c r="P628" s="13"/>
      <c r="Q628" s="13"/>
    </row>
    <row r="629">
      <c r="N629" s="13"/>
      <c r="O629" s="13"/>
      <c r="P629" s="13"/>
      <c r="Q629" s="13"/>
    </row>
    <row r="630">
      <c r="N630" s="13"/>
      <c r="O630" s="13"/>
      <c r="P630" s="13"/>
      <c r="Q630" s="13"/>
    </row>
    <row r="631">
      <c r="N631" s="13"/>
      <c r="O631" s="13"/>
      <c r="P631" s="13"/>
      <c r="Q631" s="13"/>
    </row>
    <row r="632">
      <c r="N632" s="13"/>
      <c r="O632" s="13"/>
      <c r="P632" s="13"/>
      <c r="Q632" s="13"/>
    </row>
    <row r="633">
      <c r="N633" s="13"/>
      <c r="O633" s="13"/>
      <c r="P633" s="13"/>
      <c r="Q633" s="13"/>
    </row>
    <row r="634">
      <c r="N634" s="13"/>
      <c r="O634" s="13"/>
      <c r="P634" s="13"/>
      <c r="Q634" s="13"/>
    </row>
    <row r="635">
      <c r="N635" s="13"/>
      <c r="O635" s="13"/>
      <c r="P635" s="13"/>
      <c r="Q635" s="13"/>
    </row>
    <row r="636">
      <c r="N636" s="13"/>
      <c r="O636" s="13"/>
      <c r="P636" s="13"/>
      <c r="Q636" s="13"/>
    </row>
    <row r="637">
      <c r="N637" s="13"/>
      <c r="O637" s="13"/>
      <c r="P637" s="13"/>
      <c r="Q637" s="13"/>
    </row>
    <row r="638">
      <c r="N638" s="13"/>
      <c r="O638" s="13"/>
      <c r="P638" s="13"/>
      <c r="Q638" s="13"/>
    </row>
    <row r="639">
      <c r="N639" s="13"/>
      <c r="O639" s="13"/>
      <c r="P639" s="13"/>
      <c r="Q639" s="13"/>
    </row>
    <row r="640">
      <c r="N640" s="13"/>
      <c r="O640" s="13"/>
      <c r="P640" s="13"/>
      <c r="Q640" s="13"/>
    </row>
    <row r="641">
      <c r="N641" s="13"/>
      <c r="O641" s="13"/>
      <c r="P641" s="13"/>
      <c r="Q641" s="13"/>
    </row>
    <row r="642">
      <c r="N642" s="13"/>
      <c r="O642" s="13"/>
      <c r="P642" s="13"/>
      <c r="Q642" s="13"/>
    </row>
    <row r="643">
      <c r="N643" s="13"/>
      <c r="O643" s="13"/>
      <c r="P643" s="13"/>
      <c r="Q643" s="13"/>
    </row>
    <row r="644">
      <c r="N644" s="13"/>
      <c r="O644" s="13"/>
      <c r="P644" s="13"/>
      <c r="Q644" s="13"/>
    </row>
    <row r="645">
      <c r="N645" s="13"/>
      <c r="O645" s="13"/>
      <c r="P645" s="13"/>
      <c r="Q645" s="13"/>
    </row>
    <row r="646">
      <c r="N646" s="13"/>
      <c r="O646" s="13"/>
      <c r="P646" s="13"/>
      <c r="Q646" s="13"/>
    </row>
    <row r="647">
      <c r="N647" s="13"/>
      <c r="O647" s="13"/>
      <c r="P647" s="13"/>
      <c r="Q647" s="13"/>
    </row>
    <row r="648">
      <c r="N648" s="13"/>
      <c r="O648" s="13"/>
      <c r="P648" s="13"/>
      <c r="Q648" s="13"/>
    </row>
    <row r="649">
      <c r="N649" s="13"/>
      <c r="O649" s="13"/>
      <c r="P649" s="13"/>
      <c r="Q649" s="13"/>
    </row>
    <row r="650">
      <c r="N650" s="13"/>
      <c r="O650" s="13"/>
      <c r="P650" s="13"/>
      <c r="Q650" s="13"/>
    </row>
    <row r="651">
      <c r="N651" s="13"/>
      <c r="O651" s="13"/>
      <c r="P651" s="13"/>
      <c r="Q651" s="13"/>
    </row>
    <row r="652">
      <c r="N652" s="13"/>
      <c r="O652" s="13"/>
      <c r="P652" s="13"/>
      <c r="Q652" s="13"/>
    </row>
    <row r="653">
      <c r="N653" s="13"/>
      <c r="O653" s="13"/>
      <c r="P653" s="13"/>
      <c r="Q653" s="13"/>
    </row>
    <row r="654">
      <c r="N654" s="13"/>
      <c r="O654" s="13"/>
      <c r="P654" s="13"/>
      <c r="Q654" s="13"/>
    </row>
    <row r="655">
      <c r="N655" s="13"/>
      <c r="O655" s="13"/>
      <c r="P655" s="13"/>
      <c r="Q655" s="13"/>
    </row>
    <row r="656">
      <c r="N656" s="13"/>
      <c r="O656" s="13"/>
      <c r="P656" s="13"/>
      <c r="Q656" s="13"/>
    </row>
    <row r="657">
      <c r="N657" s="13"/>
      <c r="O657" s="13"/>
      <c r="P657" s="13"/>
      <c r="Q657" s="13"/>
    </row>
    <row r="658">
      <c r="N658" s="13"/>
      <c r="O658" s="13"/>
      <c r="P658" s="13"/>
      <c r="Q658" s="13"/>
    </row>
    <row r="659">
      <c r="N659" s="13"/>
      <c r="O659" s="13"/>
      <c r="P659" s="13"/>
      <c r="Q659" s="13"/>
    </row>
    <row r="660">
      <c r="N660" s="13"/>
      <c r="O660" s="13"/>
      <c r="P660" s="13"/>
      <c r="Q660" s="13"/>
    </row>
    <row r="661">
      <c r="N661" s="13"/>
      <c r="O661" s="13"/>
      <c r="P661" s="13"/>
      <c r="Q661" s="13"/>
    </row>
    <row r="662">
      <c r="N662" s="13"/>
      <c r="O662" s="13"/>
      <c r="P662" s="13"/>
      <c r="Q662" s="13"/>
    </row>
    <row r="663">
      <c r="N663" s="13"/>
      <c r="O663" s="13"/>
      <c r="P663" s="13"/>
      <c r="Q663" s="13"/>
    </row>
    <row r="664">
      <c r="N664" s="13"/>
      <c r="O664" s="13"/>
      <c r="P664" s="13"/>
      <c r="Q664" s="13"/>
    </row>
    <row r="665">
      <c r="N665" s="13"/>
      <c r="O665" s="13"/>
      <c r="P665" s="13"/>
      <c r="Q665" s="13"/>
    </row>
    <row r="666">
      <c r="N666" s="13"/>
      <c r="O666" s="13"/>
      <c r="P666" s="13"/>
      <c r="Q666" s="13"/>
    </row>
    <row r="667">
      <c r="N667" s="13"/>
      <c r="O667" s="13"/>
      <c r="P667" s="13"/>
      <c r="Q667" s="13"/>
    </row>
    <row r="668">
      <c r="N668" s="13"/>
      <c r="O668" s="13"/>
      <c r="P668" s="13"/>
      <c r="Q668" s="13"/>
    </row>
    <row r="669">
      <c r="N669" s="13"/>
      <c r="O669" s="13"/>
      <c r="P669" s="13"/>
      <c r="Q669" s="13"/>
    </row>
    <row r="670">
      <c r="N670" s="13"/>
      <c r="O670" s="13"/>
      <c r="P670" s="13"/>
      <c r="Q670" s="13"/>
    </row>
    <row r="671">
      <c r="N671" s="13"/>
      <c r="O671" s="13"/>
      <c r="P671" s="13"/>
      <c r="Q671" s="13"/>
    </row>
    <row r="672">
      <c r="N672" s="13"/>
      <c r="O672" s="13"/>
      <c r="P672" s="13"/>
      <c r="Q672" s="13"/>
    </row>
    <row r="673">
      <c r="N673" s="13"/>
      <c r="O673" s="13"/>
      <c r="P673" s="13"/>
      <c r="Q673" s="13"/>
    </row>
    <row r="674">
      <c r="N674" s="13"/>
      <c r="O674" s="13"/>
      <c r="P674" s="13"/>
      <c r="Q674" s="13"/>
    </row>
    <row r="675">
      <c r="N675" s="13"/>
      <c r="O675" s="13"/>
      <c r="P675" s="13"/>
      <c r="Q675" s="13"/>
    </row>
    <row r="676">
      <c r="N676" s="13"/>
      <c r="O676" s="13"/>
      <c r="P676" s="13"/>
      <c r="Q676" s="13"/>
    </row>
    <row r="677">
      <c r="N677" s="13"/>
      <c r="O677" s="13"/>
      <c r="P677" s="13"/>
      <c r="Q677" s="13"/>
    </row>
    <row r="678">
      <c r="N678" s="13"/>
      <c r="O678" s="13"/>
      <c r="P678" s="13"/>
      <c r="Q678" s="13"/>
    </row>
    <row r="679">
      <c r="N679" s="13"/>
      <c r="O679" s="13"/>
      <c r="P679" s="13"/>
      <c r="Q679" s="13"/>
    </row>
    <row r="680">
      <c r="N680" s="13"/>
      <c r="O680" s="13"/>
      <c r="P680" s="13"/>
      <c r="Q680" s="13"/>
    </row>
    <row r="681">
      <c r="N681" s="13"/>
      <c r="O681" s="13"/>
      <c r="P681" s="13"/>
      <c r="Q681" s="13"/>
    </row>
    <row r="682">
      <c r="N682" s="13"/>
      <c r="O682" s="13"/>
      <c r="P682" s="13"/>
      <c r="Q682" s="13"/>
    </row>
    <row r="683">
      <c r="N683" s="13"/>
      <c r="O683" s="13"/>
      <c r="P683" s="13"/>
      <c r="Q683" s="13"/>
    </row>
    <row r="684">
      <c r="N684" s="13"/>
      <c r="O684" s="13"/>
      <c r="P684" s="13"/>
      <c r="Q684" s="13"/>
    </row>
    <row r="685">
      <c r="N685" s="13"/>
      <c r="O685" s="13"/>
      <c r="P685" s="13"/>
      <c r="Q685" s="13"/>
    </row>
    <row r="686">
      <c r="N686" s="13"/>
      <c r="O686" s="13"/>
      <c r="P686" s="13"/>
      <c r="Q686" s="13"/>
    </row>
    <row r="687">
      <c r="N687" s="13"/>
      <c r="O687" s="13"/>
      <c r="P687" s="13"/>
      <c r="Q687" s="13"/>
    </row>
    <row r="688">
      <c r="N688" s="13"/>
      <c r="O688" s="13"/>
      <c r="P688" s="13"/>
      <c r="Q688" s="13"/>
    </row>
    <row r="689">
      <c r="N689" s="13"/>
      <c r="O689" s="13"/>
      <c r="P689" s="13"/>
      <c r="Q689" s="13"/>
    </row>
    <row r="690">
      <c r="N690" s="13"/>
      <c r="O690" s="13"/>
      <c r="P690" s="13"/>
      <c r="Q690" s="13"/>
    </row>
    <row r="691">
      <c r="N691" s="13"/>
      <c r="O691" s="13"/>
      <c r="P691" s="13"/>
      <c r="Q691" s="13"/>
    </row>
    <row r="692">
      <c r="N692" s="13"/>
      <c r="O692" s="13"/>
      <c r="P692" s="13"/>
      <c r="Q692" s="13"/>
    </row>
    <row r="693">
      <c r="N693" s="13"/>
      <c r="O693" s="13"/>
      <c r="P693" s="13"/>
      <c r="Q693" s="13"/>
    </row>
    <row r="694">
      <c r="N694" s="13"/>
      <c r="O694" s="13"/>
      <c r="P694" s="13"/>
      <c r="Q694" s="13"/>
    </row>
    <row r="695">
      <c r="N695" s="13"/>
      <c r="O695" s="13"/>
      <c r="P695" s="13"/>
      <c r="Q695" s="13"/>
    </row>
    <row r="696">
      <c r="N696" s="13"/>
      <c r="O696" s="13"/>
      <c r="P696" s="13"/>
      <c r="Q696" s="13"/>
    </row>
    <row r="697">
      <c r="N697" s="13"/>
      <c r="O697" s="13"/>
      <c r="P697" s="13"/>
      <c r="Q697" s="13"/>
    </row>
    <row r="698">
      <c r="N698" s="13"/>
      <c r="O698" s="13"/>
      <c r="P698" s="13"/>
      <c r="Q698" s="13"/>
    </row>
    <row r="699">
      <c r="N699" s="13"/>
      <c r="O699" s="13"/>
      <c r="P699" s="13"/>
      <c r="Q699" s="13"/>
    </row>
    <row r="700">
      <c r="N700" s="13"/>
      <c r="O700" s="13"/>
      <c r="P700" s="13"/>
      <c r="Q700" s="13"/>
    </row>
    <row r="701">
      <c r="N701" s="13"/>
      <c r="O701" s="13"/>
      <c r="P701" s="13"/>
      <c r="Q701" s="13"/>
    </row>
    <row r="702">
      <c r="N702" s="13"/>
      <c r="O702" s="13"/>
      <c r="P702" s="13"/>
      <c r="Q702" s="13"/>
    </row>
    <row r="703">
      <c r="N703" s="13"/>
      <c r="O703" s="13"/>
      <c r="P703" s="13"/>
      <c r="Q703" s="13"/>
    </row>
    <row r="704">
      <c r="N704" s="13"/>
      <c r="O704" s="13"/>
      <c r="P704" s="13"/>
      <c r="Q704" s="13"/>
    </row>
    <row r="705">
      <c r="N705" s="13"/>
      <c r="O705" s="13"/>
      <c r="P705" s="13"/>
      <c r="Q705" s="13"/>
    </row>
    <row r="706">
      <c r="N706" s="13"/>
      <c r="O706" s="13"/>
      <c r="P706" s="13"/>
      <c r="Q706" s="13"/>
    </row>
    <row r="707">
      <c r="N707" s="13"/>
      <c r="O707" s="13"/>
      <c r="P707" s="13"/>
      <c r="Q707" s="13"/>
    </row>
    <row r="708">
      <c r="N708" s="13"/>
      <c r="O708" s="13"/>
      <c r="P708" s="13"/>
      <c r="Q708" s="13"/>
    </row>
    <row r="709">
      <c r="N709" s="13"/>
      <c r="O709" s="13"/>
      <c r="P709" s="13"/>
      <c r="Q709" s="13"/>
    </row>
    <row r="710">
      <c r="N710" s="13"/>
      <c r="O710" s="13"/>
      <c r="P710" s="13"/>
      <c r="Q710" s="13"/>
    </row>
    <row r="711">
      <c r="N711" s="13"/>
      <c r="O711" s="13"/>
      <c r="P711" s="13"/>
      <c r="Q711" s="13"/>
    </row>
    <row r="712">
      <c r="N712" s="13"/>
      <c r="O712" s="13"/>
      <c r="P712" s="13"/>
      <c r="Q712" s="13"/>
    </row>
    <row r="713">
      <c r="N713" s="13"/>
      <c r="O713" s="13"/>
      <c r="P713" s="13"/>
      <c r="Q713" s="13"/>
    </row>
    <row r="714">
      <c r="N714" s="13"/>
      <c r="O714" s="13"/>
      <c r="P714" s="13"/>
      <c r="Q714" s="13"/>
    </row>
    <row r="715">
      <c r="N715" s="13"/>
      <c r="O715" s="13"/>
      <c r="P715" s="13"/>
      <c r="Q715" s="13"/>
    </row>
    <row r="716">
      <c r="N716" s="13"/>
      <c r="O716" s="13"/>
      <c r="P716" s="13"/>
      <c r="Q716" s="13"/>
    </row>
    <row r="717">
      <c r="N717" s="13"/>
      <c r="O717" s="13"/>
      <c r="P717" s="13"/>
      <c r="Q717" s="13"/>
    </row>
    <row r="718">
      <c r="N718" s="13"/>
      <c r="O718" s="13"/>
      <c r="P718" s="13"/>
      <c r="Q718" s="13"/>
    </row>
    <row r="719">
      <c r="N719" s="13"/>
      <c r="O719" s="13"/>
      <c r="P719" s="13"/>
      <c r="Q719" s="13"/>
    </row>
    <row r="720">
      <c r="N720" s="13"/>
      <c r="O720" s="13"/>
      <c r="P720" s="13"/>
      <c r="Q720" s="13"/>
    </row>
    <row r="721">
      <c r="N721" s="13"/>
      <c r="O721" s="13"/>
      <c r="P721" s="13"/>
      <c r="Q721" s="13"/>
    </row>
    <row r="722">
      <c r="N722" s="13"/>
      <c r="O722" s="13"/>
      <c r="P722" s="13"/>
      <c r="Q722" s="13"/>
    </row>
    <row r="723">
      <c r="N723" s="13"/>
      <c r="O723" s="13"/>
      <c r="P723" s="13"/>
      <c r="Q723" s="13"/>
    </row>
    <row r="724">
      <c r="N724" s="13"/>
      <c r="O724" s="13"/>
      <c r="P724" s="13"/>
      <c r="Q724" s="13"/>
    </row>
    <row r="725">
      <c r="N725" s="13"/>
      <c r="O725" s="13"/>
      <c r="P725" s="13"/>
      <c r="Q725" s="13"/>
    </row>
    <row r="726">
      <c r="N726" s="13"/>
      <c r="O726" s="13"/>
      <c r="P726" s="13"/>
      <c r="Q726" s="13"/>
    </row>
    <row r="727">
      <c r="N727" s="13"/>
      <c r="O727" s="13"/>
      <c r="P727" s="13"/>
      <c r="Q727" s="13"/>
    </row>
    <row r="728">
      <c r="N728" s="13"/>
      <c r="O728" s="13"/>
      <c r="P728" s="13"/>
      <c r="Q728" s="13"/>
    </row>
    <row r="729">
      <c r="N729" s="13"/>
      <c r="O729" s="13"/>
      <c r="P729" s="13"/>
      <c r="Q729" s="13"/>
    </row>
    <row r="730">
      <c r="N730" s="13"/>
      <c r="O730" s="13"/>
      <c r="P730" s="13"/>
      <c r="Q730" s="13"/>
    </row>
    <row r="731">
      <c r="N731" s="13"/>
      <c r="O731" s="13"/>
      <c r="P731" s="13"/>
      <c r="Q731" s="13"/>
    </row>
    <row r="732">
      <c r="N732" s="13"/>
      <c r="O732" s="13"/>
      <c r="P732" s="13"/>
      <c r="Q732" s="13"/>
    </row>
    <row r="733">
      <c r="N733" s="13"/>
      <c r="O733" s="13"/>
      <c r="P733" s="13"/>
      <c r="Q733" s="13"/>
    </row>
    <row r="734">
      <c r="N734" s="13"/>
      <c r="O734" s="13"/>
      <c r="P734" s="13"/>
      <c r="Q734" s="13"/>
    </row>
    <row r="735">
      <c r="N735" s="13"/>
      <c r="O735" s="13"/>
      <c r="P735" s="13"/>
      <c r="Q735" s="13"/>
    </row>
    <row r="736">
      <c r="N736" s="13"/>
      <c r="O736" s="13"/>
      <c r="P736" s="13"/>
      <c r="Q736" s="13"/>
    </row>
    <row r="737">
      <c r="N737" s="13"/>
      <c r="O737" s="13"/>
      <c r="P737" s="13"/>
      <c r="Q737" s="13"/>
    </row>
    <row r="738">
      <c r="N738" s="13"/>
      <c r="O738" s="13"/>
      <c r="P738" s="13"/>
      <c r="Q738" s="13"/>
    </row>
    <row r="739">
      <c r="N739" s="13"/>
      <c r="O739" s="13"/>
      <c r="P739" s="13"/>
      <c r="Q739" s="13"/>
    </row>
    <row r="740">
      <c r="N740" s="13"/>
      <c r="O740" s="13"/>
      <c r="P740" s="13"/>
      <c r="Q740" s="13"/>
    </row>
    <row r="741">
      <c r="N741" s="13"/>
      <c r="O741" s="13"/>
      <c r="P741" s="13"/>
      <c r="Q741" s="13"/>
    </row>
    <row r="742">
      <c r="N742" s="13"/>
      <c r="O742" s="13"/>
      <c r="P742" s="13"/>
      <c r="Q742" s="13"/>
    </row>
    <row r="743">
      <c r="N743" s="13"/>
      <c r="O743" s="13"/>
      <c r="P743" s="13"/>
      <c r="Q743" s="13"/>
    </row>
    <row r="744">
      <c r="N744" s="13"/>
      <c r="O744" s="13"/>
      <c r="P744" s="13"/>
      <c r="Q744" s="13"/>
    </row>
    <row r="745">
      <c r="N745" s="13"/>
      <c r="O745" s="13"/>
      <c r="P745" s="13"/>
      <c r="Q745" s="13"/>
    </row>
    <row r="746">
      <c r="N746" s="13"/>
      <c r="O746" s="13"/>
      <c r="P746" s="13"/>
      <c r="Q746" s="13"/>
    </row>
    <row r="747">
      <c r="N747" s="13"/>
      <c r="O747" s="13"/>
      <c r="P747" s="13"/>
      <c r="Q747" s="13"/>
    </row>
    <row r="748">
      <c r="N748" s="13"/>
      <c r="O748" s="13"/>
      <c r="P748" s="13"/>
      <c r="Q748" s="13"/>
    </row>
    <row r="749">
      <c r="N749" s="13"/>
      <c r="O749" s="13"/>
      <c r="P749" s="13"/>
      <c r="Q749" s="13"/>
    </row>
    <row r="750">
      <c r="N750" s="13"/>
      <c r="O750" s="13"/>
      <c r="P750" s="13"/>
      <c r="Q750" s="13"/>
    </row>
    <row r="751">
      <c r="N751" s="13"/>
      <c r="O751" s="13"/>
      <c r="P751" s="13"/>
      <c r="Q751" s="13"/>
    </row>
    <row r="752">
      <c r="N752" s="13"/>
      <c r="O752" s="13"/>
      <c r="P752" s="13"/>
      <c r="Q752" s="13"/>
    </row>
    <row r="753">
      <c r="N753" s="13"/>
      <c r="O753" s="13"/>
      <c r="P753" s="13"/>
      <c r="Q753" s="13"/>
    </row>
    <row r="754">
      <c r="N754" s="13"/>
      <c r="O754" s="13"/>
      <c r="P754" s="13"/>
      <c r="Q754" s="13"/>
    </row>
    <row r="755">
      <c r="N755" s="13"/>
      <c r="O755" s="13"/>
      <c r="P755" s="13"/>
      <c r="Q755" s="13"/>
    </row>
    <row r="756">
      <c r="N756" s="13"/>
      <c r="O756" s="13"/>
      <c r="P756" s="13"/>
      <c r="Q756" s="13"/>
    </row>
    <row r="757">
      <c r="N757" s="13"/>
      <c r="O757" s="13"/>
      <c r="P757" s="13"/>
      <c r="Q757" s="13"/>
    </row>
    <row r="758">
      <c r="N758" s="13"/>
      <c r="O758" s="13"/>
      <c r="P758" s="13"/>
      <c r="Q758" s="13"/>
    </row>
    <row r="759">
      <c r="N759" s="13"/>
      <c r="O759" s="13"/>
      <c r="P759" s="13"/>
      <c r="Q759" s="13"/>
    </row>
    <row r="760">
      <c r="N760" s="13"/>
      <c r="O760" s="13"/>
      <c r="P760" s="13"/>
      <c r="Q760" s="13"/>
    </row>
    <row r="761">
      <c r="N761" s="13"/>
      <c r="O761" s="13"/>
      <c r="P761" s="13"/>
      <c r="Q761" s="13"/>
    </row>
    <row r="762">
      <c r="N762" s="13"/>
      <c r="O762" s="13"/>
      <c r="P762" s="13"/>
      <c r="Q762" s="13"/>
    </row>
    <row r="763">
      <c r="N763" s="13"/>
      <c r="O763" s="13"/>
      <c r="P763" s="13"/>
      <c r="Q763" s="13"/>
    </row>
    <row r="764">
      <c r="N764" s="13"/>
      <c r="O764" s="13"/>
      <c r="P764" s="13"/>
      <c r="Q764" s="13"/>
    </row>
    <row r="765">
      <c r="N765" s="13"/>
      <c r="O765" s="13"/>
      <c r="P765" s="13"/>
      <c r="Q765" s="13"/>
    </row>
    <row r="766">
      <c r="N766" s="13"/>
      <c r="O766" s="13"/>
      <c r="P766" s="13"/>
      <c r="Q766" s="13"/>
    </row>
    <row r="767">
      <c r="N767" s="13"/>
      <c r="O767" s="13"/>
      <c r="P767" s="13"/>
      <c r="Q767" s="13"/>
    </row>
    <row r="768">
      <c r="N768" s="13"/>
      <c r="O768" s="13"/>
      <c r="P768" s="13"/>
      <c r="Q768" s="13"/>
    </row>
    <row r="769">
      <c r="N769" s="13"/>
      <c r="O769" s="13"/>
      <c r="P769" s="13"/>
      <c r="Q769" s="13"/>
    </row>
    <row r="770">
      <c r="N770" s="13"/>
      <c r="O770" s="13"/>
      <c r="P770" s="13"/>
      <c r="Q770" s="13"/>
    </row>
    <row r="771">
      <c r="N771" s="13"/>
      <c r="O771" s="13"/>
      <c r="P771" s="13"/>
      <c r="Q771" s="13"/>
    </row>
    <row r="772">
      <c r="N772" s="13"/>
      <c r="O772" s="13"/>
      <c r="P772" s="13"/>
      <c r="Q772" s="13"/>
    </row>
    <row r="773">
      <c r="N773" s="13"/>
      <c r="O773" s="13"/>
      <c r="P773" s="13"/>
      <c r="Q773" s="13"/>
    </row>
    <row r="774">
      <c r="N774" s="13"/>
      <c r="O774" s="13"/>
      <c r="P774" s="13"/>
      <c r="Q774" s="13"/>
    </row>
    <row r="775">
      <c r="N775" s="13"/>
      <c r="O775" s="13"/>
      <c r="P775" s="13"/>
      <c r="Q775" s="13"/>
    </row>
    <row r="776">
      <c r="N776" s="13"/>
      <c r="O776" s="13"/>
      <c r="P776" s="13"/>
      <c r="Q776" s="13"/>
    </row>
    <row r="777">
      <c r="N777" s="13"/>
      <c r="O777" s="13"/>
      <c r="P777" s="13"/>
      <c r="Q777" s="13"/>
    </row>
    <row r="778">
      <c r="N778" s="13"/>
      <c r="O778" s="13"/>
      <c r="P778" s="13"/>
      <c r="Q778" s="13"/>
    </row>
    <row r="779">
      <c r="N779" s="13"/>
      <c r="O779" s="13"/>
      <c r="P779" s="13"/>
      <c r="Q779" s="13"/>
    </row>
    <row r="780">
      <c r="N780" s="13"/>
      <c r="O780" s="13"/>
      <c r="P780" s="13"/>
      <c r="Q780" s="13"/>
    </row>
    <row r="781">
      <c r="N781" s="13"/>
      <c r="O781" s="13"/>
      <c r="P781" s="13"/>
      <c r="Q781" s="13"/>
    </row>
    <row r="782">
      <c r="N782" s="13"/>
      <c r="O782" s="13"/>
      <c r="P782" s="13"/>
      <c r="Q782" s="13"/>
    </row>
    <row r="783">
      <c r="N783" s="13"/>
      <c r="O783" s="13"/>
      <c r="P783" s="13"/>
      <c r="Q783" s="13"/>
    </row>
    <row r="784">
      <c r="N784" s="13"/>
      <c r="O784" s="13"/>
      <c r="P784" s="13"/>
      <c r="Q784" s="13"/>
    </row>
    <row r="785">
      <c r="N785" s="13"/>
      <c r="O785" s="13"/>
      <c r="P785" s="13"/>
      <c r="Q785" s="13"/>
    </row>
    <row r="786">
      <c r="N786" s="13"/>
      <c r="O786" s="13"/>
      <c r="P786" s="13"/>
      <c r="Q786" s="13"/>
    </row>
    <row r="787">
      <c r="N787" s="13"/>
      <c r="O787" s="13"/>
      <c r="P787" s="13"/>
      <c r="Q787" s="13"/>
    </row>
    <row r="788">
      <c r="N788" s="13"/>
      <c r="O788" s="13"/>
      <c r="P788" s="13"/>
      <c r="Q788" s="13"/>
    </row>
    <row r="789">
      <c r="N789" s="13"/>
      <c r="O789" s="13"/>
      <c r="P789" s="13"/>
      <c r="Q789" s="13"/>
    </row>
    <row r="790">
      <c r="N790" s="13"/>
      <c r="O790" s="13"/>
      <c r="P790" s="13"/>
      <c r="Q790" s="13"/>
    </row>
    <row r="791">
      <c r="N791" s="13"/>
      <c r="O791" s="13"/>
      <c r="P791" s="13"/>
      <c r="Q791" s="13"/>
    </row>
    <row r="792">
      <c r="N792" s="13"/>
      <c r="O792" s="13"/>
      <c r="P792" s="13"/>
      <c r="Q792" s="13"/>
    </row>
    <row r="793">
      <c r="N793" s="13"/>
      <c r="O793" s="13"/>
      <c r="P793" s="13"/>
      <c r="Q793" s="13"/>
    </row>
    <row r="794">
      <c r="N794" s="13"/>
      <c r="O794" s="13"/>
      <c r="P794" s="13"/>
      <c r="Q794" s="13"/>
    </row>
    <row r="795">
      <c r="N795" s="13"/>
      <c r="O795" s="13"/>
      <c r="P795" s="13"/>
      <c r="Q795" s="13"/>
    </row>
    <row r="796">
      <c r="N796" s="13"/>
      <c r="O796" s="13"/>
      <c r="P796" s="13"/>
      <c r="Q796" s="13"/>
    </row>
    <row r="797">
      <c r="N797" s="13"/>
      <c r="O797" s="13"/>
      <c r="P797" s="13"/>
      <c r="Q797" s="13"/>
    </row>
    <row r="798">
      <c r="N798" s="13"/>
      <c r="O798" s="13"/>
      <c r="P798" s="13"/>
      <c r="Q798" s="13"/>
    </row>
    <row r="799">
      <c r="N799" s="13"/>
      <c r="O799" s="13"/>
      <c r="P799" s="13"/>
      <c r="Q799" s="13"/>
    </row>
    <row r="800">
      <c r="N800" s="13"/>
      <c r="O800" s="13"/>
      <c r="P800" s="13"/>
      <c r="Q800" s="13"/>
    </row>
    <row r="801">
      <c r="N801" s="13"/>
      <c r="O801" s="13"/>
      <c r="P801" s="13"/>
      <c r="Q801" s="13"/>
    </row>
    <row r="802">
      <c r="N802" s="13"/>
      <c r="O802" s="13"/>
      <c r="P802" s="13"/>
      <c r="Q802" s="13"/>
    </row>
    <row r="803">
      <c r="N803" s="13"/>
      <c r="O803" s="13"/>
      <c r="P803" s="13"/>
      <c r="Q803" s="13"/>
    </row>
    <row r="804">
      <c r="N804" s="13"/>
      <c r="O804" s="13"/>
      <c r="P804" s="13"/>
      <c r="Q804" s="13"/>
    </row>
    <row r="805">
      <c r="N805" s="13"/>
      <c r="O805" s="13"/>
      <c r="P805" s="13"/>
      <c r="Q805" s="13"/>
    </row>
    <row r="806">
      <c r="N806" s="13"/>
      <c r="O806" s="13"/>
      <c r="P806" s="13"/>
      <c r="Q806" s="13"/>
    </row>
    <row r="807">
      <c r="N807" s="13"/>
      <c r="O807" s="13"/>
      <c r="P807" s="13"/>
      <c r="Q807" s="13"/>
    </row>
    <row r="808">
      <c r="N808" s="13"/>
      <c r="O808" s="13"/>
      <c r="P808" s="13"/>
      <c r="Q808" s="13"/>
    </row>
    <row r="809">
      <c r="N809" s="13"/>
      <c r="O809" s="13"/>
      <c r="P809" s="13"/>
      <c r="Q809" s="13"/>
    </row>
    <row r="810">
      <c r="N810" s="13"/>
      <c r="O810" s="13"/>
      <c r="P810" s="13"/>
      <c r="Q810" s="13"/>
    </row>
    <row r="811">
      <c r="N811" s="13"/>
      <c r="O811" s="13"/>
      <c r="P811" s="13"/>
      <c r="Q811" s="13"/>
    </row>
    <row r="812">
      <c r="N812" s="13"/>
      <c r="O812" s="13"/>
      <c r="P812" s="13"/>
      <c r="Q812" s="13"/>
    </row>
    <row r="813">
      <c r="N813" s="13"/>
      <c r="O813" s="13"/>
      <c r="P813" s="13"/>
      <c r="Q813" s="13"/>
    </row>
    <row r="814">
      <c r="N814" s="13"/>
      <c r="O814" s="13"/>
      <c r="P814" s="13"/>
      <c r="Q814" s="13"/>
    </row>
    <row r="815">
      <c r="N815" s="13"/>
      <c r="O815" s="13"/>
      <c r="P815" s="13"/>
      <c r="Q815" s="13"/>
    </row>
    <row r="816">
      <c r="N816" s="13"/>
      <c r="O816" s="13"/>
      <c r="P816" s="13"/>
      <c r="Q816" s="13"/>
    </row>
    <row r="817">
      <c r="N817" s="13"/>
      <c r="O817" s="13"/>
      <c r="P817" s="13"/>
      <c r="Q817" s="13"/>
    </row>
    <row r="818">
      <c r="N818" s="13"/>
      <c r="O818" s="13"/>
      <c r="P818" s="13"/>
      <c r="Q818" s="13"/>
    </row>
    <row r="819">
      <c r="N819" s="13"/>
      <c r="O819" s="13"/>
      <c r="P819" s="13"/>
      <c r="Q819" s="13"/>
    </row>
    <row r="820">
      <c r="N820" s="13"/>
      <c r="O820" s="13"/>
      <c r="P820" s="13"/>
      <c r="Q820" s="13"/>
    </row>
    <row r="821">
      <c r="N821" s="13"/>
      <c r="O821" s="13"/>
      <c r="P821" s="13"/>
      <c r="Q821" s="13"/>
    </row>
    <row r="822">
      <c r="N822" s="13"/>
      <c r="O822" s="13"/>
      <c r="P822" s="13"/>
      <c r="Q822" s="13"/>
    </row>
    <row r="823">
      <c r="N823" s="13"/>
      <c r="O823" s="13"/>
      <c r="P823" s="13"/>
      <c r="Q823" s="13"/>
    </row>
    <row r="824">
      <c r="N824" s="13"/>
      <c r="O824" s="13"/>
      <c r="P824" s="13"/>
      <c r="Q824" s="13"/>
    </row>
    <row r="825">
      <c r="N825" s="13"/>
      <c r="O825" s="13"/>
      <c r="P825" s="13"/>
      <c r="Q825" s="13"/>
    </row>
    <row r="826">
      <c r="N826" s="13"/>
      <c r="O826" s="13"/>
      <c r="P826" s="13"/>
      <c r="Q826" s="13"/>
    </row>
    <row r="827">
      <c r="N827" s="13"/>
      <c r="O827" s="13"/>
      <c r="P827" s="13"/>
      <c r="Q827" s="13"/>
    </row>
    <row r="828">
      <c r="N828" s="13"/>
      <c r="O828" s="13"/>
      <c r="P828" s="13"/>
      <c r="Q828" s="13"/>
    </row>
    <row r="829">
      <c r="N829" s="13"/>
      <c r="O829" s="13"/>
      <c r="P829" s="13"/>
      <c r="Q829" s="13"/>
    </row>
    <row r="830">
      <c r="N830" s="13"/>
      <c r="O830" s="13"/>
      <c r="P830" s="13"/>
      <c r="Q830" s="13"/>
    </row>
    <row r="831">
      <c r="N831" s="13"/>
      <c r="O831" s="13"/>
      <c r="P831" s="13"/>
      <c r="Q831" s="13"/>
    </row>
    <row r="832">
      <c r="N832" s="13"/>
      <c r="O832" s="13"/>
      <c r="P832" s="13"/>
      <c r="Q832" s="13"/>
    </row>
    <row r="833">
      <c r="N833" s="13"/>
      <c r="O833" s="13"/>
      <c r="P833" s="13"/>
      <c r="Q833" s="13"/>
    </row>
    <row r="834">
      <c r="N834" s="13"/>
      <c r="O834" s="13"/>
      <c r="P834" s="13"/>
      <c r="Q834" s="13"/>
    </row>
    <row r="835">
      <c r="N835" s="13"/>
      <c r="O835" s="13"/>
      <c r="P835" s="13"/>
      <c r="Q835" s="13"/>
    </row>
    <row r="836">
      <c r="N836" s="13"/>
      <c r="O836" s="13"/>
      <c r="P836" s="13"/>
      <c r="Q836" s="13"/>
    </row>
    <row r="837">
      <c r="N837" s="13"/>
      <c r="O837" s="13"/>
      <c r="P837" s="13"/>
      <c r="Q837" s="13"/>
    </row>
    <row r="838">
      <c r="N838" s="13"/>
      <c r="O838" s="13"/>
      <c r="P838" s="13"/>
      <c r="Q838" s="13"/>
    </row>
    <row r="839">
      <c r="N839" s="13"/>
      <c r="O839" s="13"/>
      <c r="P839" s="13"/>
      <c r="Q839" s="13"/>
    </row>
    <row r="840">
      <c r="N840" s="13"/>
      <c r="O840" s="13"/>
      <c r="P840" s="13"/>
      <c r="Q840" s="13"/>
    </row>
    <row r="841">
      <c r="N841" s="13"/>
      <c r="O841" s="13"/>
      <c r="P841" s="13"/>
      <c r="Q841" s="13"/>
    </row>
    <row r="842">
      <c r="N842" s="13"/>
      <c r="O842" s="13"/>
      <c r="P842" s="13"/>
      <c r="Q842" s="13"/>
    </row>
    <row r="843">
      <c r="N843" s="13"/>
      <c r="O843" s="13"/>
      <c r="P843" s="13"/>
      <c r="Q843" s="13"/>
    </row>
    <row r="844">
      <c r="N844" s="13"/>
      <c r="O844" s="13"/>
      <c r="P844" s="13"/>
      <c r="Q844" s="13"/>
    </row>
    <row r="845">
      <c r="N845" s="13"/>
      <c r="O845" s="13"/>
      <c r="P845" s="13"/>
      <c r="Q845" s="13"/>
    </row>
    <row r="846">
      <c r="N846" s="13"/>
      <c r="O846" s="13"/>
      <c r="P846" s="13"/>
      <c r="Q846" s="13"/>
    </row>
    <row r="847">
      <c r="N847" s="13"/>
      <c r="O847" s="13"/>
      <c r="P847" s="13"/>
      <c r="Q847" s="13"/>
    </row>
    <row r="848">
      <c r="N848" s="13"/>
      <c r="O848" s="13"/>
      <c r="P848" s="13"/>
      <c r="Q848" s="13"/>
    </row>
    <row r="849">
      <c r="N849" s="13"/>
      <c r="O849" s="13"/>
      <c r="P849" s="13"/>
      <c r="Q849" s="13"/>
    </row>
    <row r="850">
      <c r="N850" s="13"/>
      <c r="O850" s="13"/>
      <c r="P850" s="13"/>
      <c r="Q850" s="13"/>
    </row>
    <row r="851">
      <c r="N851" s="13"/>
      <c r="O851" s="13"/>
      <c r="P851" s="13"/>
      <c r="Q851" s="13"/>
    </row>
    <row r="852">
      <c r="N852" s="13"/>
      <c r="O852" s="13"/>
      <c r="P852" s="13"/>
      <c r="Q852" s="13"/>
    </row>
    <row r="853">
      <c r="N853" s="13"/>
      <c r="O853" s="13"/>
      <c r="P853" s="13"/>
      <c r="Q853" s="13"/>
    </row>
    <row r="854">
      <c r="N854" s="13"/>
      <c r="O854" s="13"/>
      <c r="P854" s="13"/>
      <c r="Q854" s="13"/>
    </row>
    <row r="855">
      <c r="N855" s="13"/>
      <c r="O855" s="13"/>
      <c r="P855" s="13"/>
      <c r="Q855" s="13"/>
    </row>
    <row r="856">
      <c r="N856" s="13"/>
      <c r="O856" s="13"/>
      <c r="P856" s="13"/>
      <c r="Q856" s="13"/>
    </row>
    <row r="857">
      <c r="N857" s="13"/>
      <c r="O857" s="13"/>
      <c r="P857" s="13"/>
      <c r="Q857" s="13"/>
    </row>
    <row r="858">
      <c r="N858" s="13"/>
      <c r="O858" s="13"/>
      <c r="P858" s="13"/>
      <c r="Q858" s="13"/>
    </row>
    <row r="859">
      <c r="N859" s="13"/>
      <c r="O859" s="13"/>
      <c r="P859" s="13"/>
      <c r="Q859" s="13"/>
    </row>
    <row r="860">
      <c r="N860" s="13"/>
      <c r="O860" s="13"/>
      <c r="P860" s="13"/>
      <c r="Q860" s="13"/>
    </row>
    <row r="861">
      <c r="N861" s="13"/>
      <c r="O861" s="13"/>
      <c r="P861" s="13"/>
      <c r="Q861" s="13"/>
    </row>
    <row r="862">
      <c r="N862" s="13"/>
      <c r="O862" s="13"/>
      <c r="P862" s="13"/>
      <c r="Q862" s="13"/>
    </row>
    <row r="863">
      <c r="N863" s="13"/>
      <c r="O863" s="13"/>
      <c r="P863" s="13"/>
      <c r="Q863" s="13"/>
    </row>
    <row r="864">
      <c r="N864" s="13"/>
      <c r="O864" s="13"/>
      <c r="P864" s="13"/>
      <c r="Q864" s="13"/>
    </row>
    <row r="865">
      <c r="N865" s="13"/>
      <c r="O865" s="13"/>
      <c r="P865" s="13"/>
      <c r="Q865" s="13"/>
    </row>
    <row r="866">
      <c r="N866" s="13"/>
      <c r="O866" s="13"/>
      <c r="P866" s="13"/>
      <c r="Q866" s="13"/>
    </row>
    <row r="867">
      <c r="N867" s="13"/>
      <c r="O867" s="13"/>
      <c r="P867" s="13"/>
      <c r="Q867" s="13"/>
    </row>
    <row r="868">
      <c r="N868" s="13"/>
      <c r="O868" s="13"/>
      <c r="P868" s="13"/>
      <c r="Q868" s="13"/>
    </row>
    <row r="869">
      <c r="N869" s="13"/>
      <c r="O869" s="13"/>
      <c r="P869" s="13"/>
      <c r="Q869" s="13"/>
    </row>
    <row r="870">
      <c r="N870" s="13"/>
      <c r="O870" s="13"/>
      <c r="P870" s="13"/>
      <c r="Q870" s="13"/>
    </row>
    <row r="871">
      <c r="N871" s="13"/>
      <c r="O871" s="13"/>
      <c r="P871" s="13"/>
      <c r="Q871" s="13"/>
    </row>
    <row r="872">
      <c r="N872" s="13"/>
      <c r="O872" s="13"/>
      <c r="P872" s="13"/>
      <c r="Q872" s="13"/>
    </row>
    <row r="873">
      <c r="N873" s="13"/>
      <c r="O873" s="13"/>
      <c r="P873" s="13"/>
      <c r="Q873" s="13"/>
    </row>
    <row r="874">
      <c r="N874" s="13"/>
      <c r="O874" s="13"/>
      <c r="P874" s="13"/>
      <c r="Q874" s="13"/>
    </row>
    <row r="875">
      <c r="N875" s="13"/>
      <c r="O875" s="13"/>
      <c r="P875" s="13"/>
      <c r="Q875" s="13"/>
    </row>
    <row r="876">
      <c r="N876" s="13"/>
      <c r="O876" s="13"/>
      <c r="P876" s="13"/>
      <c r="Q876" s="13"/>
    </row>
    <row r="877">
      <c r="N877" s="13"/>
      <c r="O877" s="13"/>
      <c r="P877" s="13"/>
      <c r="Q877" s="13"/>
    </row>
    <row r="878">
      <c r="N878" s="13"/>
      <c r="O878" s="13"/>
      <c r="P878" s="13"/>
      <c r="Q878" s="13"/>
    </row>
    <row r="879">
      <c r="N879" s="13"/>
      <c r="O879" s="13"/>
      <c r="P879" s="13"/>
      <c r="Q879" s="13"/>
    </row>
    <row r="880">
      <c r="N880" s="13"/>
      <c r="O880" s="13"/>
      <c r="P880" s="13"/>
      <c r="Q880" s="13"/>
    </row>
    <row r="881">
      <c r="N881" s="13"/>
      <c r="O881" s="13"/>
      <c r="P881" s="13"/>
      <c r="Q881" s="13"/>
    </row>
    <row r="882">
      <c r="N882" s="13"/>
      <c r="O882" s="13"/>
      <c r="P882" s="13"/>
      <c r="Q882" s="13"/>
    </row>
    <row r="883">
      <c r="N883" s="13"/>
      <c r="O883" s="13"/>
      <c r="P883" s="13"/>
      <c r="Q883" s="13"/>
    </row>
    <row r="884">
      <c r="N884" s="13"/>
      <c r="O884" s="13"/>
      <c r="P884" s="13"/>
      <c r="Q884" s="13"/>
    </row>
    <row r="885">
      <c r="N885" s="13"/>
      <c r="O885" s="13"/>
      <c r="P885" s="13"/>
      <c r="Q885" s="13"/>
    </row>
    <row r="886">
      <c r="N886" s="13"/>
      <c r="O886" s="13"/>
      <c r="P886" s="13"/>
      <c r="Q886" s="13"/>
    </row>
    <row r="887">
      <c r="N887" s="13"/>
      <c r="O887" s="13"/>
      <c r="P887" s="13"/>
      <c r="Q887" s="13"/>
    </row>
    <row r="888">
      <c r="N888" s="13"/>
      <c r="O888" s="13"/>
      <c r="P888" s="13"/>
      <c r="Q888" s="13"/>
    </row>
    <row r="889">
      <c r="N889" s="13"/>
      <c r="O889" s="13"/>
      <c r="P889" s="13"/>
      <c r="Q889" s="13"/>
    </row>
    <row r="890">
      <c r="N890" s="13"/>
      <c r="O890" s="13"/>
      <c r="P890" s="13"/>
      <c r="Q890" s="13"/>
    </row>
    <row r="891">
      <c r="N891" s="13"/>
      <c r="O891" s="13"/>
      <c r="P891" s="13"/>
      <c r="Q891" s="13"/>
    </row>
    <row r="892">
      <c r="N892" s="13"/>
      <c r="O892" s="13"/>
      <c r="P892" s="13"/>
      <c r="Q892" s="13"/>
    </row>
    <row r="893">
      <c r="N893" s="13"/>
      <c r="O893" s="13"/>
      <c r="P893" s="13"/>
      <c r="Q893" s="13"/>
    </row>
    <row r="894">
      <c r="N894" s="13"/>
      <c r="O894" s="13"/>
      <c r="P894" s="13"/>
      <c r="Q894" s="13"/>
    </row>
    <row r="895">
      <c r="N895" s="13"/>
      <c r="O895" s="13"/>
      <c r="P895" s="13"/>
      <c r="Q895" s="13"/>
    </row>
    <row r="896">
      <c r="N896" s="13"/>
      <c r="O896" s="13"/>
      <c r="P896" s="13"/>
      <c r="Q896" s="13"/>
    </row>
    <row r="897">
      <c r="N897" s="13"/>
      <c r="O897" s="13"/>
      <c r="P897" s="13"/>
      <c r="Q897" s="13"/>
    </row>
    <row r="898">
      <c r="N898" s="13"/>
      <c r="O898" s="13"/>
      <c r="P898" s="13"/>
      <c r="Q898" s="13"/>
    </row>
    <row r="899">
      <c r="N899" s="13"/>
      <c r="O899" s="13"/>
      <c r="P899" s="13"/>
      <c r="Q899" s="13"/>
    </row>
    <row r="900">
      <c r="N900" s="13"/>
      <c r="O900" s="13"/>
      <c r="P900" s="13"/>
      <c r="Q900" s="13"/>
    </row>
    <row r="901">
      <c r="N901" s="13"/>
      <c r="O901" s="13"/>
      <c r="P901" s="13"/>
      <c r="Q901" s="13"/>
    </row>
    <row r="902">
      <c r="N902" s="13"/>
      <c r="O902" s="13"/>
      <c r="P902" s="13"/>
      <c r="Q902" s="13"/>
    </row>
    <row r="903">
      <c r="N903" s="13"/>
      <c r="O903" s="13"/>
      <c r="P903" s="13"/>
      <c r="Q903" s="13"/>
    </row>
    <row r="904">
      <c r="N904" s="13"/>
      <c r="O904" s="13"/>
      <c r="P904" s="13"/>
      <c r="Q904" s="13"/>
    </row>
    <row r="905">
      <c r="N905" s="13"/>
      <c r="O905" s="13"/>
      <c r="P905" s="13"/>
      <c r="Q905" s="13"/>
    </row>
    <row r="906">
      <c r="N906" s="13"/>
      <c r="O906" s="13"/>
      <c r="P906" s="13"/>
      <c r="Q906" s="13"/>
    </row>
    <row r="907">
      <c r="N907" s="13"/>
      <c r="O907" s="13"/>
      <c r="P907" s="13"/>
      <c r="Q907" s="13"/>
    </row>
    <row r="908">
      <c r="N908" s="13"/>
      <c r="O908" s="13"/>
      <c r="P908" s="13"/>
      <c r="Q908" s="13"/>
    </row>
    <row r="909">
      <c r="N909" s="13"/>
      <c r="O909" s="13"/>
      <c r="P909" s="13"/>
      <c r="Q909" s="13"/>
    </row>
    <row r="910">
      <c r="N910" s="13"/>
      <c r="O910" s="13"/>
      <c r="P910" s="13"/>
      <c r="Q910" s="13"/>
    </row>
    <row r="911">
      <c r="N911" s="13"/>
      <c r="O911" s="13"/>
      <c r="P911" s="13"/>
      <c r="Q911" s="13"/>
    </row>
    <row r="912">
      <c r="N912" s="13"/>
      <c r="O912" s="13"/>
      <c r="P912" s="13"/>
      <c r="Q912" s="13"/>
    </row>
    <row r="913">
      <c r="N913" s="13"/>
      <c r="O913" s="13"/>
      <c r="P913" s="13"/>
      <c r="Q913" s="13"/>
    </row>
    <row r="914">
      <c r="N914" s="13"/>
      <c r="O914" s="13"/>
      <c r="P914" s="13"/>
      <c r="Q914" s="13"/>
    </row>
    <row r="915">
      <c r="N915" s="13"/>
      <c r="O915" s="13"/>
      <c r="P915" s="13"/>
      <c r="Q915" s="13"/>
    </row>
    <row r="916">
      <c r="N916" s="13"/>
      <c r="O916" s="13"/>
      <c r="P916" s="13"/>
      <c r="Q916" s="13"/>
    </row>
    <row r="917">
      <c r="N917" s="13"/>
      <c r="O917" s="13"/>
      <c r="P917" s="13"/>
      <c r="Q917" s="13"/>
    </row>
    <row r="918">
      <c r="N918" s="13"/>
      <c r="O918" s="13"/>
      <c r="P918" s="13"/>
      <c r="Q918" s="13"/>
    </row>
    <row r="919">
      <c r="N919" s="13"/>
      <c r="O919" s="13"/>
      <c r="P919" s="13"/>
      <c r="Q919" s="13"/>
    </row>
    <row r="920">
      <c r="N920" s="13"/>
      <c r="O920" s="13"/>
      <c r="P920" s="13"/>
      <c r="Q920" s="13"/>
    </row>
    <row r="921">
      <c r="N921" s="13"/>
      <c r="O921" s="13"/>
      <c r="P921" s="13"/>
      <c r="Q921" s="13"/>
    </row>
    <row r="922">
      <c r="N922" s="13"/>
      <c r="O922" s="13"/>
      <c r="P922" s="13"/>
      <c r="Q922" s="13"/>
    </row>
    <row r="923">
      <c r="N923" s="13"/>
      <c r="O923" s="13"/>
      <c r="P923" s="13"/>
      <c r="Q923" s="13"/>
    </row>
    <row r="924">
      <c r="N924" s="13"/>
      <c r="O924" s="13"/>
      <c r="P924" s="13"/>
      <c r="Q924" s="13"/>
    </row>
    <row r="925">
      <c r="N925" s="13"/>
      <c r="O925" s="13"/>
      <c r="P925" s="13"/>
      <c r="Q925" s="13"/>
    </row>
    <row r="926">
      <c r="N926" s="13"/>
      <c r="O926" s="13"/>
      <c r="P926" s="13"/>
      <c r="Q926" s="13"/>
    </row>
    <row r="927">
      <c r="N927" s="13"/>
      <c r="O927" s="13"/>
      <c r="P927" s="13"/>
      <c r="Q927" s="13"/>
    </row>
    <row r="928">
      <c r="N928" s="13"/>
      <c r="O928" s="13"/>
      <c r="P928" s="13"/>
      <c r="Q928" s="13"/>
    </row>
    <row r="929">
      <c r="N929" s="13"/>
      <c r="O929" s="13"/>
      <c r="P929" s="13"/>
      <c r="Q929" s="13"/>
    </row>
    <row r="930">
      <c r="N930" s="13"/>
      <c r="O930" s="13"/>
      <c r="P930" s="13"/>
      <c r="Q930" s="13"/>
    </row>
    <row r="931">
      <c r="N931" s="13"/>
      <c r="O931" s="13"/>
      <c r="P931" s="13"/>
      <c r="Q931" s="13"/>
    </row>
    <row r="932">
      <c r="N932" s="13"/>
      <c r="O932" s="13"/>
      <c r="P932" s="13"/>
      <c r="Q932" s="13"/>
    </row>
    <row r="933">
      <c r="N933" s="13"/>
      <c r="O933" s="13"/>
      <c r="P933" s="13"/>
      <c r="Q933" s="13"/>
    </row>
    <row r="934">
      <c r="N934" s="13"/>
      <c r="O934" s="13"/>
      <c r="P934" s="13"/>
      <c r="Q934" s="13"/>
    </row>
    <row r="935">
      <c r="N935" s="13"/>
      <c r="O935" s="13"/>
      <c r="P935" s="13"/>
      <c r="Q935" s="13"/>
    </row>
    <row r="936">
      <c r="N936" s="13"/>
      <c r="O936" s="13"/>
      <c r="P936" s="13"/>
      <c r="Q936" s="13"/>
    </row>
    <row r="937">
      <c r="N937" s="13"/>
      <c r="O937" s="13"/>
      <c r="P937" s="13"/>
      <c r="Q937" s="13"/>
    </row>
    <row r="938">
      <c r="N938" s="13"/>
      <c r="O938" s="13"/>
      <c r="P938" s="13"/>
      <c r="Q938" s="13"/>
    </row>
    <row r="939">
      <c r="N939" s="13"/>
      <c r="O939" s="13"/>
      <c r="P939" s="13"/>
      <c r="Q939" s="13"/>
    </row>
    <row r="940">
      <c r="N940" s="13"/>
      <c r="O940" s="13"/>
      <c r="P940" s="13"/>
      <c r="Q940" s="13"/>
    </row>
    <row r="941">
      <c r="N941" s="13"/>
      <c r="O941" s="13"/>
      <c r="P941" s="13"/>
      <c r="Q941" s="13"/>
    </row>
    <row r="942">
      <c r="N942" s="13"/>
      <c r="O942" s="13"/>
      <c r="P942" s="13"/>
      <c r="Q942" s="13"/>
    </row>
    <row r="943">
      <c r="N943" s="13"/>
      <c r="O943" s="13"/>
      <c r="P943" s="13"/>
      <c r="Q943" s="13"/>
    </row>
    <row r="944">
      <c r="N944" s="13"/>
      <c r="O944" s="13"/>
      <c r="P944" s="13"/>
      <c r="Q944" s="13"/>
    </row>
    <row r="945">
      <c r="N945" s="13"/>
      <c r="O945" s="13"/>
      <c r="P945" s="13"/>
      <c r="Q945" s="13"/>
    </row>
    <row r="946">
      <c r="N946" s="13"/>
      <c r="O946" s="13"/>
      <c r="P946" s="13"/>
      <c r="Q946" s="13"/>
    </row>
    <row r="947">
      <c r="N947" s="13"/>
      <c r="O947" s="13"/>
      <c r="P947" s="13"/>
      <c r="Q947" s="13"/>
    </row>
    <row r="948">
      <c r="N948" s="13"/>
      <c r="O948" s="13"/>
      <c r="P948" s="13"/>
      <c r="Q948" s="13"/>
    </row>
    <row r="949">
      <c r="N949" s="13"/>
      <c r="O949" s="13"/>
      <c r="P949" s="13"/>
      <c r="Q949" s="13"/>
    </row>
    <row r="950">
      <c r="N950" s="13"/>
      <c r="O950" s="13"/>
      <c r="P950" s="13"/>
      <c r="Q950" s="13"/>
    </row>
    <row r="951">
      <c r="N951" s="13"/>
      <c r="O951" s="13"/>
      <c r="P951" s="13"/>
      <c r="Q951" s="13"/>
    </row>
    <row r="952">
      <c r="N952" s="13"/>
      <c r="O952" s="13"/>
      <c r="P952" s="13"/>
      <c r="Q952" s="13"/>
    </row>
    <row r="953">
      <c r="N953" s="13"/>
      <c r="O953" s="13"/>
      <c r="P953" s="13"/>
      <c r="Q953" s="13"/>
    </row>
    <row r="954">
      <c r="N954" s="13"/>
      <c r="O954" s="13"/>
      <c r="P954" s="13"/>
      <c r="Q954" s="13"/>
    </row>
    <row r="955">
      <c r="N955" s="13"/>
      <c r="O955" s="13"/>
      <c r="P955" s="13"/>
      <c r="Q955" s="13"/>
    </row>
    <row r="956">
      <c r="N956" s="13"/>
      <c r="O956" s="13"/>
      <c r="P956" s="13"/>
      <c r="Q956" s="13"/>
    </row>
    <row r="957">
      <c r="N957" s="13"/>
      <c r="O957" s="13"/>
      <c r="P957" s="13"/>
      <c r="Q957" s="13"/>
    </row>
    <row r="958">
      <c r="N958" s="13"/>
      <c r="O958" s="13"/>
      <c r="P958" s="13"/>
      <c r="Q958" s="13"/>
    </row>
    <row r="959">
      <c r="N959" s="13"/>
      <c r="O959" s="13"/>
      <c r="P959" s="13"/>
      <c r="Q959" s="13"/>
    </row>
    <row r="960">
      <c r="N960" s="13"/>
      <c r="O960" s="13"/>
      <c r="P960" s="13"/>
      <c r="Q960" s="13"/>
    </row>
    <row r="961">
      <c r="N961" s="13"/>
      <c r="O961" s="13"/>
      <c r="P961" s="13"/>
      <c r="Q961" s="13"/>
    </row>
    <row r="962">
      <c r="N962" s="13"/>
      <c r="O962" s="13"/>
      <c r="P962" s="13"/>
      <c r="Q962" s="13"/>
    </row>
    <row r="963">
      <c r="N963" s="13"/>
      <c r="O963" s="13"/>
      <c r="P963" s="13"/>
      <c r="Q963" s="13"/>
    </row>
    <row r="964">
      <c r="N964" s="13"/>
      <c r="O964" s="13"/>
      <c r="P964" s="13"/>
      <c r="Q964" s="13"/>
    </row>
    <row r="965">
      <c r="N965" s="13"/>
      <c r="O965" s="13"/>
      <c r="P965" s="13"/>
      <c r="Q965" s="13"/>
    </row>
    <row r="966">
      <c r="N966" s="13"/>
      <c r="O966" s="13"/>
      <c r="P966" s="13"/>
      <c r="Q966" s="13"/>
    </row>
    <row r="967">
      <c r="N967" s="13"/>
      <c r="O967" s="13"/>
      <c r="P967" s="13"/>
      <c r="Q967" s="13"/>
    </row>
    <row r="968">
      <c r="N968" s="13"/>
      <c r="O968" s="13"/>
      <c r="P968" s="13"/>
      <c r="Q968" s="13"/>
    </row>
    <row r="969">
      <c r="N969" s="13"/>
      <c r="O969" s="13"/>
      <c r="P969" s="13"/>
      <c r="Q969" s="13"/>
    </row>
    <row r="970">
      <c r="N970" s="13"/>
      <c r="O970" s="13"/>
      <c r="P970" s="13"/>
      <c r="Q970" s="13"/>
    </row>
    <row r="971">
      <c r="N971" s="13"/>
      <c r="O971" s="13"/>
      <c r="P971" s="13"/>
      <c r="Q971" s="13"/>
    </row>
    <row r="972">
      <c r="N972" s="13"/>
      <c r="O972" s="13"/>
      <c r="P972" s="13"/>
      <c r="Q972" s="13"/>
    </row>
    <row r="973">
      <c r="N973" s="13"/>
      <c r="O973" s="13"/>
      <c r="P973" s="13"/>
      <c r="Q973" s="13"/>
    </row>
    <row r="974">
      <c r="N974" s="13"/>
      <c r="O974" s="13"/>
      <c r="P974" s="13"/>
      <c r="Q974" s="13"/>
    </row>
    <row r="975">
      <c r="N975" s="13"/>
      <c r="O975" s="13"/>
      <c r="P975" s="13"/>
      <c r="Q975" s="13"/>
    </row>
    <row r="976">
      <c r="N976" s="13"/>
      <c r="O976" s="13"/>
      <c r="P976" s="13"/>
      <c r="Q976" s="13"/>
    </row>
    <row r="977">
      <c r="N977" s="13"/>
      <c r="O977" s="13"/>
      <c r="P977" s="13"/>
      <c r="Q977" s="13"/>
    </row>
    <row r="978">
      <c r="N978" s="13"/>
      <c r="O978" s="13"/>
      <c r="P978" s="13"/>
      <c r="Q978" s="13"/>
    </row>
    <row r="979">
      <c r="N979" s="13"/>
      <c r="O979" s="13"/>
      <c r="P979" s="13"/>
      <c r="Q979" s="13"/>
    </row>
    <row r="980">
      <c r="N980" s="13"/>
      <c r="O980" s="13"/>
      <c r="P980" s="13"/>
      <c r="Q980" s="13"/>
    </row>
    <row r="981">
      <c r="N981" s="13"/>
      <c r="O981" s="13"/>
      <c r="P981" s="13"/>
      <c r="Q981" s="13"/>
    </row>
    <row r="982">
      <c r="N982" s="13"/>
      <c r="O982" s="13"/>
      <c r="P982" s="13"/>
      <c r="Q982" s="13"/>
    </row>
    <row r="983">
      <c r="N983" s="13"/>
      <c r="O983" s="13"/>
      <c r="P983" s="13"/>
      <c r="Q983" s="13"/>
    </row>
    <row r="984">
      <c r="N984" s="13"/>
      <c r="O984" s="13"/>
      <c r="P984" s="13"/>
      <c r="Q984" s="13"/>
    </row>
    <row r="985">
      <c r="N985" s="13"/>
      <c r="O985" s="13"/>
      <c r="P985" s="13"/>
      <c r="Q985" s="13"/>
    </row>
    <row r="986">
      <c r="N986" s="13"/>
      <c r="O986" s="13"/>
      <c r="P986" s="13"/>
      <c r="Q986" s="13"/>
    </row>
    <row r="987">
      <c r="N987" s="13"/>
      <c r="O987" s="13"/>
      <c r="P987" s="13"/>
      <c r="Q987" s="13"/>
    </row>
    <row r="988">
      <c r="N988" s="13"/>
      <c r="O988" s="13"/>
      <c r="P988" s="13"/>
      <c r="Q988" s="13"/>
    </row>
    <row r="989">
      <c r="N989" s="13"/>
      <c r="O989" s="13"/>
      <c r="P989" s="13"/>
      <c r="Q989" s="13"/>
    </row>
    <row r="990">
      <c r="N990" s="13"/>
      <c r="O990" s="13"/>
      <c r="P990" s="13"/>
      <c r="Q990" s="13"/>
    </row>
    <row r="991">
      <c r="N991" s="13"/>
      <c r="O991" s="13"/>
      <c r="P991" s="13"/>
      <c r="Q991" s="13"/>
    </row>
    <row r="992">
      <c r="N992" s="13"/>
      <c r="O992" s="13"/>
      <c r="P992" s="13"/>
      <c r="Q992" s="13"/>
    </row>
    <row r="993">
      <c r="N993" s="13"/>
      <c r="O993" s="13"/>
      <c r="P993" s="13"/>
      <c r="Q993" s="13"/>
    </row>
    <row r="994">
      <c r="N994" s="13"/>
      <c r="O994" s="13"/>
      <c r="P994" s="13"/>
      <c r="Q994" s="13"/>
    </row>
    <row r="995">
      <c r="N995" s="13"/>
      <c r="O995" s="13"/>
      <c r="P995" s="13"/>
      <c r="Q995" s="13"/>
    </row>
    <row r="996">
      <c r="N996" s="13"/>
      <c r="O996" s="13"/>
      <c r="P996" s="13"/>
      <c r="Q996" s="13"/>
    </row>
    <row r="997">
      <c r="N997" s="13"/>
      <c r="O997" s="13"/>
      <c r="P997" s="13"/>
      <c r="Q997" s="13"/>
    </row>
    <row r="998">
      <c r="N998" s="13"/>
      <c r="O998" s="13"/>
      <c r="P998" s="13"/>
      <c r="Q998" s="13"/>
    </row>
    <row r="999">
      <c r="N999" s="13"/>
      <c r="O999" s="13"/>
      <c r="P999" s="13"/>
      <c r="Q999" s="13"/>
    </row>
    <row r="1000">
      <c r="N1000" s="13"/>
      <c r="O1000" s="13"/>
      <c r="P1000" s="13"/>
      <c r="Q1000" s="13"/>
    </row>
    <row r="1001">
      <c r="N1001" s="13"/>
      <c r="O1001" s="13"/>
      <c r="P1001" s="13"/>
      <c r="Q1001" s="13"/>
    </row>
    <row r="1002">
      <c r="N1002" s="13"/>
      <c r="O1002" s="13"/>
      <c r="P1002" s="13"/>
      <c r="Q1002" s="13"/>
    </row>
    <row r="1003">
      <c r="N1003" s="13"/>
      <c r="O1003" s="13"/>
      <c r="P1003" s="13"/>
      <c r="Q1003" s="13"/>
    </row>
    <row r="1004">
      <c r="N1004" s="13"/>
      <c r="O1004" s="13"/>
      <c r="P1004" s="13"/>
      <c r="Q1004" s="13"/>
    </row>
    <row r="1005">
      <c r="N1005" s="13"/>
      <c r="O1005" s="13"/>
      <c r="P1005" s="13"/>
      <c r="Q1005" s="13"/>
    </row>
    <row r="1006">
      <c r="N1006" s="13"/>
      <c r="O1006" s="13"/>
      <c r="P1006" s="13"/>
      <c r="Q1006" s="13"/>
    </row>
    <row r="1007">
      <c r="N1007" s="13"/>
      <c r="O1007" s="13"/>
      <c r="P1007" s="13"/>
      <c r="Q1007" s="13"/>
    </row>
    <row r="1008">
      <c r="N1008" s="13"/>
      <c r="O1008" s="13"/>
      <c r="P1008" s="13"/>
      <c r="Q1008" s="13"/>
    </row>
    <row r="1009">
      <c r="N1009" s="13"/>
      <c r="O1009" s="13"/>
      <c r="P1009" s="13"/>
      <c r="Q1009" s="13"/>
    </row>
    <row r="1010">
      <c r="N1010" s="13"/>
      <c r="O1010" s="13"/>
      <c r="P1010" s="13"/>
      <c r="Q1010" s="13"/>
    </row>
    <row r="1011">
      <c r="N1011" s="13"/>
      <c r="O1011" s="13"/>
      <c r="P1011" s="13"/>
      <c r="Q1011" s="13"/>
    </row>
    <row r="1012">
      <c r="N1012" s="13"/>
      <c r="O1012" s="13"/>
      <c r="P1012" s="13"/>
      <c r="Q1012" s="13"/>
    </row>
    <row r="1013">
      <c r="N1013" s="13"/>
      <c r="O1013" s="13"/>
      <c r="P1013" s="13"/>
      <c r="Q1013" s="13"/>
    </row>
    <row r="1014">
      <c r="N1014" s="13"/>
      <c r="O1014" s="13"/>
      <c r="P1014" s="13"/>
      <c r="Q1014" s="13"/>
    </row>
    <row r="1015">
      <c r="N1015" s="13"/>
      <c r="O1015" s="13"/>
      <c r="P1015" s="13"/>
      <c r="Q1015" s="13"/>
    </row>
    <row r="1016">
      <c r="N1016" s="13"/>
      <c r="O1016" s="13"/>
      <c r="P1016" s="13"/>
      <c r="Q1016" s="13"/>
    </row>
    <row r="1017">
      <c r="N1017" s="13"/>
      <c r="O1017" s="13"/>
      <c r="P1017" s="13"/>
      <c r="Q1017" s="13"/>
    </row>
    <row r="1018">
      <c r="N1018" s="13"/>
      <c r="O1018" s="13"/>
      <c r="P1018" s="13"/>
      <c r="Q1018" s="13"/>
    </row>
    <row r="1019">
      <c r="N1019" s="13"/>
      <c r="O1019" s="13"/>
      <c r="P1019" s="13"/>
      <c r="Q1019" s="13"/>
    </row>
    <row r="1020">
      <c r="N1020" s="13"/>
      <c r="O1020" s="13"/>
      <c r="P1020" s="13"/>
      <c r="Q1020" s="13"/>
    </row>
    <row r="1021">
      <c r="N1021" s="13"/>
      <c r="O1021" s="13"/>
      <c r="P1021" s="13"/>
      <c r="Q1021" s="13"/>
    </row>
    <row r="1022">
      <c r="N1022" s="13"/>
      <c r="O1022" s="13"/>
      <c r="P1022" s="13"/>
      <c r="Q1022" s="13"/>
    </row>
    <row r="1023">
      <c r="N1023" s="13"/>
      <c r="O1023" s="13"/>
      <c r="P1023" s="13"/>
      <c r="Q1023" s="13"/>
    </row>
    <row r="1024">
      <c r="N1024" s="13"/>
      <c r="O1024" s="13"/>
      <c r="P1024" s="13"/>
      <c r="Q1024" s="13"/>
    </row>
    <row r="1025">
      <c r="N1025" s="13"/>
      <c r="O1025" s="13"/>
      <c r="P1025" s="13"/>
      <c r="Q1025" s="13"/>
    </row>
    <row r="1026">
      <c r="N1026" s="13"/>
      <c r="O1026" s="13"/>
      <c r="P1026" s="13"/>
      <c r="Q1026" s="13"/>
    </row>
    <row r="1027">
      <c r="N1027" s="13"/>
      <c r="O1027" s="13"/>
      <c r="P1027" s="13"/>
      <c r="Q1027" s="13"/>
    </row>
    <row r="1028">
      <c r="N1028" s="13"/>
      <c r="O1028" s="13"/>
      <c r="P1028" s="13"/>
      <c r="Q1028" s="13"/>
    </row>
    <row r="1029">
      <c r="N1029" s="13"/>
      <c r="O1029" s="13"/>
      <c r="P1029" s="13"/>
      <c r="Q1029" s="13"/>
    </row>
    <row r="1030">
      <c r="N1030" s="13"/>
      <c r="O1030" s="13"/>
      <c r="P1030" s="13"/>
      <c r="Q1030" s="13"/>
    </row>
    <row r="1031">
      <c r="N1031" s="13"/>
      <c r="O1031" s="13"/>
      <c r="P1031" s="13"/>
      <c r="Q1031" s="13"/>
    </row>
    <row r="1032">
      <c r="N1032" s="13"/>
      <c r="O1032" s="13"/>
      <c r="P1032" s="13"/>
      <c r="Q1032" s="13"/>
    </row>
    <row r="1033">
      <c r="N1033" s="13"/>
      <c r="O1033" s="13"/>
      <c r="P1033" s="13"/>
      <c r="Q1033" s="13"/>
    </row>
    <row r="1034">
      <c r="N1034" s="13"/>
      <c r="O1034" s="13"/>
      <c r="P1034" s="13"/>
      <c r="Q1034" s="13"/>
    </row>
    <row r="1035">
      <c r="N1035" s="13"/>
      <c r="O1035" s="13"/>
      <c r="P1035" s="13"/>
      <c r="Q1035" s="13"/>
    </row>
    <row r="1036">
      <c r="N1036" s="13"/>
      <c r="O1036" s="13"/>
      <c r="P1036" s="13"/>
      <c r="Q1036" s="13"/>
    </row>
    <row r="1037">
      <c r="N1037" s="13"/>
      <c r="O1037" s="13"/>
      <c r="P1037" s="13"/>
      <c r="Q1037" s="13"/>
    </row>
    <row r="1038">
      <c r="N1038" s="13"/>
      <c r="O1038" s="13"/>
      <c r="P1038" s="13"/>
      <c r="Q1038" s="13"/>
    </row>
    <row r="1039">
      <c r="N1039" s="13"/>
      <c r="O1039" s="13"/>
      <c r="P1039" s="13"/>
      <c r="Q1039" s="13"/>
    </row>
    <row r="1040">
      <c r="N1040" s="13"/>
      <c r="O1040" s="13"/>
      <c r="P1040" s="13"/>
      <c r="Q1040" s="13"/>
    </row>
    <row r="1041">
      <c r="N1041" s="13"/>
      <c r="O1041" s="13"/>
      <c r="P1041" s="13"/>
      <c r="Q1041" s="13"/>
    </row>
    <row r="1042">
      <c r="N1042" s="13"/>
      <c r="O1042" s="13"/>
      <c r="P1042" s="13"/>
      <c r="Q1042" s="13"/>
    </row>
    <row r="1043">
      <c r="N1043" s="13"/>
      <c r="O1043" s="13"/>
      <c r="P1043" s="13"/>
      <c r="Q1043" s="13"/>
    </row>
    <row r="1044">
      <c r="N1044" s="13"/>
      <c r="O1044" s="13"/>
      <c r="P1044" s="13"/>
      <c r="Q1044" s="13"/>
    </row>
    <row r="1045">
      <c r="N1045" s="13"/>
      <c r="O1045" s="13"/>
      <c r="P1045" s="13"/>
      <c r="Q1045" s="13"/>
    </row>
    <row r="1046">
      <c r="N1046" s="13"/>
      <c r="O1046" s="13"/>
      <c r="P1046" s="13"/>
      <c r="Q1046" s="13"/>
    </row>
    <row r="1047">
      <c r="N1047" s="13"/>
      <c r="O1047" s="13"/>
      <c r="P1047" s="13"/>
      <c r="Q1047" s="13"/>
    </row>
    <row r="1048">
      <c r="N1048" s="13"/>
      <c r="O1048" s="13"/>
      <c r="P1048" s="13"/>
      <c r="Q1048" s="13"/>
    </row>
    <row r="1049">
      <c r="N1049" s="13"/>
      <c r="O1049" s="13"/>
      <c r="P1049" s="13"/>
      <c r="Q1049" s="13"/>
    </row>
    <row r="1050">
      <c r="N1050" s="13"/>
      <c r="O1050" s="13"/>
      <c r="P1050" s="13"/>
      <c r="Q1050" s="13"/>
    </row>
    <row r="1051">
      <c r="N1051" s="13"/>
      <c r="O1051" s="13"/>
      <c r="P1051" s="13"/>
      <c r="Q1051" s="13"/>
    </row>
    <row r="1052">
      <c r="N1052" s="13"/>
      <c r="O1052" s="13"/>
      <c r="P1052" s="13"/>
      <c r="Q1052" s="13"/>
    </row>
    <row r="1053">
      <c r="N1053" s="13"/>
      <c r="O1053" s="13"/>
      <c r="P1053" s="13"/>
      <c r="Q1053" s="13"/>
    </row>
    <row r="1054">
      <c r="N1054" s="13"/>
      <c r="O1054" s="13"/>
      <c r="P1054" s="13"/>
      <c r="Q1054" s="13"/>
    </row>
    <row r="1055">
      <c r="N1055" s="13"/>
      <c r="O1055" s="13"/>
      <c r="P1055" s="13"/>
      <c r="Q1055" s="13"/>
    </row>
    <row r="1056">
      <c r="N1056" s="13"/>
      <c r="O1056" s="13"/>
      <c r="P1056" s="13"/>
      <c r="Q1056" s="13"/>
    </row>
    <row r="1057">
      <c r="N1057" s="13"/>
      <c r="O1057" s="13"/>
      <c r="P1057" s="13"/>
      <c r="Q1057" s="13"/>
    </row>
    <row r="1058">
      <c r="N1058" s="13"/>
      <c r="O1058" s="13"/>
      <c r="P1058" s="13"/>
      <c r="Q1058" s="13"/>
    </row>
    <row r="1059">
      <c r="N1059" s="13"/>
      <c r="O1059" s="13"/>
      <c r="P1059" s="13"/>
      <c r="Q1059" s="13"/>
    </row>
    <row r="1060">
      <c r="N1060" s="13"/>
      <c r="O1060" s="13"/>
      <c r="P1060" s="13"/>
      <c r="Q1060" s="13"/>
    </row>
    <row r="1061">
      <c r="N1061" s="13"/>
      <c r="O1061" s="13"/>
      <c r="P1061" s="13"/>
      <c r="Q1061" s="13"/>
    </row>
    <row r="1062">
      <c r="N1062" s="13"/>
      <c r="O1062" s="13"/>
      <c r="P1062" s="13"/>
      <c r="Q1062" s="13"/>
    </row>
    <row r="1063">
      <c r="N1063" s="13"/>
      <c r="O1063" s="13"/>
      <c r="P1063" s="13"/>
      <c r="Q1063" s="13"/>
    </row>
    <row r="1064">
      <c r="N1064" s="13"/>
      <c r="O1064" s="13"/>
      <c r="P1064" s="13"/>
      <c r="Q1064" s="13"/>
    </row>
    <row r="1065">
      <c r="N1065" s="13"/>
      <c r="O1065" s="13"/>
      <c r="P1065" s="13"/>
      <c r="Q1065" s="13"/>
    </row>
    <row r="1066">
      <c r="N1066" s="13"/>
      <c r="O1066" s="13"/>
      <c r="P1066" s="13"/>
      <c r="Q1066" s="13"/>
    </row>
    <row r="1067">
      <c r="N1067" s="13"/>
      <c r="O1067" s="13"/>
      <c r="P1067" s="13"/>
      <c r="Q1067" s="13"/>
    </row>
    <row r="1068">
      <c r="N1068" s="13"/>
      <c r="O1068" s="13"/>
      <c r="P1068" s="13"/>
      <c r="Q1068" s="13"/>
    </row>
    <row r="1069">
      <c r="N1069" s="13"/>
      <c r="O1069" s="13"/>
      <c r="P1069" s="13"/>
      <c r="Q1069" s="13"/>
    </row>
    <row r="1070">
      <c r="N1070" s="13"/>
      <c r="O1070" s="13"/>
      <c r="P1070" s="13"/>
      <c r="Q1070" s="13"/>
    </row>
    <row r="1071">
      <c r="N1071" s="13"/>
      <c r="O1071" s="13"/>
      <c r="P1071" s="13"/>
      <c r="Q1071" s="13"/>
    </row>
    <row r="1072">
      <c r="N1072" s="13"/>
      <c r="O1072" s="13"/>
      <c r="P1072" s="13"/>
      <c r="Q1072" s="13"/>
    </row>
    <row r="1073">
      <c r="N1073" s="13"/>
      <c r="O1073" s="13"/>
      <c r="P1073" s="13"/>
      <c r="Q1073" s="13"/>
    </row>
    <row r="1074">
      <c r="N1074" s="13"/>
      <c r="O1074" s="13"/>
      <c r="P1074" s="13"/>
      <c r="Q1074" s="13"/>
    </row>
    <row r="1075">
      <c r="N1075" s="13"/>
      <c r="O1075" s="13"/>
      <c r="P1075" s="13"/>
      <c r="Q1075" s="13"/>
    </row>
    <row r="1076">
      <c r="N1076" s="13"/>
      <c r="O1076" s="13"/>
      <c r="P1076" s="13"/>
      <c r="Q1076" s="13"/>
    </row>
    <row r="1077">
      <c r="N1077" s="13"/>
      <c r="O1077" s="13"/>
      <c r="P1077" s="13"/>
      <c r="Q1077" s="13"/>
    </row>
    <row r="1078">
      <c r="N1078" s="13"/>
      <c r="O1078" s="13"/>
      <c r="P1078" s="13"/>
      <c r="Q1078" s="13"/>
    </row>
    <row r="1079">
      <c r="N1079" s="13"/>
      <c r="O1079" s="13"/>
      <c r="P1079" s="13"/>
      <c r="Q1079" s="13"/>
    </row>
    <row r="1080">
      <c r="N1080" s="13"/>
      <c r="O1080" s="13"/>
      <c r="P1080" s="13"/>
      <c r="Q1080" s="13"/>
    </row>
    <row r="1081">
      <c r="N1081" s="13"/>
      <c r="O1081" s="13"/>
      <c r="P1081" s="13"/>
      <c r="Q1081" s="13"/>
    </row>
    <row r="1082">
      <c r="N1082" s="13"/>
      <c r="O1082" s="13"/>
      <c r="P1082" s="13"/>
      <c r="Q1082" s="13"/>
    </row>
    <row r="1083">
      <c r="N1083" s="13"/>
      <c r="O1083" s="13"/>
      <c r="P1083" s="13"/>
      <c r="Q1083" s="13"/>
    </row>
    <row r="1084">
      <c r="N1084" s="13"/>
      <c r="O1084" s="13"/>
      <c r="P1084" s="13"/>
      <c r="Q1084" s="13"/>
    </row>
    <row r="1085">
      <c r="N1085" s="13"/>
      <c r="O1085" s="13"/>
      <c r="P1085" s="13"/>
      <c r="Q1085" s="13"/>
    </row>
    <row r="1086">
      <c r="N1086" s="13"/>
      <c r="O1086" s="13"/>
      <c r="P1086" s="13"/>
      <c r="Q1086" s="13"/>
    </row>
    <row r="1087">
      <c r="N1087" s="13"/>
      <c r="O1087" s="13"/>
      <c r="P1087" s="13"/>
      <c r="Q1087" s="13"/>
    </row>
    <row r="1088">
      <c r="N1088" s="13"/>
      <c r="O1088" s="13"/>
      <c r="P1088" s="13"/>
      <c r="Q1088" s="13"/>
    </row>
    <row r="1089">
      <c r="N1089" s="13"/>
      <c r="O1089" s="13"/>
      <c r="P1089" s="13"/>
      <c r="Q1089" s="13"/>
    </row>
    <row r="1090">
      <c r="N1090" s="13"/>
      <c r="O1090" s="13"/>
      <c r="P1090" s="13"/>
      <c r="Q1090" s="13"/>
    </row>
    <row r="1091">
      <c r="N1091" s="13"/>
      <c r="O1091" s="13"/>
      <c r="P1091" s="13"/>
      <c r="Q1091" s="13"/>
    </row>
    <row r="1092">
      <c r="N1092" s="13"/>
      <c r="O1092" s="13"/>
      <c r="P1092" s="13"/>
      <c r="Q1092" s="13"/>
    </row>
    <row r="1093">
      <c r="N1093" s="13"/>
      <c r="O1093" s="13"/>
      <c r="P1093" s="13"/>
      <c r="Q1093" s="13"/>
    </row>
    <row r="1094">
      <c r="N1094" s="13"/>
      <c r="O1094" s="13"/>
      <c r="P1094" s="13"/>
      <c r="Q1094" s="13"/>
    </row>
    <row r="1095">
      <c r="N1095" s="13"/>
      <c r="O1095" s="13"/>
      <c r="P1095" s="13"/>
      <c r="Q1095" s="13"/>
    </row>
    <row r="1096">
      <c r="N1096" s="13"/>
      <c r="O1096" s="13"/>
      <c r="P1096" s="13"/>
      <c r="Q1096" s="13"/>
    </row>
    <row r="1097">
      <c r="N1097" s="13"/>
      <c r="O1097" s="13"/>
      <c r="P1097" s="13"/>
      <c r="Q1097" s="13"/>
    </row>
    <row r="1098">
      <c r="N1098" s="13"/>
      <c r="O1098" s="13"/>
      <c r="P1098" s="13"/>
      <c r="Q1098" s="13"/>
    </row>
    <row r="1099">
      <c r="N1099" s="13"/>
      <c r="O1099" s="13"/>
      <c r="P1099" s="13"/>
      <c r="Q1099" s="13"/>
    </row>
    <row r="1100">
      <c r="N1100" s="13"/>
      <c r="O1100" s="13"/>
      <c r="P1100" s="13"/>
      <c r="Q1100" s="13"/>
    </row>
    <row r="1101">
      <c r="N1101" s="13"/>
      <c r="O1101" s="13"/>
      <c r="P1101" s="13"/>
      <c r="Q1101" s="13"/>
    </row>
    <row r="1102">
      <c r="N1102" s="13"/>
      <c r="O1102" s="13"/>
      <c r="P1102" s="13"/>
      <c r="Q1102" s="13"/>
    </row>
    <row r="1103">
      <c r="N1103" s="13"/>
      <c r="O1103" s="13"/>
      <c r="P1103" s="13"/>
      <c r="Q1103" s="13"/>
    </row>
    <row r="1104">
      <c r="N1104" s="13"/>
      <c r="O1104" s="13"/>
      <c r="P1104" s="13"/>
      <c r="Q1104" s="13"/>
    </row>
    <row r="1105">
      <c r="N1105" s="13"/>
      <c r="O1105" s="13"/>
      <c r="P1105" s="13"/>
      <c r="Q1105" s="13"/>
    </row>
    <row r="1106">
      <c r="N1106" s="13"/>
      <c r="O1106" s="13"/>
      <c r="P1106" s="13"/>
      <c r="Q1106" s="13"/>
    </row>
    <row r="1107">
      <c r="N1107" s="13"/>
      <c r="O1107" s="13"/>
      <c r="P1107" s="13"/>
      <c r="Q1107" s="13"/>
    </row>
    <row r="1108">
      <c r="N1108" s="13"/>
      <c r="O1108" s="13"/>
      <c r="P1108" s="13"/>
      <c r="Q1108" s="13"/>
    </row>
    <row r="1109">
      <c r="N1109" s="13"/>
      <c r="O1109" s="13"/>
      <c r="P1109" s="13"/>
      <c r="Q1109" s="13"/>
    </row>
    <row r="1110">
      <c r="N1110" s="13"/>
      <c r="O1110" s="13"/>
      <c r="P1110" s="13"/>
      <c r="Q1110" s="13"/>
    </row>
    <row r="1111">
      <c r="N1111" s="13"/>
      <c r="O1111" s="13"/>
      <c r="P1111" s="13"/>
      <c r="Q1111" s="13"/>
    </row>
    <row r="1112">
      <c r="N1112" s="13"/>
      <c r="O1112" s="13"/>
      <c r="P1112" s="13"/>
      <c r="Q1112" s="13"/>
    </row>
    <row r="1113">
      <c r="N1113" s="13"/>
      <c r="O1113" s="13"/>
      <c r="P1113" s="13"/>
      <c r="Q1113" s="13"/>
    </row>
    <row r="1114">
      <c r="N1114" s="13"/>
      <c r="O1114" s="13"/>
      <c r="P1114" s="13"/>
      <c r="Q1114" s="13"/>
    </row>
    <row r="1115">
      <c r="N1115" s="13"/>
      <c r="O1115" s="13"/>
      <c r="P1115" s="13"/>
      <c r="Q1115" s="13"/>
    </row>
    <row r="1116">
      <c r="N1116" s="13"/>
      <c r="O1116" s="13"/>
      <c r="P1116" s="13"/>
      <c r="Q1116" s="13"/>
    </row>
    <row r="1117">
      <c r="N1117" s="13"/>
      <c r="O1117" s="13"/>
      <c r="P1117" s="13"/>
      <c r="Q1117" s="13"/>
    </row>
    <row r="1118">
      <c r="N1118" s="13"/>
      <c r="O1118" s="13"/>
      <c r="P1118" s="13"/>
      <c r="Q1118" s="13"/>
    </row>
    <row r="1119">
      <c r="N1119" s="13"/>
      <c r="O1119" s="13"/>
      <c r="P1119" s="13"/>
      <c r="Q1119" s="13"/>
    </row>
    <row r="1120">
      <c r="N1120" s="13"/>
      <c r="O1120" s="13"/>
      <c r="P1120" s="13"/>
      <c r="Q1120" s="13"/>
    </row>
    <row r="1121">
      <c r="N1121" s="13"/>
      <c r="O1121" s="13"/>
      <c r="P1121" s="13"/>
      <c r="Q1121" s="13"/>
    </row>
    <row r="1122">
      <c r="N1122" s="13"/>
      <c r="O1122" s="13"/>
      <c r="P1122" s="13"/>
      <c r="Q1122" s="13"/>
    </row>
    <row r="1123">
      <c r="N1123" s="13"/>
      <c r="O1123" s="13"/>
      <c r="P1123" s="13"/>
      <c r="Q1123" s="13"/>
    </row>
    <row r="1124">
      <c r="N1124" s="13"/>
      <c r="O1124" s="13"/>
      <c r="P1124" s="13"/>
      <c r="Q1124" s="13"/>
    </row>
    <row r="1125">
      <c r="N1125" s="13"/>
      <c r="O1125" s="13"/>
      <c r="P1125" s="13"/>
      <c r="Q1125" s="13"/>
    </row>
    <row r="1126">
      <c r="N1126" s="13"/>
      <c r="O1126" s="13"/>
      <c r="P1126" s="13"/>
      <c r="Q1126" s="13"/>
    </row>
    <row r="1127">
      <c r="N1127" s="13"/>
      <c r="O1127" s="13"/>
      <c r="P1127" s="13"/>
      <c r="Q1127" s="13"/>
    </row>
    <row r="1128">
      <c r="N1128" s="13"/>
      <c r="O1128" s="13"/>
      <c r="P1128" s="13"/>
      <c r="Q1128" s="13"/>
    </row>
    <row r="1129">
      <c r="N1129" s="13"/>
      <c r="O1129" s="13"/>
      <c r="P1129" s="13"/>
      <c r="Q1129" s="13"/>
    </row>
    <row r="1130">
      <c r="N1130" s="13"/>
      <c r="O1130" s="13"/>
      <c r="P1130" s="13"/>
      <c r="Q1130" s="13"/>
    </row>
    <row r="1131">
      <c r="N1131" s="13"/>
      <c r="O1131" s="13"/>
      <c r="P1131" s="13"/>
      <c r="Q1131" s="13"/>
    </row>
    <row r="1132">
      <c r="N1132" s="13"/>
      <c r="O1132" s="13"/>
      <c r="P1132" s="13"/>
      <c r="Q1132" s="13"/>
    </row>
    <row r="1133">
      <c r="N1133" s="13"/>
      <c r="O1133" s="13"/>
      <c r="P1133" s="13"/>
      <c r="Q1133" s="13"/>
    </row>
    <row r="1134">
      <c r="N1134" s="13"/>
      <c r="O1134" s="13"/>
      <c r="P1134" s="13"/>
      <c r="Q1134" s="13"/>
    </row>
    <row r="1135">
      <c r="N1135" s="13"/>
      <c r="O1135" s="13"/>
      <c r="P1135" s="13"/>
      <c r="Q1135" s="13"/>
    </row>
    <row r="1136">
      <c r="N1136" s="13"/>
      <c r="O1136" s="13"/>
      <c r="P1136" s="13"/>
      <c r="Q1136" s="13"/>
    </row>
    <row r="1137">
      <c r="N1137" s="13"/>
      <c r="O1137" s="13"/>
      <c r="P1137" s="13"/>
      <c r="Q1137" s="13"/>
    </row>
    <row r="1138">
      <c r="N1138" s="13"/>
      <c r="O1138" s="13"/>
      <c r="P1138" s="13"/>
      <c r="Q1138" s="13"/>
    </row>
    <row r="1139">
      <c r="N1139" s="13"/>
      <c r="O1139" s="13"/>
      <c r="P1139" s="13"/>
      <c r="Q1139" s="13"/>
    </row>
    <row r="1140">
      <c r="N1140" s="13"/>
      <c r="O1140" s="13"/>
      <c r="P1140" s="13"/>
      <c r="Q1140" s="13"/>
    </row>
    <row r="1141">
      <c r="N1141" s="13"/>
      <c r="O1141" s="13"/>
      <c r="P1141" s="13"/>
      <c r="Q1141" s="13"/>
    </row>
    <row r="1142">
      <c r="N1142" s="13"/>
      <c r="O1142" s="13"/>
      <c r="P1142" s="13"/>
      <c r="Q1142" s="13"/>
    </row>
    <row r="1143">
      <c r="N1143" s="13"/>
      <c r="O1143" s="13"/>
      <c r="P1143" s="13"/>
      <c r="Q1143" s="13"/>
    </row>
    <row r="1144">
      <c r="N1144" s="13"/>
      <c r="O1144" s="13"/>
      <c r="P1144" s="13"/>
      <c r="Q1144" s="13"/>
    </row>
    <row r="1145">
      <c r="N1145" s="13"/>
      <c r="O1145" s="13"/>
      <c r="P1145" s="13"/>
      <c r="Q1145" s="13"/>
    </row>
    <row r="1146">
      <c r="N1146" s="13"/>
      <c r="O1146" s="13"/>
      <c r="P1146" s="13"/>
      <c r="Q1146" s="13"/>
    </row>
    <row r="1147">
      <c r="N1147" s="13"/>
      <c r="O1147" s="13"/>
      <c r="P1147" s="13"/>
      <c r="Q1147" s="13"/>
    </row>
    <row r="1148">
      <c r="N1148" s="13"/>
      <c r="O1148" s="13"/>
      <c r="P1148" s="13"/>
      <c r="Q1148" s="13"/>
    </row>
    <row r="1149">
      <c r="N1149" s="13"/>
      <c r="O1149" s="13"/>
      <c r="P1149" s="13"/>
      <c r="Q1149" s="13"/>
    </row>
    <row r="1150">
      <c r="N1150" s="13"/>
      <c r="O1150" s="13"/>
      <c r="P1150" s="13"/>
      <c r="Q1150" s="13"/>
    </row>
    <row r="1151">
      <c r="N1151" s="13"/>
      <c r="O1151" s="13"/>
      <c r="P1151" s="13"/>
      <c r="Q1151" s="13"/>
    </row>
    <row r="1152">
      <c r="N1152" s="13"/>
      <c r="O1152" s="13"/>
      <c r="P1152" s="13"/>
      <c r="Q1152" s="13"/>
    </row>
    <row r="1153">
      <c r="N1153" s="13"/>
      <c r="O1153" s="13"/>
      <c r="P1153" s="13"/>
      <c r="Q1153" s="13"/>
    </row>
    <row r="1154">
      <c r="N1154" s="13"/>
      <c r="O1154" s="13"/>
      <c r="P1154" s="13"/>
      <c r="Q1154" s="13"/>
    </row>
    <row r="1155">
      <c r="N1155" s="13"/>
      <c r="O1155" s="13"/>
      <c r="P1155" s="13"/>
      <c r="Q1155" s="13"/>
    </row>
    <row r="1156">
      <c r="N1156" s="13"/>
      <c r="O1156" s="13"/>
      <c r="P1156" s="13"/>
      <c r="Q1156" s="13"/>
    </row>
    <row r="1157">
      <c r="N1157" s="13"/>
      <c r="O1157" s="13"/>
      <c r="P1157" s="13"/>
      <c r="Q1157" s="13"/>
    </row>
    <row r="1158">
      <c r="N1158" s="13"/>
      <c r="O1158" s="13"/>
      <c r="P1158" s="13"/>
      <c r="Q1158" s="13"/>
    </row>
    <row r="1159">
      <c r="N1159" s="13"/>
      <c r="O1159" s="13"/>
      <c r="P1159" s="13"/>
      <c r="Q1159" s="13"/>
    </row>
    <row r="1160">
      <c r="N1160" s="13"/>
      <c r="O1160" s="13"/>
      <c r="P1160" s="13"/>
      <c r="Q1160" s="13"/>
    </row>
    <row r="1161">
      <c r="N1161" s="13"/>
      <c r="O1161" s="13"/>
      <c r="P1161" s="13"/>
      <c r="Q1161" s="13"/>
    </row>
    <row r="1162">
      <c r="N1162" s="13"/>
      <c r="O1162" s="13"/>
      <c r="P1162" s="13"/>
      <c r="Q1162" s="13"/>
    </row>
    <row r="1163">
      <c r="N1163" s="13"/>
      <c r="O1163" s="13"/>
      <c r="P1163" s="13"/>
      <c r="Q1163" s="13"/>
    </row>
    <row r="1164">
      <c r="N1164" s="13"/>
      <c r="O1164" s="13"/>
      <c r="P1164" s="13"/>
      <c r="Q1164" s="13"/>
    </row>
    <row r="1165">
      <c r="N1165" s="13"/>
      <c r="O1165" s="13"/>
      <c r="P1165" s="13"/>
      <c r="Q1165" s="13"/>
    </row>
    <row r="1166">
      <c r="N1166" s="13"/>
      <c r="O1166" s="13"/>
      <c r="P1166" s="13"/>
      <c r="Q1166" s="13"/>
    </row>
    <row r="1167">
      <c r="N1167" s="13"/>
      <c r="O1167" s="13"/>
      <c r="P1167" s="13"/>
      <c r="Q1167" s="13"/>
    </row>
    <row r="1168">
      <c r="N1168" s="13"/>
      <c r="O1168" s="13"/>
      <c r="P1168" s="13"/>
      <c r="Q1168" s="13"/>
    </row>
    <row r="1169">
      <c r="N1169" s="13"/>
      <c r="O1169" s="13"/>
      <c r="P1169" s="13"/>
      <c r="Q1169" s="13"/>
    </row>
    <row r="1170">
      <c r="N1170" s="13"/>
      <c r="O1170" s="13"/>
      <c r="P1170" s="13"/>
      <c r="Q1170" s="13"/>
    </row>
    <row r="1171">
      <c r="N1171" s="13"/>
      <c r="O1171" s="13"/>
      <c r="P1171" s="13"/>
      <c r="Q1171" s="13"/>
    </row>
    <row r="1172">
      <c r="N1172" s="13"/>
      <c r="O1172" s="13"/>
      <c r="P1172" s="13"/>
      <c r="Q1172" s="13"/>
    </row>
    <row r="1173">
      <c r="N1173" s="13"/>
      <c r="O1173" s="13"/>
      <c r="P1173" s="13"/>
      <c r="Q1173" s="13"/>
    </row>
    <row r="1174">
      <c r="N1174" s="13"/>
      <c r="O1174" s="13"/>
      <c r="P1174" s="13"/>
      <c r="Q1174" s="13"/>
    </row>
    <row r="1175">
      <c r="N1175" s="13"/>
      <c r="O1175" s="13"/>
      <c r="P1175" s="13"/>
      <c r="Q1175" s="13"/>
    </row>
    <row r="1176">
      <c r="N1176" s="13"/>
      <c r="O1176" s="13"/>
      <c r="P1176" s="13"/>
      <c r="Q1176" s="13"/>
    </row>
    <row r="1177">
      <c r="N1177" s="13"/>
      <c r="O1177" s="13"/>
      <c r="P1177" s="13"/>
      <c r="Q1177" s="13"/>
    </row>
    <row r="1178">
      <c r="N1178" s="13"/>
      <c r="O1178" s="13"/>
      <c r="P1178" s="13"/>
      <c r="Q1178" s="13"/>
    </row>
    <row r="1179">
      <c r="N1179" s="13"/>
      <c r="O1179" s="13"/>
      <c r="P1179" s="13"/>
      <c r="Q1179" s="13"/>
    </row>
    <row r="1180">
      <c r="N1180" s="13"/>
      <c r="O1180" s="13"/>
      <c r="P1180" s="13"/>
      <c r="Q1180" s="13"/>
    </row>
    <row r="1181">
      <c r="N1181" s="13"/>
      <c r="O1181" s="13"/>
      <c r="P1181" s="13"/>
      <c r="Q1181" s="13"/>
    </row>
    <row r="1182">
      <c r="N1182" s="13"/>
      <c r="O1182" s="13"/>
      <c r="P1182" s="13"/>
      <c r="Q1182" s="13"/>
    </row>
    <row r="1183">
      <c r="N1183" s="13"/>
      <c r="O1183" s="13"/>
      <c r="P1183" s="13"/>
      <c r="Q1183" s="13"/>
    </row>
    <row r="1184">
      <c r="N1184" s="13"/>
      <c r="O1184" s="13"/>
      <c r="P1184" s="13"/>
      <c r="Q1184" s="13"/>
    </row>
    <row r="1185">
      <c r="N1185" s="13"/>
      <c r="O1185" s="13"/>
      <c r="P1185" s="13"/>
      <c r="Q1185" s="13"/>
    </row>
    <row r="1186">
      <c r="N1186" s="13"/>
      <c r="O1186" s="13"/>
      <c r="P1186" s="13"/>
      <c r="Q1186" s="13"/>
    </row>
    <row r="1187">
      <c r="N1187" s="13"/>
      <c r="O1187" s="13"/>
      <c r="P1187" s="13"/>
      <c r="Q1187" s="13"/>
    </row>
    <row r="1188">
      <c r="N1188" s="13"/>
      <c r="O1188" s="13"/>
      <c r="P1188" s="13"/>
      <c r="Q1188" s="13"/>
    </row>
    <row r="1189">
      <c r="N1189" s="13"/>
      <c r="O1189" s="13"/>
      <c r="P1189" s="13"/>
      <c r="Q1189" s="13"/>
    </row>
    <row r="1190">
      <c r="N1190" s="13"/>
      <c r="O1190" s="13"/>
      <c r="P1190" s="13"/>
      <c r="Q1190" s="13"/>
    </row>
    <row r="1191">
      <c r="N1191" s="13"/>
      <c r="O1191" s="13"/>
      <c r="P1191" s="13"/>
      <c r="Q1191" s="13"/>
    </row>
    <row r="1192">
      <c r="N1192" s="13"/>
      <c r="O1192" s="13"/>
      <c r="P1192" s="13"/>
      <c r="Q1192" s="13"/>
    </row>
    <row r="1193">
      <c r="N1193" s="13"/>
      <c r="O1193" s="13"/>
      <c r="P1193" s="13"/>
      <c r="Q1193" s="13"/>
    </row>
    <row r="1194">
      <c r="N1194" s="13"/>
      <c r="O1194" s="13"/>
      <c r="P1194" s="13"/>
      <c r="Q1194" s="13"/>
    </row>
    <row r="1195">
      <c r="N1195" s="13"/>
      <c r="O1195" s="13"/>
      <c r="P1195" s="13"/>
      <c r="Q1195" s="13"/>
    </row>
    <row r="1196">
      <c r="N1196" s="13"/>
      <c r="O1196" s="13"/>
      <c r="P1196" s="13"/>
      <c r="Q1196" s="13"/>
    </row>
    <row r="1197">
      <c r="N1197" s="13"/>
      <c r="O1197" s="13"/>
      <c r="P1197" s="13"/>
      <c r="Q1197" s="13"/>
    </row>
    <row r="1198">
      <c r="N1198" s="13"/>
      <c r="O1198" s="13"/>
      <c r="P1198" s="13"/>
      <c r="Q1198" s="13"/>
    </row>
    <row r="1199">
      <c r="N1199" s="13"/>
      <c r="O1199" s="13"/>
      <c r="P1199" s="13"/>
      <c r="Q1199" s="13"/>
    </row>
    <row r="1200">
      <c r="N1200" s="13"/>
      <c r="O1200" s="13"/>
      <c r="P1200" s="13"/>
      <c r="Q1200" s="13"/>
    </row>
    <row r="1201">
      <c r="N1201" s="13"/>
      <c r="O1201" s="13"/>
      <c r="P1201" s="13"/>
      <c r="Q1201" s="13"/>
    </row>
    <row r="1202">
      <c r="N1202" s="13"/>
      <c r="O1202" s="13"/>
      <c r="P1202" s="13"/>
      <c r="Q1202" s="13"/>
    </row>
    <row r="1203">
      <c r="N1203" s="13"/>
      <c r="O1203" s="13"/>
      <c r="P1203" s="13"/>
      <c r="Q1203" s="13"/>
    </row>
    <row r="1204">
      <c r="N1204" s="13"/>
      <c r="O1204" s="13"/>
      <c r="P1204" s="13"/>
      <c r="Q1204" s="13"/>
    </row>
    <row r="1205">
      <c r="N1205" s="13"/>
      <c r="O1205" s="13"/>
      <c r="P1205" s="13"/>
      <c r="Q1205" s="13"/>
    </row>
    <row r="1206">
      <c r="N1206" s="13"/>
      <c r="O1206" s="13"/>
      <c r="P1206" s="13"/>
      <c r="Q1206" s="13"/>
    </row>
    <row r="1207">
      <c r="N1207" s="13"/>
      <c r="O1207" s="13"/>
      <c r="P1207" s="13"/>
      <c r="Q1207" s="13"/>
    </row>
    <row r="1208">
      <c r="N1208" s="13"/>
      <c r="O1208" s="13"/>
      <c r="P1208" s="13"/>
      <c r="Q1208" s="13"/>
    </row>
    <row r="1209">
      <c r="N1209" s="13"/>
      <c r="O1209" s="13"/>
      <c r="P1209" s="13"/>
      <c r="Q1209" s="13"/>
    </row>
    <row r="1210">
      <c r="N1210" s="13"/>
      <c r="O1210" s="13"/>
      <c r="P1210" s="13"/>
      <c r="Q1210" s="13"/>
    </row>
    <row r="1211">
      <c r="N1211" s="13"/>
      <c r="O1211" s="13"/>
      <c r="P1211" s="13"/>
      <c r="Q1211" s="13"/>
    </row>
    <row r="1212">
      <c r="N1212" s="13"/>
      <c r="O1212" s="13"/>
      <c r="P1212" s="13"/>
      <c r="Q1212" s="13"/>
    </row>
    <row r="1213">
      <c r="N1213" s="13"/>
      <c r="O1213" s="13"/>
      <c r="P1213" s="13"/>
      <c r="Q1213" s="13"/>
    </row>
    <row r="1214">
      <c r="N1214" s="13"/>
      <c r="O1214" s="13"/>
      <c r="P1214" s="13"/>
      <c r="Q1214" s="13"/>
    </row>
    <row r="1215">
      <c r="N1215" s="13"/>
      <c r="O1215" s="13"/>
      <c r="P1215" s="13"/>
      <c r="Q1215" s="13"/>
    </row>
    <row r="1216">
      <c r="N1216" s="13"/>
      <c r="O1216" s="13"/>
      <c r="P1216" s="13"/>
      <c r="Q1216" s="13"/>
    </row>
    <row r="1217">
      <c r="N1217" s="13"/>
      <c r="O1217" s="13"/>
      <c r="P1217" s="13"/>
      <c r="Q1217" s="13"/>
    </row>
    <row r="1218">
      <c r="N1218" s="13"/>
      <c r="O1218" s="13"/>
      <c r="P1218" s="13"/>
      <c r="Q1218" s="13"/>
    </row>
    <row r="1219">
      <c r="N1219" s="13"/>
      <c r="O1219" s="13"/>
      <c r="P1219" s="13"/>
      <c r="Q1219" s="13"/>
    </row>
    <row r="1220">
      <c r="N1220" s="13"/>
      <c r="O1220" s="13"/>
      <c r="P1220" s="13"/>
      <c r="Q1220" s="13"/>
    </row>
    <row r="1221">
      <c r="N1221" s="13"/>
      <c r="O1221" s="13"/>
      <c r="P1221" s="13"/>
      <c r="Q1221" s="13"/>
    </row>
    <row r="1222">
      <c r="N1222" s="13"/>
      <c r="O1222" s="13"/>
      <c r="P1222" s="13"/>
      <c r="Q1222" s="13"/>
    </row>
    <row r="1223">
      <c r="N1223" s="13"/>
      <c r="O1223" s="13"/>
      <c r="P1223" s="13"/>
      <c r="Q1223" s="13"/>
    </row>
    <row r="1224">
      <c r="N1224" s="13"/>
      <c r="O1224" s="13"/>
      <c r="P1224" s="13"/>
      <c r="Q1224" s="13"/>
    </row>
    <row r="1225">
      <c r="N1225" s="13"/>
      <c r="O1225" s="13"/>
      <c r="P1225" s="13"/>
      <c r="Q1225" s="13"/>
    </row>
    <row r="1226">
      <c r="N1226" s="13"/>
      <c r="O1226" s="13"/>
      <c r="P1226" s="13"/>
      <c r="Q1226" s="13"/>
    </row>
    <row r="1227">
      <c r="N1227" s="13"/>
      <c r="O1227" s="13"/>
      <c r="P1227" s="13"/>
      <c r="Q1227" s="13"/>
    </row>
    <row r="1228">
      <c r="N1228" s="13"/>
      <c r="O1228" s="13"/>
      <c r="P1228" s="13"/>
      <c r="Q1228" s="13"/>
    </row>
    <row r="1229">
      <c r="N1229" s="13"/>
      <c r="O1229" s="13"/>
      <c r="P1229" s="13"/>
      <c r="Q1229" s="13"/>
    </row>
    <row r="1230">
      <c r="N1230" s="13"/>
      <c r="O1230" s="13"/>
      <c r="P1230" s="13"/>
      <c r="Q1230" s="13"/>
    </row>
    <row r="1231">
      <c r="N1231" s="13"/>
      <c r="O1231" s="13"/>
      <c r="P1231" s="13"/>
      <c r="Q1231" s="13"/>
    </row>
    <row r="1232">
      <c r="N1232" s="13"/>
      <c r="O1232" s="13"/>
      <c r="P1232" s="13"/>
      <c r="Q1232" s="13"/>
    </row>
    <row r="1233">
      <c r="N1233" s="13"/>
      <c r="O1233" s="13"/>
      <c r="P1233" s="13"/>
      <c r="Q1233" s="13"/>
    </row>
    <row r="1234">
      <c r="N1234" s="13"/>
      <c r="O1234" s="13"/>
      <c r="P1234" s="13"/>
      <c r="Q1234" s="13"/>
    </row>
    <row r="1235">
      <c r="N1235" s="13"/>
      <c r="O1235" s="13"/>
      <c r="P1235" s="13"/>
      <c r="Q1235" s="13"/>
    </row>
    <row r="1236">
      <c r="N1236" s="13"/>
      <c r="O1236" s="13"/>
      <c r="P1236" s="13"/>
      <c r="Q1236" s="13"/>
    </row>
    <row r="1237">
      <c r="N1237" s="13"/>
      <c r="O1237" s="13"/>
      <c r="P1237" s="13"/>
      <c r="Q1237" s="13"/>
    </row>
    <row r="1238">
      <c r="N1238" s="13"/>
      <c r="O1238" s="13"/>
      <c r="P1238" s="13"/>
      <c r="Q1238" s="13"/>
    </row>
    <row r="1239">
      <c r="N1239" s="13"/>
      <c r="O1239" s="13"/>
      <c r="P1239" s="13"/>
      <c r="Q1239" s="13"/>
    </row>
    <row r="1240">
      <c r="N1240" s="13"/>
      <c r="O1240" s="13"/>
      <c r="P1240" s="13"/>
      <c r="Q1240" s="13"/>
    </row>
    <row r="1241">
      <c r="N1241" s="13"/>
      <c r="O1241" s="13"/>
      <c r="P1241" s="13"/>
      <c r="Q1241" s="13"/>
    </row>
    <row r="1242">
      <c r="N1242" s="13"/>
      <c r="O1242" s="13"/>
      <c r="P1242" s="13"/>
      <c r="Q1242" s="13"/>
    </row>
    <row r="1243">
      <c r="N1243" s="13"/>
      <c r="O1243" s="13"/>
      <c r="P1243" s="13"/>
      <c r="Q1243" s="13"/>
    </row>
    <row r="1244">
      <c r="N1244" s="13"/>
      <c r="O1244" s="13"/>
      <c r="P1244" s="13"/>
      <c r="Q1244" s="13"/>
    </row>
    <row r="1245">
      <c r="N1245" s="13"/>
      <c r="O1245" s="13"/>
      <c r="P1245" s="13"/>
      <c r="Q1245" s="13"/>
    </row>
    <row r="1246">
      <c r="N1246" s="13"/>
      <c r="O1246" s="13"/>
      <c r="P1246" s="13"/>
      <c r="Q1246" s="13"/>
    </row>
    <row r="1247">
      <c r="N1247" s="13"/>
      <c r="O1247" s="13"/>
      <c r="P1247" s="13"/>
      <c r="Q1247" s="13"/>
    </row>
    <row r="1248">
      <c r="N1248" s="13"/>
      <c r="O1248" s="13"/>
      <c r="P1248" s="13"/>
      <c r="Q1248" s="13"/>
    </row>
    <row r="1249">
      <c r="N1249" s="13"/>
      <c r="O1249" s="13"/>
      <c r="P1249" s="13"/>
      <c r="Q1249" s="13"/>
    </row>
    <row r="1250">
      <c r="N1250" s="13"/>
      <c r="O1250" s="13"/>
      <c r="P1250" s="13"/>
      <c r="Q1250" s="13"/>
    </row>
    <row r="1251">
      <c r="N1251" s="13"/>
      <c r="O1251" s="13"/>
      <c r="P1251" s="13"/>
      <c r="Q1251" s="13"/>
    </row>
    <row r="1252">
      <c r="N1252" s="13"/>
      <c r="O1252" s="13"/>
      <c r="P1252" s="13"/>
      <c r="Q1252" s="13"/>
    </row>
    <row r="1253">
      <c r="N1253" s="13"/>
      <c r="O1253" s="13"/>
      <c r="P1253" s="13"/>
      <c r="Q1253" s="13"/>
    </row>
    <row r="1254">
      <c r="N1254" s="13"/>
      <c r="O1254" s="13"/>
      <c r="P1254" s="13"/>
      <c r="Q1254" s="13"/>
    </row>
    <row r="1255">
      <c r="N1255" s="13"/>
      <c r="O1255" s="13"/>
      <c r="P1255" s="13"/>
      <c r="Q1255" s="13"/>
    </row>
    <row r="1256">
      <c r="N1256" s="13"/>
      <c r="O1256" s="13"/>
      <c r="P1256" s="13"/>
      <c r="Q1256" s="13"/>
    </row>
    <row r="1257">
      <c r="N1257" s="13"/>
      <c r="O1257" s="13"/>
      <c r="P1257" s="13"/>
      <c r="Q1257" s="13"/>
    </row>
    <row r="1258">
      <c r="N1258" s="13"/>
      <c r="O1258" s="13"/>
      <c r="P1258" s="13"/>
      <c r="Q1258" s="13"/>
    </row>
    <row r="1259">
      <c r="N1259" s="13"/>
      <c r="O1259" s="13"/>
      <c r="P1259" s="13"/>
      <c r="Q1259" s="13"/>
    </row>
    <row r="1260">
      <c r="N1260" s="13"/>
      <c r="O1260" s="13"/>
      <c r="P1260" s="13"/>
      <c r="Q1260" s="13"/>
    </row>
    <row r="1261">
      <c r="N1261" s="13"/>
      <c r="O1261" s="13"/>
      <c r="P1261" s="13"/>
      <c r="Q1261" s="13"/>
    </row>
    <row r="1262">
      <c r="N1262" s="13"/>
      <c r="O1262" s="13"/>
      <c r="P1262" s="13"/>
      <c r="Q1262" s="13"/>
    </row>
    <row r="1263">
      <c r="N1263" s="13"/>
      <c r="O1263" s="13"/>
      <c r="P1263" s="13"/>
      <c r="Q1263" s="13"/>
    </row>
    <row r="1264">
      <c r="N1264" s="13"/>
      <c r="O1264" s="13"/>
      <c r="P1264" s="13"/>
      <c r="Q1264" s="13"/>
    </row>
    <row r="1265">
      <c r="N1265" s="13"/>
      <c r="O1265" s="13"/>
      <c r="P1265" s="13"/>
      <c r="Q1265" s="13"/>
    </row>
    <row r="1266">
      <c r="N1266" s="13"/>
      <c r="O1266" s="13"/>
      <c r="P1266" s="13"/>
      <c r="Q1266" s="13"/>
    </row>
    <row r="1267">
      <c r="N1267" s="13"/>
      <c r="O1267" s="13"/>
      <c r="P1267" s="13"/>
      <c r="Q1267" s="13"/>
    </row>
    <row r="1268">
      <c r="N1268" s="13"/>
      <c r="O1268" s="13"/>
      <c r="P1268" s="13"/>
      <c r="Q1268" s="13"/>
    </row>
    <row r="1269">
      <c r="N1269" s="13"/>
      <c r="O1269" s="13"/>
      <c r="P1269" s="13"/>
      <c r="Q1269" s="13"/>
    </row>
    <row r="1270">
      <c r="N1270" s="13"/>
      <c r="O1270" s="13"/>
      <c r="P1270" s="13"/>
      <c r="Q1270" s="13"/>
    </row>
    <row r="1271">
      <c r="N1271" s="13"/>
      <c r="O1271" s="13"/>
      <c r="P1271" s="13"/>
      <c r="Q1271" s="13"/>
    </row>
    <row r="1272">
      <c r="N1272" s="13"/>
      <c r="O1272" s="13"/>
      <c r="P1272" s="13"/>
      <c r="Q1272" s="13"/>
    </row>
    <row r="1273">
      <c r="N1273" s="13"/>
      <c r="O1273" s="13"/>
      <c r="P1273" s="13"/>
      <c r="Q1273" s="13"/>
    </row>
    <row r="1274">
      <c r="N1274" s="13"/>
      <c r="O1274" s="13"/>
      <c r="P1274" s="13"/>
      <c r="Q1274" s="13"/>
    </row>
    <row r="1275">
      <c r="N1275" s="13"/>
      <c r="O1275" s="13"/>
      <c r="P1275" s="13"/>
      <c r="Q1275" s="13"/>
    </row>
    <row r="1276">
      <c r="N1276" s="13"/>
      <c r="O1276" s="13"/>
      <c r="P1276" s="13"/>
      <c r="Q1276" s="13"/>
    </row>
    <row r="1277">
      <c r="N1277" s="13"/>
      <c r="O1277" s="13"/>
      <c r="P1277" s="13"/>
      <c r="Q1277" s="13"/>
    </row>
    <row r="1278">
      <c r="N1278" s="13"/>
      <c r="O1278" s="13"/>
      <c r="P1278" s="13"/>
      <c r="Q1278" s="13"/>
    </row>
    <row r="1279">
      <c r="N1279" s="13"/>
      <c r="O1279" s="13"/>
      <c r="P1279" s="13"/>
      <c r="Q1279" s="13"/>
    </row>
    <row r="1280">
      <c r="N1280" s="13"/>
      <c r="O1280" s="13"/>
      <c r="P1280" s="13"/>
      <c r="Q1280" s="13"/>
    </row>
    <row r="1281">
      <c r="N1281" s="13"/>
      <c r="O1281" s="13"/>
      <c r="P1281" s="13"/>
      <c r="Q1281" s="13"/>
    </row>
    <row r="1282">
      <c r="N1282" s="13"/>
      <c r="O1282" s="13"/>
      <c r="P1282" s="13"/>
      <c r="Q1282" s="13"/>
    </row>
    <row r="1283">
      <c r="N1283" s="13"/>
      <c r="O1283" s="13"/>
      <c r="P1283" s="13"/>
      <c r="Q1283" s="13"/>
    </row>
    <row r="1284">
      <c r="N1284" s="13"/>
      <c r="O1284" s="13"/>
      <c r="P1284" s="13"/>
      <c r="Q1284" s="13"/>
    </row>
    <row r="1285">
      <c r="N1285" s="13"/>
      <c r="O1285" s="13"/>
      <c r="P1285" s="13"/>
      <c r="Q1285" s="13"/>
    </row>
    <row r="1286">
      <c r="N1286" s="13"/>
      <c r="O1286" s="13"/>
      <c r="P1286" s="13"/>
      <c r="Q1286" s="13"/>
    </row>
    <row r="1287">
      <c r="N1287" s="13"/>
      <c r="O1287" s="13"/>
      <c r="P1287" s="13"/>
      <c r="Q1287" s="13"/>
    </row>
    <row r="1288">
      <c r="N1288" s="13"/>
      <c r="O1288" s="13"/>
      <c r="P1288" s="13"/>
      <c r="Q1288" s="13"/>
    </row>
    <row r="1289">
      <c r="N1289" s="13"/>
      <c r="O1289" s="13"/>
      <c r="P1289" s="13"/>
      <c r="Q1289" s="13"/>
    </row>
    <row r="1290">
      <c r="N1290" s="13"/>
      <c r="O1290" s="13"/>
      <c r="P1290" s="13"/>
      <c r="Q1290" s="13"/>
    </row>
    <row r="1291">
      <c r="N1291" s="13"/>
      <c r="O1291" s="13"/>
      <c r="P1291" s="13"/>
      <c r="Q1291" s="13"/>
    </row>
    <row r="1292">
      <c r="N1292" s="13"/>
      <c r="O1292" s="13"/>
      <c r="P1292" s="13"/>
      <c r="Q1292" s="13"/>
    </row>
    <row r="1293">
      <c r="N1293" s="13"/>
      <c r="O1293" s="13"/>
      <c r="P1293" s="13"/>
      <c r="Q1293" s="13"/>
    </row>
    <row r="1294">
      <c r="N1294" s="13"/>
      <c r="O1294" s="13"/>
      <c r="P1294" s="13"/>
      <c r="Q1294" s="13"/>
    </row>
    <row r="1295">
      <c r="N1295" s="13"/>
      <c r="O1295" s="13"/>
      <c r="P1295" s="13"/>
      <c r="Q1295" s="13"/>
    </row>
    <row r="1296">
      <c r="N1296" s="13"/>
      <c r="O1296" s="13"/>
      <c r="P1296" s="13"/>
      <c r="Q1296" s="13"/>
    </row>
    <row r="1297">
      <c r="N1297" s="13"/>
      <c r="O1297" s="13"/>
      <c r="P1297" s="13"/>
      <c r="Q1297" s="13"/>
    </row>
    <row r="1298">
      <c r="N1298" s="13"/>
      <c r="O1298" s="13"/>
      <c r="P1298" s="13"/>
      <c r="Q1298" s="13"/>
    </row>
    <row r="1299">
      <c r="N1299" s="13"/>
      <c r="O1299" s="13"/>
      <c r="P1299" s="13"/>
      <c r="Q1299" s="13"/>
    </row>
    <row r="1300">
      <c r="N1300" s="13"/>
      <c r="O1300" s="13"/>
      <c r="P1300" s="13"/>
      <c r="Q1300" s="13"/>
    </row>
    <row r="1301">
      <c r="N1301" s="13"/>
      <c r="O1301" s="13"/>
      <c r="P1301" s="13"/>
      <c r="Q1301" s="13"/>
    </row>
    <row r="1302">
      <c r="N1302" s="13"/>
      <c r="O1302" s="13"/>
      <c r="P1302" s="13"/>
      <c r="Q1302" s="13"/>
    </row>
    <row r="1303">
      <c r="N1303" s="13"/>
      <c r="O1303" s="13"/>
      <c r="P1303" s="13"/>
      <c r="Q1303" s="13"/>
    </row>
    <row r="1304">
      <c r="N1304" s="13"/>
      <c r="O1304" s="13"/>
      <c r="P1304" s="13"/>
      <c r="Q1304" s="13"/>
    </row>
    <row r="1305">
      <c r="N1305" s="13"/>
      <c r="O1305" s="13"/>
      <c r="P1305" s="13"/>
      <c r="Q1305" s="13"/>
    </row>
    <row r="1306">
      <c r="N1306" s="13"/>
      <c r="O1306" s="13"/>
      <c r="P1306" s="13"/>
      <c r="Q1306" s="13"/>
    </row>
    <row r="1307">
      <c r="N1307" s="13"/>
      <c r="O1307" s="13"/>
      <c r="P1307" s="13"/>
      <c r="Q1307" s="13"/>
    </row>
    <row r="1308">
      <c r="N1308" s="13"/>
      <c r="O1308" s="13"/>
      <c r="P1308" s="13"/>
      <c r="Q1308" s="13"/>
    </row>
    <row r="1309">
      <c r="N1309" s="13"/>
      <c r="O1309" s="13"/>
      <c r="P1309" s="13"/>
      <c r="Q1309" s="13"/>
    </row>
    <row r="1310">
      <c r="N1310" s="13"/>
      <c r="O1310" s="13"/>
      <c r="P1310" s="13"/>
      <c r="Q1310" s="13"/>
    </row>
    <row r="1311">
      <c r="N1311" s="13"/>
      <c r="O1311" s="13"/>
      <c r="P1311" s="13"/>
      <c r="Q1311" s="13"/>
    </row>
    <row r="1312">
      <c r="N1312" s="13"/>
      <c r="O1312" s="13"/>
      <c r="P1312" s="13"/>
      <c r="Q1312" s="13"/>
    </row>
    <row r="1313">
      <c r="N1313" s="13"/>
      <c r="O1313" s="13"/>
      <c r="P1313" s="13"/>
      <c r="Q1313" s="13"/>
    </row>
    <row r="1314">
      <c r="N1314" s="13"/>
      <c r="O1314" s="13"/>
      <c r="P1314" s="13"/>
      <c r="Q1314" s="13"/>
    </row>
    <row r="1315">
      <c r="N1315" s="13"/>
      <c r="O1315" s="13"/>
      <c r="P1315" s="13"/>
      <c r="Q1315" s="13"/>
    </row>
    <row r="1316">
      <c r="N1316" s="13"/>
      <c r="O1316" s="13"/>
      <c r="P1316" s="13"/>
      <c r="Q1316" s="13"/>
    </row>
    <row r="1317">
      <c r="N1317" s="13"/>
      <c r="O1317" s="13"/>
      <c r="P1317" s="13"/>
      <c r="Q1317" s="13"/>
    </row>
    <row r="1318">
      <c r="N1318" s="13"/>
      <c r="O1318" s="13"/>
      <c r="P1318" s="13"/>
      <c r="Q1318" s="13"/>
    </row>
    <row r="1319">
      <c r="N1319" s="13"/>
      <c r="O1319" s="13"/>
      <c r="P1319" s="13"/>
      <c r="Q1319" s="13"/>
    </row>
    <row r="1320">
      <c r="N1320" s="13"/>
      <c r="O1320" s="13"/>
      <c r="P1320" s="13"/>
      <c r="Q1320" s="13"/>
    </row>
    <row r="1321">
      <c r="N1321" s="13"/>
      <c r="O1321" s="13"/>
      <c r="P1321" s="13"/>
      <c r="Q1321" s="13"/>
    </row>
    <row r="1322">
      <c r="N1322" s="13"/>
      <c r="O1322" s="13"/>
      <c r="P1322" s="13"/>
      <c r="Q1322" s="13"/>
    </row>
    <row r="1323">
      <c r="N1323" s="13"/>
      <c r="O1323" s="13"/>
      <c r="P1323" s="13"/>
      <c r="Q1323" s="13"/>
    </row>
    <row r="1324">
      <c r="N1324" s="13"/>
      <c r="O1324" s="13"/>
      <c r="P1324" s="13"/>
      <c r="Q1324" s="13"/>
    </row>
    <row r="1325">
      <c r="N1325" s="13"/>
      <c r="O1325" s="13"/>
      <c r="P1325" s="13"/>
      <c r="Q1325" s="13"/>
    </row>
    <row r="1326">
      <c r="N1326" s="13"/>
      <c r="O1326" s="13"/>
      <c r="P1326" s="13"/>
      <c r="Q1326" s="13"/>
    </row>
    <row r="1327">
      <c r="N1327" s="13"/>
      <c r="O1327" s="13"/>
      <c r="P1327" s="13"/>
      <c r="Q1327" s="13"/>
    </row>
    <row r="1328">
      <c r="N1328" s="13"/>
      <c r="O1328" s="13"/>
      <c r="P1328" s="13"/>
      <c r="Q1328" s="13"/>
    </row>
    <row r="1329">
      <c r="N1329" s="13"/>
      <c r="O1329" s="13"/>
      <c r="P1329" s="13"/>
      <c r="Q1329" s="13"/>
    </row>
    <row r="1330">
      <c r="N1330" s="13"/>
      <c r="O1330" s="13"/>
      <c r="P1330" s="13"/>
      <c r="Q1330" s="13"/>
    </row>
    <row r="1331">
      <c r="N1331" s="13"/>
      <c r="O1331" s="13"/>
      <c r="P1331" s="13"/>
      <c r="Q1331" s="13"/>
    </row>
    <row r="1332">
      <c r="N1332" s="13"/>
      <c r="O1332" s="13"/>
      <c r="P1332" s="13"/>
      <c r="Q1332" s="13"/>
    </row>
    <row r="1333">
      <c r="N1333" s="13"/>
      <c r="O1333" s="13"/>
      <c r="P1333" s="13"/>
      <c r="Q1333" s="13"/>
    </row>
    <row r="1334">
      <c r="N1334" s="13"/>
      <c r="O1334" s="13"/>
      <c r="P1334" s="13"/>
      <c r="Q1334" s="13"/>
    </row>
    <row r="1335">
      <c r="N1335" s="13"/>
      <c r="O1335" s="13"/>
      <c r="P1335" s="13"/>
      <c r="Q1335" s="13"/>
    </row>
    <row r="1336">
      <c r="N1336" s="13"/>
      <c r="O1336" s="13"/>
      <c r="P1336" s="13"/>
      <c r="Q1336" s="13"/>
    </row>
    <row r="1337">
      <c r="N1337" s="13"/>
      <c r="O1337" s="13"/>
      <c r="P1337" s="13"/>
      <c r="Q1337" s="13"/>
    </row>
    <row r="1338">
      <c r="N1338" s="13"/>
      <c r="O1338" s="13"/>
      <c r="P1338" s="13"/>
      <c r="Q1338" s="13"/>
    </row>
    <row r="1339">
      <c r="N1339" s="13"/>
      <c r="O1339" s="13"/>
      <c r="P1339" s="13"/>
      <c r="Q1339" s="13"/>
    </row>
    <row r="1340">
      <c r="N1340" s="13"/>
      <c r="O1340" s="13"/>
      <c r="P1340" s="13"/>
      <c r="Q1340" s="13"/>
    </row>
    <row r="1341">
      <c r="N1341" s="13"/>
      <c r="O1341" s="13"/>
      <c r="P1341" s="13"/>
      <c r="Q1341" s="13"/>
    </row>
    <row r="1342">
      <c r="N1342" s="13"/>
      <c r="O1342" s="13"/>
      <c r="P1342" s="13"/>
      <c r="Q1342" s="13"/>
    </row>
    <row r="1343">
      <c r="N1343" s="13"/>
      <c r="O1343" s="13"/>
      <c r="P1343" s="13"/>
      <c r="Q1343" s="13"/>
    </row>
    <row r="1344">
      <c r="N1344" s="13"/>
      <c r="O1344" s="13"/>
      <c r="P1344" s="13"/>
      <c r="Q1344" s="13"/>
    </row>
    <row r="1345">
      <c r="N1345" s="13"/>
      <c r="O1345" s="13"/>
      <c r="P1345" s="13"/>
      <c r="Q1345" s="13"/>
    </row>
    <row r="1346">
      <c r="N1346" s="13"/>
      <c r="O1346" s="13"/>
      <c r="P1346" s="13"/>
      <c r="Q1346" s="13"/>
    </row>
    <row r="1347">
      <c r="N1347" s="13"/>
      <c r="O1347" s="13"/>
      <c r="P1347" s="13"/>
      <c r="Q1347" s="13"/>
    </row>
    <row r="1348">
      <c r="N1348" s="13"/>
      <c r="O1348" s="13"/>
      <c r="P1348" s="13"/>
      <c r="Q1348" s="13"/>
    </row>
    <row r="1349">
      <c r="N1349" s="13"/>
      <c r="O1349" s="13"/>
      <c r="P1349" s="13"/>
      <c r="Q1349" s="13"/>
    </row>
    <row r="1350">
      <c r="N1350" s="13"/>
      <c r="O1350" s="13"/>
      <c r="P1350" s="13"/>
      <c r="Q1350" s="13"/>
    </row>
    <row r="1351">
      <c r="N1351" s="13"/>
      <c r="O1351" s="13"/>
      <c r="P1351" s="13"/>
      <c r="Q1351" s="13"/>
    </row>
    <row r="1352">
      <c r="N1352" s="13"/>
      <c r="O1352" s="13"/>
      <c r="P1352" s="13"/>
      <c r="Q1352" s="13"/>
    </row>
    <row r="1353">
      <c r="N1353" s="13"/>
      <c r="O1353" s="13"/>
      <c r="P1353" s="13"/>
      <c r="Q1353" s="13"/>
    </row>
    <row r="1354">
      <c r="N1354" s="13"/>
      <c r="O1354" s="13"/>
      <c r="P1354" s="13"/>
      <c r="Q1354" s="13"/>
    </row>
    <row r="1355">
      <c r="N1355" s="13"/>
      <c r="O1355" s="13"/>
      <c r="P1355" s="13"/>
      <c r="Q1355" s="13"/>
    </row>
    <row r="1356">
      <c r="N1356" s="13"/>
      <c r="O1356" s="13"/>
      <c r="P1356" s="13"/>
      <c r="Q1356" s="13"/>
    </row>
    <row r="1357">
      <c r="N1357" s="13"/>
      <c r="O1357" s="13"/>
      <c r="P1357" s="13"/>
      <c r="Q1357" s="13"/>
    </row>
    <row r="1358">
      <c r="N1358" s="13"/>
      <c r="O1358" s="13"/>
      <c r="P1358" s="13"/>
      <c r="Q1358" s="13"/>
    </row>
    <row r="1359">
      <c r="N1359" s="13"/>
      <c r="O1359" s="13"/>
      <c r="P1359" s="13"/>
      <c r="Q1359" s="13"/>
    </row>
    <row r="1360">
      <c r="N1360" s="13"/>
      <c r="O1360" s="13"/>
      <c r="P1360" s="13"/>
      <c r="Q1360" s="13"/>
    </row>
    <row r="1361">
      <c r="N1361" s="13"/>
      <c r="O1361" s="13"/>
      <c r="P1361" s="13"/>
      <c r="Q1361" s="13"/>
    </row>
    <row r="1362">
      <c r="N1362" s="13"/>
      <c r="O1362" s="13"/>
      <c r="P1362" s="13"/>
      <c r="Q1362" s="13"/>
    </row>
    <row r="1363">
      <c r="N1363" s="13"/>
      <c r="O1363" s="13"/>
      <c r="P1363" s="13"/>
      <c r="Q1363" s="13"/>
    </row>
    <row r="1364">
      <c r="N1364" s="13"/>
      <c r="O1364" s="13"/>
      <c r="P1364" s="13"/>
      <c r="Q1364" s="13"/>
    </row>
    <row r="1365">
      <c r="N1365" s="13"/>
      <c r="O1365" s="13"/>
      <c r="P1365" s="13"/>
      <c r="Q1365" s="13"/>
    </row>
    <row r="1366">
      <c r="N1366" s="13"/>
      <c r="O1366" s="13"/>
      <c r="P1366" s="13"/>
      <c r="Q1366" s="13"/>
    </row>
    <row r="1367">
      <c r="N1367" s="13"/>
      <c r="O1367" s="13"/>
      <c r="P1367" s="13"/>
      <c r="Q1367" s="13"/>
    </row>
    <row r="1368">
      <c r="N1368" s="13"/>
      <c r="O1368" s="13"/>
      <c r="P1368" s="13"/>
      <c r="Q1368" s="13"/>
    </row>
    <row r="1369">
      <c r="N1369" s="13"/>
      <c r="O1369" s="13"/>
      <c r="P1369" s="13"/>
      <c r="Q1369" s="13"/>
    </row>
    <row r="1370">
      <c r="N1370" s="13"/>
      <c r="O1370" s="13"/>
      <c r="P1370" s="13"/>
      <c r="Q1370" s="13"/>
    </row>
    <row r="1371">
      <c r="N1371" s="13"/>
      <c r="O1371" s="13"/>
      <c r="P1371" s="13"/>
      <c r="Q1371" s="13"/>
    </row>
    <row r="1372">
      <c r="N1372" s="13"/>
      <c r="O1372" s="13"/>
      <c r="P1372" s="13"/>
      <c r="Q1372" s="13"/>
    </row>
    <row r="1373">
      <c r="N1373" s="13"/>
      <c r="O1373" s="13"/>
      <c r="P1373" s="13"/>
      <c r="Q1373" s="13"/>
    </row>
    <row r="1374">
      <c r="N1374" s="13"/>
      <c r="O1374" s="13"/>
      <c r="P1374" s="13"/>
      <c r="Q1374" s="13"/>
    </row>
    <row r="1375">
      <c r="N1375" s="13"/>
      <c r="O1375" s="13"/>
      <c r="P1375" s="13"/>
      <c r="Q1375" s="13"/>
    </row>
    <row r="1376">
      <c r="N1376" s="13"/>
      <c r="O1376" s="13"/>
      <c r="P1376" s="13"/>
      <c r="Q1376" s="13"/>
    </row>
    <row r="1377">
      <c r="N1377" s="13"/>
      <c r="O1377" s="13"/>
      <c r="P1377" s="13"/>
      <c r="Q1377" s="13"/>
    </row>
    <row r="1378">
      <c r="N1378" s="13"/>
      <c r="O1378" s="13"/>
      <c r="P1378" s="13"/>
      <c r="Q1378" s="13"/>
    </row>
    <row r="1379">
      <c r="N1379" s="13"/>
      <c r="O1379" s="13"/>
      <c r="P1379" s="13"/>
      <c r="Q1379" s="13"/>
    </row>
    <row r="1380">
      <c r="N1380" s="13"/>
      <c r="O1380" s="13"/>
      <c r="P1380" s="13"/>
      <c r="Q1380" s="13"/>
    </row>
    <row r="1381">
      <c r="N1381" s="13"/>
      <c r="O1381" s="13"/>
      <c r="P1381" s="13"/>
      <c r="Q1381" s="13"/>
    </row>
    <row r="1382">
      <c r="N1382" s="13"/>
      <c r="O1382" s="13"/>
      <c r="P1382" s="13"/>
      <c r="Q1382" s="13"/>
    </row>
    <row r="1383">
      <c r="N1383" s="13"/>
      <c r="O1383" s="13"/>
      <c r="P1383" s="13"/>
      <c r="Q1383" s="13"/>
    </row>
    <row r="1384">
      <c r="N1384" s="13"/>
      <c r="O1384" s="13"/>
      <c r="P1384" s="13"/>
      <c r="Q1384" s="13"/>
    </row>
    <row r="1385">
      <c r="N1385" s="13"/>
      <c r="O1385" s="13"/>
      <c r="P1385" s="13"/>
      <c r="Q1385" s="13"/>
    </row>
    <row r="1386">
      <c r="N1386" s="13"/>
      <c r="O1386" s="13"/>
      <c r="P1386" s="13"/>
      <c r="Q1386" s="13"/>
    </row>
    <row r="1387">
      <c r="N1387" s="13"/>
      <c r="O1387" s="13"/>
      <c r="P1387" s="13"/>
      <c r="Q1387" s="13"/>
    </row>
    <row r="1388">
      <c r="N1388" s="13"/>
      <c r="O1388" s="13"/>
      <c r="P1388" s="13"/>
      <c r="Q1388" s="13"/>
    </row>
    <row r="1389">
      <c r="N1389" s="13"/>
      <c r="O1389" s="13"/>
      <c r="P1389" s="13"/>
      <c r="Q1389" s="13"/>
    </row>
    <row r="1390">
      <c r="N1390" s="13"/>
      <c r="O1390" s="13"/>
      <c r="P1390" s="13"/>
      <c r="Q1390" s="13"/>
    </row>
    <row r="1391">
      <c r="N1391" s="13"/>
      <c r="O1391" s="13"/>
      <c r="P1391" s="13"/>
      <c r="Q1391" s="13"/>
    </row>
    <row r="1392">
      <c r="N1392" s="13"/>
      <c r="O1392" s="13"/>
      <c r="P1392" s="13"/>
      <c r="Q1392" s="13"/>
    </row>
    <row r="1393">
      <c r="N1393" s="13"/>
      <c r="O1393" s="13"/>
      <c r="P1393" s="13"/>
      <c r="Q1393" s="13"/>
    </row>
    <row r="1394">
      <c r="N1394" s="13"/>
      <c r="O1394" s="13"/>
      <c r="P1394" s="13"/>
      <c r="Q1394" s="13"/>
    </row>
    <row r="1395">
      <c r="N1395" s="13"/>
      <c r="O1395" s="13"/>
      <c r="P1395" s="13"/>
      <c r="Q1395" s="13"/>
    </row>
    <row r="1396">
      <c r="N1396" s="13"/>
      <c r="O1396" s="13"/>
      <c r="P1396" s="13"/>
      <c r="Q1396" s="13"/>
    </row>
    <row r="1397">
      <c r="N1397" s="13"/>
      <c r="O1397" s="13"/>
      <c r="P1397" s="13"/>
      <c r="Q1397" s="13"/>
    </row>
    <row r="1398">
      <c r="N1398" s="13"/>
      <c r="O1398" s="13"/>
      <c r="P1398" s="13"/>
      <c r="Q1398" s="13"/>
    </row>
    <row r="1399">
      <c r="N1399" s="13"/>
      <c r="O1399" s="13"/>
      <c r="P1399" s="13"/>
      <c r="Q1399" s="13"/>
    </row>
    <row r="1400">
      <c r="N1400" s="13"/>
      <c r="O1400" s="13"/>
      <c r="P1400" s="13"/>
      <c r="Q1400" s="13"/>
    </row>
    <row r="1401">
      <c r="N1401" s="13"/>
      <c r="O1401" s="13"/>
      <c r="P1401" s="13"/>
      <c r="Q1401" s="13"/>
    </row>
    <row r="1402">
      <c r="N1402" s="13"/>
      <c r="O1402" s="13"/>
      <c r="P1402" s="13"/>
      <c r="Q1402" s="13"/>
    </row>
    <row r="1403">
      <c r="N1403" s="13"/>
      <c r="O1403" s="13"/>
      <c r="P1403" s="13"/>
      <c r="Q1403" s="13"/>
    </row>
    <row r="1404">
      <c r="N1404" s="13"/>
      <c r="O1404" s="13"/>
      <c r="P1404" s="13"/>
      <c r="Q1404" s="13"/>
    </row>
    <row r="1405">
      <c r="N1405" s="13"/>
      <c r="O1405" s="13"/>
      <c r="P1405" s="13"/>
      <c r="Q1405" s="13"/>
    </row>
    <row r="1406">
      <c r="N1406" s="13"/>
      <c r="O1406" s="13"/>
      <c r="P1406" s="13"/>
      <c r="Q1406" s="13"/>
    </row>
    <row r="1407">
      <c r="N1407" s="13"/>
      <c r="O1407" s="13"/>
      <c r="P1407" s="13"/>
      <c r="Q1407" s="13"/>
    </row>
    <row r="1408">
      <c r="N1408" s="13"/>
      <c r="O1408" s="13"/>
      <c r="P1408" s="13"/>
      <c r="Q1408" s="13"/>
    </row>
    <row r="1409">
      <c r="N1409" s="13"/>
      <c r="O1409" s="13"/>
      <c r="P1409" s="13"/>
      <c r="Q1409" s="13"/>
    </row>
    <row r="1410">
      <c r="N1410" s="13"/>
      <c r="O1410" s="13"/>
      <c r="P1410" s="13"/>
      <c r="Q1410" s="13"/>
    </row>
    <row r="1411">
      <c r="N1411" s="13"/>
      <c r="O1411" s="13"/>
      <c r="P1411" s="13"/>
      <c r="Q1411" s="13"/>
    </row>
    <row r="1412">
      <c r="N1412" s="13"/>
      <c r="O1412" s="13"/>
      <c r="P1412" s="13"/>
      <c r="Q1412" s="13"/>
    </row>
    <row r="1413">
      <c r="N1413" s="13"/>
      <c r="O1413" s="13"/>
      <c r="P1413" s="13"/>
      <c r="Q1413" s="13"/>
    </row>
    <row r="1414">
      <c r="N1414" s="13"/>
      <c r="O1414" s="13"/>
      <c r="P1414" s="13"/>
      <c r="Q1414" s="13"/>
    </row>
    <row r="1415">
      <c r="N1415" s="13"/>
      <c r="O1415" s="13"/>
      <c r="P1415" s="13"/>
      <c r="Q1415" s="13"/>
    </row>
    <row r="1416">
      <c r="N1416" s="13"/>
      <c r="O1416" s="13"/>
      <c r="P1416" s="13"/>
      <c r="Q1416" s="13"/>
    </row>
    <row r="1417">
      <c r="N1417" s="13"/>
      <c r="O1417" s="13"/>
      <c r="P1417" s="13"/>
      <c r="Q1417" s="13"/>
    </row>
    <row r="1418">
      <c r="N1418" s="13"/>
      <c r="O1418" s="13"/>
      <c r="P1418" s="13"/>
      <c r="Q1418" s="13"/>
    </row>
    <row r="1419">
      <c r="N1419" s="13"/>
      <c r="O1419" s="13"/>
      <c r="P1419" s="13"/>
      <c r="Q1419" s="13"/>
    </row>
    <row r="1420">
      <c r="N1420" s="13"/>
      <c r="O1420" s="13"/>
      <c r="P1420" s="13"/>
      <c r="Q1420" s="13"/>
    </row>
    <row r="1421">
      <c r="N1421" s="13"/>
      <c r="O1421" s="13"/>
      <c r="P1421" s="13"/>
      <c r="Q1421" s="13"/>
    </row>
    <row r="1422">
      <c r="N1422" s="13"/>
      <c r="O1422" s="13"/>
      <c r="P1422" s="13"/>
      <c r="Q1422" s="13"/>
    </row>
    <row r="1423">
      <c r="N1423" s="13"/>
      <c r="O1423" s="13"/>
      <c r="P1423" s="13"/>
      <c r="Q1423" s="13"/>
    </row>
    <row r="1424">
      <c r="N1424" s="13"/>
      <c r="O1424" s="13"/>
      <c r="P1424" s="13"/>
      <c r="Q1424" s="13"/>
    </row>
    <row r="1425">
      <c r="N1425" s="13"/>
      <c r="O1425" s="13"/>
      <c r="P1425" s="13"/>
      <c r="Q1425" s="13"/>
    </row>
    <row r="1426">
      <c r="N1426" s="13"/>
      <c r="O1426" s="13"/>
      <c r="P1426" s="13"/>
      <c r="Q1426" s="13"/>
    </row>
    <row r="1427">
      <c r="N1427" s="13"/>
      <c r="O1427" s="13"/>
      <c r="P1427" s="13"/>
      <c r="Q1427" s="13"/>
    </row>
    <row r="1428">
      <c r="N1428" s="13"/>
      <c r="O1428" s="13"/>
      <c r="P1428" s="13"/>
      <c r="Q1428" s="13"/>
    </row>
    <row r="1429">
      <c r="N1429" s="13"/>
      <c r="O1429" s="13"/>
      <c r="P1429" s="13"/>
      <c r="Q1429" s="13"/>
    </row>
    <row r="1430">
      <c r="N1430" s="13"/>
      <c r="O1430" s="13"/>
      <c r="P1430" s="13"/>
      <c r="Q1430" s="13"/>
    </row>
    <row r="1431">
      <c r="N1431" s="13"/>
      <c r="O1431" s="13"/>
      <c r="P1431" s="13"/>
      <c r="Q1431" s="13"/>
    </row>
    <row r="1432">
      <c r="N1432" s="13"/>
      <c r="O1432" s="13"/>
      <c r="P1432" s="13"/>
      <c r="Q1432" s="13"/>
    </row>
    <row r="1433">
      <c r="N1433" s="13"/>
      <c r="O1433" s="13"/>
      <c r="P1433" s="13"/>
      <c r="Q1433" s="13"/>
    </row>
    <row r="1434">
      <c r="N1434" s="13"/>
      <c r="O1434" s="13"/>
      <c r="P1434" s="13"/>
      <c r="Q1434" s="13"/>
    </row>
    <row r="1435">
      <c r="N1435" s="13"/>
      <c r="O1435" s="13"/>
      <c r="P1435" s="13"/>
      <c r="Q1435" s="13"/>
    </row>
    <row r="1436">
      <c r="N1436" s="13"/>
      <c r="O1436" s="13"/>
      <c r="P1436" s="13"/>
      <c r="Q1436" s="13"/>
    </row>
    <row r="1437">
      <c r="N1437" s="13"/>
      <c r="O1437" s="13"/>
      <c r="P1437" s="13"/>
      <c r="Q1437" s="13"/>
    </row>
    <row r="1438">
      <c r="N1438" s="13"/>
      <c r="O1438" s="13"/>
      <c r="P1438" s="13"/>
      <c r="Q1438" s="13"/>
    </row>
    <row r="1439">
      <c r="N1439" s="13"/>
      <c r="O1439" s="13"/>
      <c r="P1439" s="13"/>
      <c r="Q1439" s="13"/>
    </row>
    <row r="1440">
      <c r="N1440" s="13"/>
      <c r="O1440" s="13"/>
      <c r="P1440" s="13"/>
      <c r="Q1440" s="13"/>
    </row>
    <row r="1441">
      <c r="N1441" s="13"/>
      <c r="O1441" s="13"/>
      <c r="P1441" s="13"/>
      <c r="Q1441" s="13"/>
    </row>
    <row r="1442">
      <c r="N1442" s="13"/>
      <c r="O1442" s="13"/>
      <c r="P1442" s="13"/>
      <c r="Q1442" s="13"/>
    </row>
    <row r="1443">
      <c r="N1443" s="13"/>
      <c r="O1443" s="13"/>
      <c r="P1443" s="13"/>
      <c r="Q1443" s="13"/>
    </row>
    <row r="1444">
      <c r="N1444" s="13"/>
      <c r="O1444" s="13"/>
      <c r="P1444" s="13"/>
      <c r="Q1444" s="13"/>
    </row>
    <row r="1445">
      <c r="N1445" s="13"/>
      <c r="O1445" s="13"/>
      <c r="P1445" s="13"/>
      <c r="Q1445" s="13"/>
    </row>
    <row r="1446">
      <c r="N1446" s="13"/>
      <c r="O1446" s="13"/>
      <c r="P1446" s="13"/>
      <c r="Q1446" s="13"/>
    </row>
    <row r="1447">
      <c r="N1447" s="13"/>
      <c r="O1447" s="13"/>
      <c r="P1447" s="13"/>
      <c r="Q1447" s="13"/>
    </row>
    <row r="1448">
      <c r="N1448" s="13"/>
      <c r="O1448" s="13"/>
      <c r="P1448" s="13"/>
      <c r="Q1448" s="13"/>
    </row>
    <row r="1449">
      <c r="N1449" s="13"/>
      <c r="O1449" s="13"/>
      <c r="P1449" s="13"/>
      <c r="Q1449" s="13"/>
    </row>
    <row r="1450">
      <c r="N1450" s="13"/>
      <c r="O1450" s="13"/>
      <c r="P1450" s="13"/>
      <c r="Q1450" s="13"/>
    </row>
    <row r="1451">
      <c r="N1451" s="13"/>
      <c r="O1451" s="13"/>
      <c r="P1451" s="13"/>
      <c r="Q1451" s="13"/>
    </row>
    <row r="1452">
      <c r="N1452" s="13"/>
      <c r="O1452" s="13"/>
      <c r="P1452" s="13"/>
      <c r="Q1452" s="13"/>
    </row>
    <row r="1453">
      <c r="N1453" s="13"/>
      <c r="O1453" s="13"/>
      <c r="P1453" s="13"/>
      <c r="Q1453" s="13"/>
    </row>
    <row r="1454">
      <c r="N1454" s="13"/>
      <c r="O1454" s="13"/>
      <c r="P1454" s="13"/>
      <c r="Q1454" s="13"/>
    </row>
    <row r="1455">
      <c r="N1455" s="13"/>
      <c r="O1455" s="13"/>
      <c r="P1455" s="13"/>
      <c r="Q1455" s="13"/>
    </row>
    <row r="1456">
      <c r="N1456" s="13"/>
      <c r="O1456" s="13"/>
      <c r="P1456" s="13"/>
      <c r="Q1456" s="13"/>
    </row>
    <row r="1457">
      <c r="N1457" s="13"/>
      <c r="O1457" s="13"/>
      <c r="P1457" s="13"/>
      <c r="Q1457" s="13"/>
    </row>
    <row r="1458">
      <c r="N1458" s="13"/>
      <c r="O1458" s="13"/>
      <c r="P1458" s="13"/>
      <c r="Q1458" s="13"/>
    </row>
    <row r="1459">
      <c r="N1459" s="13"/>
      <c r="O1459" s="13"/>
      <c r="P1459" s="13"/>
      <c r="Q1459" s="13"/>
    </row>
    <row r="1460">
      <c r="N1460" s="13"/>
      <c r="O1460" s="13"/>
      <c r="P1460" s="13"/>
      <c r="Q1460" s="13"/>
    </row>
    <row r="1461">
      <c r="N1461" s="13"/>
      <c r="O1461" s="13"/>
      <c r="P1461" s="13"/>
      <c r="Q1461" s="13"/>
    </row>
    <row r="1462">
      <c r="N1462" s="13"/>
      <c r="O1462" s="13"/>
      <c r="P1462" s="13"/>
      <c r="Q1462" s="13"/>
    </row>
    <row r="1463">
      <c r="N1463" s="13"/>
      <c r="O1463" s="13"/>
      <c r="P1463" s="13"/>
      <c r="Q1463" s="13"/>
    </row>
    <row r="1464">
      <c r="N1464" s="13"/>
      <c r="O1464" s="13"/>
      <c r="P1464" s="13"/>
      <c r="Q1464" s="13"/>
    </row>
    <row r="1465">
      <c r="N1465" s="13"/>
      <c r="O1465" s="13"/>
      <c r="P1465" s="13"/>
      <c r="Q1465" s="13"/>
    </row>
    <row r="1466">
      <c r="N1466" s="13"/>
      <c r="O1466" s="13"/>
      <c r="P1466" s="13"/>
      <c r="Q1466" s="13"/>
    </row>
    <row r="1467">
      <c r="N1467" s="13"/>
      <c r="O1467" s="13"/>
      <c r="P1467" s="13"/>
      <c r="Q1467" s="13"/>
    </row>
    <row r="1468">
      <c r="N1468" s="13"/>
      <c r="O1468" s="13"/>
      <c r="P1468" s="13"/>
      <c r="Q1468" s="13"/>
    </row>
    <row r="1469">
      <c r="N1469" s="13"/>
      <c r="O1469" s="13"/>
      <c r="P1469" s="13"/>
      <c r="Q1469" s="13"/>
    </row>
    <row r="1470">
      <c r="N1470" s="13"/>
      <c r="O1470" s="13"/>
      <c r="P1470" s="13"/>
      <c r="Q1470" s="13"/>
    </row>
    <row r="1471">
      <c r="N1471" s="13"/>
      <c r="O1471" s="13"/>
      <c r="P1471" s="13"/>
      <c r="Q1471" s="13"/>
    </row>
    <row r="1472">
      <c r="N1472" s="13"/>
      <c r="O1472" s="13"/>
      <c r="P1472" s="13"/>
      <c r="Q1472" s="13"/>
    </row>
    <row r="1473">
      <c r="N1473" s="13"/>
      <c r="O1473" s="13"/>
      <c r="P1473" s="13"/>
      <c r="Q1473" s="13"/>
    </row>
    <row r="1474">
      <c r="N1474" s="13"/>
      <c r="O1474" s="13"/>
      <c r="P1474" s="13"/>
      <c r="Q1474" s="13"/>
    </row>
    <row r="1475">
      <c r="N1475" s="13"/>
      <c r="O1475" s="13"/>
      <c r="P1475" s="13"/>
      <c r="Q1475" s="13"/>
    </row>
    <row r="1476">
      <c r="N1476" s="13"/>
      <c r="O1476" s="13"/>
      <c r="P1476" s="13"/>
      <c r="Q1476" s="13"/>
    </row>
    <row r="1477">
      <c r="N1477" s="13"/>
      <c r="O1477" s="13"/>
      <c r="P1477" s="13"/>
      <c r="Q1477" s="13"/>
    </row>
    <row r="1478">
      <c r="N1478" s="13"/>
      <c r="O1478" s="13"/>
      <c r="P1478" s="13"/>
      <c r="Q1478" s="13"/>
    </row>
    <row r="1479">
      <c r="N1479" s="13"/>
      <c r="O1479" s="13"/>
      <c r="P1479" s="13"/>
      <c r="Q1479" s="13"/>
    </row>
    <row r="1480">
      <c r="N1480" s="13"/>
      <c r="O1480" s="13"/>
      <c r="P1480" s="13"/>
      <c r="Q1480" s="13"/>
    </row>
    <row r="1481">
      <c r="N1481" s="13"/>
      <c r="O1481" s="13"/>
      <c r="P1481" s="13"/>
      <c r="Q1481" s="13"/>
    </row>
    <row r="1482">
      <c r="N1482" s="13"/>
      <c r="O1482" s="13"/>
      <c r="P1482" s="13"/>
      <c r="Q1482" s="13"/>
    </row>
    <row r="1483">
      <c r="N1483" s="13"/>
      <c r="O1483" s="13"/>
      <c r="P1483" s="13"/>
      <c r="Q1483" s="13"/>
    </row>
    <row r="1484">
      <c r="N1484" s="13"/>
      <c r="O1484" s="13"/>
      <c r="P1484" s="13"/>
      <c r="Q1484" s="13"/>
    </row>
    <row r="1485">
      <c r="N1485" s="13"/>
      <c r="O1485" s="13"/>
      <c r="P1485" s="13"/>
      <c r="Q1485" s="13"/>
    </row>
    <row r="1486">
      <c r="N1486" s="13"/>
      <c r="O1486" s="13"/>
      <c r="P1486" s="13"/>
      <c r="Q1486" s="13"/>
    </row>
    <row r="1487">
      <c r="N1487" s="13"/>
      <c r="O1487" s="13"/>
      <c r="P1487" s="13"/>
      <c r="Q1487" s="13"/>
    </row>
    <row r="1488">
      <c r="N1488" s="13"/>
      <c r="O1488" s="13"/>
      <c r="P1488" s="13"/>
      <c r="Q1488" s="13"/>
    </row>
    <row r="1489">
      <c r="N1489" s="13"/>
      <c r="O1489" s="13"/>
      <c r="P1489" s="13"/>
      <c r="Q1489" s="13"/>
    </row>
    <row r="1490">
      <c r="N1490" s="13"/>
      <c r="O1490" s="13"/>
      <c r="P1490" s="13"/>
      <c r="Q1490" s="13"/>
    </row>
    <row r="1491">
      <c r="N1491" s="13"/>
      <c r="O1491" s="13"/>
      <c r="P1491" s="13"/>
      <c r="Q1491" s="13"/>
    </row>
    <row r="1492">
      <c r="N1492" s="13"/>
      <c r="O1492" s="13"/>
      <c r="P1492" s="13"/>
      <c r="Q1492" s="13"/>
    </row>
    <row r="1493">
      <c r="N1493" s="13"/>
      <c r="O1493" s="13"/>
      <c r="P1493" s="13"/>
      <c r="Q1493" s="13"/>
    </row>
    <row r="1494">
      <c r="N1494" s="13"/>
      <c r="O1494" s="13"/>
      <c r="P1494" s="13"/>
      <c r="Q1494" s="13"/>
    </row>
    <row r="1495">
      <c r="N1495" s="13"/>
      <c r="O1495" s="13"/>
      <c r="P1495" s="13"/>
      <c r="Q1495" s="13"/>
    </row>
    <row r="1496">
      <c r="N1496" s="13"/>
      <c r="O1496" s="13"/>
      <c r="P1496" s="13"/>
      <c r="Q1496" s="13"/>
    </row>
    <row r="1497">
      <c r="N1497" s="13"/>
      <c r="O1497" s="13"/>
      <c r="P1497" s="13"/>
      <c r="Q1497" s="13"/>
    </row>
    <row r="1498">
      <c r="N1498" s="13"/>
      <c r="O1498" s="13"/>
      <c r="P1498" s="13"/>
      <c r="Q1498" s="13"/>
    </row>
    <row r="1499">
      <c r="N1499" s="13"/>
      <c r="O1499" s="13"/>
      <c r="P1499" s="13"/>
      <c r="Q1499" s="13"/>
    </row>
    <row r="1500">
      <c r="N1500" s="13"/>
      <c r="O1500" s="13"/>
      <c r="P1500" s="13"/>
      <c r="Q1500" s="13"/>
    </row>
    <row r="1501">
      <c r="N1501" s="13"/>
      <c r="O1501" s="13"/>
      <c r="P1501" s="13"/>
      <c r="Q1501" s="13"/>
    </row>
    <row r="1502">
      <c r="N1502" s="13"/>
      <c r="O1502" s="13"/>
      <c r="P1502" s="13"/>
      <c r="Q1502" s="13"/>
    </row>
    <row r="1503">
      <c r="N1503" s="13"/>
      <c r="O1503" s="13"/>
      <c r="P1503" s="13"/>
      <c r="Q1503" s="13"/>
    </row>
    <row r="1504">
      <c r="N1504" s="13"/>
      <c r="O1504" s="13"/>
      <c r="P1504" s="13"/>
      <c r="Q1504" s="13"/>
    </row>
    <row r="1505">
      <c r="N1505" s="13"/>
      <c r="O1505" s="13"/>
      <c r="P1505" s="13"/>
      <c r="Q1505" s="13"/>
    </row>
    <row r="1506">
      <c r="N1506" s="13"/>
      <c r="O1506" s="13"/>
      <c r="P1506" s="13"/>
      <c r="Q1506" s="13"/>
    </row>
    <row r="1507">
      <c r="N1507" s="13"/>
      <c r="O1507" s="13"/>
      <c r="P1507" s="13"/>
      <c r="Q1507" s="13"/>
    </row>
    <row r="1508">
      <c r="N1508" s="13"/>
      <c r="O1508" s="13"/>
      <c r="P1508" s="13"/>
      <c r="Q1508" s="13"/>
    </row>
    <row r="1509">
      <c r="N1509" s="13"/>
      <c r="O1509" s="13"/>
      <c r="P1509" s="13"/>
      <c r="Q1509" s="13"/>
    </row>
    <row r="1510">
      <c r="N1510" s="13"/>
      <c r="O1510" s="13"/>
      <c r="P1510" s="13"/>
      <c r="Q1510" s="13"/>
    </row>
    <row r="1511">
      <c r="N1511" s="13"/>
      <c r="O1511" s="13"/>
      <c r="P1511" s="13"/>
      <c r="Q1511" s="13"/>
    </row>
    <row r="1512">
      <c r="N1512" s="13"/>
      <c r="O1512" s="13"/>
      <c r="P1512" s="13"/>
      <c r="Q1512" s="13"/>
    </row>
    <row r="1513">
      <c r="N1513" s="13"/>
      <c r="O1513" s="13"/>
      <c r="P1513" s="13"/>
      <c r="Q1513" s="13"/>
    </row>
    <row r="1514">
      <c r="N1514" s="13"/>
      <c r="O1514" s="13"/>
      <c r="P1514" s="13"/>
      <c r="Q1514" s="13"/>
    </row>
    <row r="1515">
      <c r="N1515" s="13"/>
      <c r="O1515" s="13"/>
      <c r="P1515" s="13"/>
      <c r="Q1515" s="13"/>
    </row>
    <row r="1516">
      <c r="N1516" s="13"/>
      <c r="O1516" s="13"/>
      <c r="P1516" s="13"/>
      <c r="Q1516" s="13"/>
    </row>
    <row r="1517">
      <c r="N1517" s="13"/>
      <c r="O1517" s="13"/>
      <c r="P1517" s="13"/>
      <c r="Q1517" s="13"/>
    </row>
    <row r="1518">
      <c r="N1518" s="13"/>
      <c r="O1518" s="13"/>
      <c r="P1518" s="13"/>
      <c r="Q1518" s="13"/>
    </row>
    <row r="1519">
      <c r="N1519" s="13"/>
      <c r="O1519" s="13"/>
      <c r="P1519" s="13"/>
      <c r="Q1519" s="13"/>
    </row>
    <row r="1520">
      <c r="N1520" s="13"/>
      <c r="O1520" s="13"/>
      <c r="P1520" s="13"/>
      <c r="Q1520" s="13"/>
    </row>
    <row r="1521">
      <c r="N1521" s="13"/>
      <c r="O1521" s="13"/>
      <c r="P1521" s="13"/>
      <c r="Q1521" s="13"/>
    </row>
    <row r="1522">
      <c r="N1522" s="13"/>
      <c r="O1522" s="13"/>
      <c r="P1522" s="13"/>
      <c r="Q1522" s="13"/>
    </row>
    <row r="1523">
      <c r="N1523" s="13"/>
      <c r="O1523" s="13"/>
      <c r="P1523" s="13"/>
      <c r="Q1523" s="13"/>
    </row>
    <row r="1524">
      <c r="N1524" s="13"/>
      <c r="O1524" s="13"/>
      <c r="P1524" s="13"/>
      <c r="Q1524" s="13"/>
    </row>
    <row r="1525">
      <c r="N1525" s="13"/>
      <c r="O1525" s="13"/>
      <c r="P1525" s="13"/>
      <c r="Q1525" s="13"/>
    </row>
    <row r="1526">
      <c r="N1526" s="13"/>
      <c r="O1526" s="13"/>
      <c r="P1526" s="13"/>
      <c r="Q1526" s="13"/>
    </row>
    <row r="1527">
      <c r="N1527" s="13"/>
      <c r="O1527" s="13"/>
      <c r="P1527" s="13"/>
      <c r="Q1527" s="13"/>
    </row>
    <row r="1528">
      <c r="N1528" s="13"/>
      <c r="O1528" s="13"/>
      <c r="P1528" s="13"/>
      <c r="Q1528" s="13"/>
    </row>
    <row r="1529">
      <c r="N1529" s="13"/>
      <c r="O1529" s="13"/>
      <c r="P1529" s="13"/>
      <c r="Q1529" s="13"/>
    </row>
    <row r="1530">
      <c r="N1530" s="13"/>
      <c r="O1530" s="13"/>
      <c r="P1530" s="13"/>
      <c r="Q1530" s="13"/>
    </row>
    <row r="1531">
      <c r="N1531" s="13"/>
      <c r="O1531" s="13"/>
      <c r="P1531" s="13"/>
      <c r="Q1531" s="13"/>
    </row>
    <row r="1532">
      <c r="N1532" s="13"/>
      <c r="O1532" s="13"/>
      <c r="P1532" s="13"/>
      <c r="Q1532" s="13"/>
    </row>
    <row r="1533">
      <c r="N1533" s="13"/>
      <c r="O1533" s="13"/>
      <c r="P1533" s="13"/>
      <c r="Q1533" s="13"/>
    </row>
    <row r="1534">
      <c r="N1534" s="13"/>
      <c r="O1534" s="13"/>
      <c r="P1534" s="13"/>
      <c r="Q1534" s="13"/>
    </row>
    <row r="1535">
      <c r="N1535" s="13"/>
      <c r="O1535" s="13"/>
      <c r="P1535" s="13"/>
      <c r="Q1535" s="13"/>
    </row>
    <row r="1536">
      <c r="N1536" s="13"/>
      <c r="O1536" s="13"/>
      <c r="P1536" s="13"/>
      <c r="Q1536" s="13"/>
    </row>
    <row r="1537">
      <c r="N1537" s="13"/>
      <c r="O1537" s="13"/>
      <c r="P1537" s="13"/>
      <c r="Q1537" s="13"/>
    </row>
    <row r="1538">
      <c r="N1538" s="13"/>
      <c r="O1538" s="13"/>
      <c r="P1538" s="13"/>
      <c r="Q1538" s="13"/>
    </row>
    <row r="1539">
      <c r="N1539" s="13"/>
      <c r="O1539" s="13"/>
      <c r="P1539" s="13"/>
      <c r="Q1539" s="13"/>
    </row>
    <row r="1540">
      <c r="N1540" s="13"/>
      <c r="O1540" s="13"/>
      <c r="P1540" s="13"/>
      <c r="Q1540" s="13"/>
    </row>
    <row r="1541">
      <c r="N1541" s="13"/>
      <c r="O1541" s="13"/>
      <c r="P1541" s="13"/>
      <c r="Q1541" s="13"/>
    </row>
    <row r="1542">
      <c r="N1542" s="13"/>
      <c r="O1542" s="13"/>
      <c r="P1542" s="13"/>
      <c r="Q1542" s="13"/>
    </row>
    <row r="1543">
      <c r="N1543" s="13"/>
      <c r="O1543" s="13"/>
      <c r="P1543" s="13"/>
      <c r="Q1543" s="13"/>
    </row>
    <row r="1544">
      <c r="N1544" s="13"/>
      <c r="O1544" s="13"/>
      <c r="P1544" s="13"/>
      <c r="Q1544" s="13"/>
    </row>
    <row r="1545">
      <c r="N1545" s="13"/>
      <c r="O1545" s="13"/>
      <c r="P1545" s="13"/>
      <c r="Q1545" s="13"/>
    </row>
    <row r="1546">
      <c r="N1546" s="13"/>
      <c r="O1546" s="13"/>
      <c r="P1546" s="13"/>
      <c r="Q1546" s="13"/>
    </row>
    <row r="1547">
      <c r="N1547" s="13"/>
      <c r="O1547" s="13"/>
      <c r="P1547" s="13"/>
      <c r="Q1547" s="13"/>
    </row>
    <row r="1548">
      <c r="N1548" s="13"/>
      <c r="O1548" s="13"/>
      <c r="P1548" s="13"/>
      <c r="Q1548" s="13"/>
    </row>
    <row r="1549">
      <c r="N1549" s="13"/>
      <c r="O1549" s="13"/>
      <c r="P1549" s="13"/>
      <c r="Q1549" s="13"/>
    </row>
    <row r="1550">
      <c r="N1550" s="13"/>
      <c r="O1550" s="13"/>
      <c r="P1550" s="13"/>
      <c r="Q1550" s="13"/>
    </row>
    <row r="1551">
      <c r="N1551" s="13"/>
      <c r="O1551" s="13"/>
      <c r="P1551" s="13"/>
      <c r="Q1551" s="13"/>
    </row>
    <row r="1552">
      <c r="N1552" s="13"/>
      <c r="O1552" s="13"/>
      <c r="P1552" s="13"/>
      <c r="Q1552" s="13"/>
    </row>
    <row r="1553">
      <c r="N1553" s="13"/>
      <c r="O1553" s="13"/>
      <c r="P1553" s="13"/>
      <c r="Q1553" s="13"/>
    </row>
    <row r="1554">
      <c r="N1554" s="13"/>
      <c r="O1554" s="13"/>
      <c r="P1554" s="13"/>
      <c r="Q1554" s="13"/>
    </row>
    <row r="1555">
      <c r="N1555" s="13"/>
      <c r="O1555" s="13"/>
      <c r="P1555" s="13"/>
      <c r="Q1555" s="13"/>
    </row>
    <row r="1556">
      <c r="N1556" s="13"/>
      <c r="O1556" s="13"/>
      <c r="P1556" s="13"/>
      <c r="Q1556" s="13"/>
    </row>
    <row r="1557">
      <c r="N1557" s="13"/>
      <c r="O1557" s="13"/>
      <c r="P1557" s="13"/>
      <c r="Q1557" s="13"/>
    </row>
    <row r="1558">
      <c r="N1558" s="13"/>
      <c r="O1558" s="13"/>
      <c r="P1558" s="13"/>
      <c r="Q1558" s="13"/>
    </row>
    <row r="1559">
      <c r="N1559" s="13"/>
      <c r="O1559" s="13"/>
      <c r="P1559" s="13"/>
      <c r="Q1559" s="13"/>
    </row>
    <row r="1560">
      <c r="N1560" s="13"/>
      <c r="O1560" s="13"/>
      <c r="P1560" s="13"/>
      <c r="Q1560" s="13"/>
    </row>
    <row r="1561">
      <c r="N1561" s="13"/>
      <c r="O1561" s="13"/>
      <c r="P1561" s="13"/>
      <c r="Q1561" s="13"/>
    </row>
    <row r="1562">
      <c r="N1562" s="13"/>
      <c r="O1562" s="13"/>
      <c r="P1562" s="13"/>
      <c r="Q1562" s="13"/>
    </row>
    <row r="1563">
      <c r="N1563" s="13"/>
      <c r="O1563" s="13"/>
      <c r="P1563" s="13"/>
      <c r="Q1563" s="13"/>
    </row>
    <row r="1564">
      <c r="N1564" s="13"/>
      <c r="O1564" s="13"/>
      <c r="P1564" s="13"/>
      <c r="Q1564" s="13"/>
    </row>
    <row r="1565">
      <c r="N1565" s="13"/>
      <c r="O1565" s="13"/>
      <c r="P1565" s="13"/>
      <c r="Q1565" s="13"/>
    </row>
    <row r="1566">
      <c r="N1566" s="13"/>
      <c r="O1566" s="13"/>
      <c r="P1566" s="13"/>
      <c r="Q1566" s="13"/>
    </row>
    <row r="1567">
      <c r="N1567" s="13"/>
      <c r="O1567" s="13"/>
      <c r="P1567" s="13"/>
      <c r="Q1567" s="13"/>
    </row>
    <row r="1568">
      <c r="N1568" s="13"/>
      <c r="O1568" s="13"/>
      <c r="P1568" s="13"/>
      <c r="Q1568" s="13"/>
    </row>
    <row r="1569">
      <c r="N1569" s="13"/>
      <c r="O1569" s="13"/>
      <c r="P1569" s="13"/>
      <c r="Q1569" s="13"/>
    </row>
    <row r="1570">
      <c r="N1570" s="13"/>
      <c r="O1570" s="13"/>
      <c r="P1570" s="13"/>
      <c r="Q1570" s="13"/>
    </row>
    <row r="1571">
      <c r="N1571" s="13"/>
      <c r="O1571" s="13"/>
      <c r="P1571" s="13"/>
      <c r="Q1571" s="13"/>
    </row>
    <row r="1572">
      <c r="N1572" s="13"/>
      <c r="O1572" s="13"/>
      <c r="P1572" s="13"/>
      <c r="Q1572" s="13"/>
    </row>
    <row r="1573">
      <c r="N1573" s="13"/>
      <c r="O1573" s="13"/>
      <c r="P1573" s="13"/>
      <c r="Q1573" s="13"/>
    </row>
    <row r="1574">
      <c r="N1574" s="13"/>
      <c r="O1574" s="13"/>
      <c r="P1574" s="13"/>
      <c r="Q1574" s="13"/>
    </row>
    <row r="1575">
      <c r="N1575" s="13"/>
      <c r="O1575" s="13"/>
      <c r="P1575" s="13"/>
      <c r="Q1575" s="13"/>
    </row>
    <row r="1576">
      <c r="N1576" s="13"/>
      <c r="O1576" s="13"/>
      <c r="P1576" s="13"/>
      <c r="Q1576" s="13"/>
    </row>
    <row r="1577">
      <c r="N1577" s="13"/>
      <c r="O1577" s="13"/>
      <c r="P1577" s="13"/>
      <c r="Q1577" s="13"/>
    </row>
    <row r="1578">
      <c r="N1578" s="13"/>
      <c r="O1578" s="13"/>
      <c r="P1578" s="13"/>
      <c r="Q1578" s="13"/>
    </row>
    <row r="1579">
      <c r="N1579" s="13"/>
      <c r="O1579" s="13"/>
      <c r="P1579" s="13"/>
      <c r="Q1579" s="13"/>
    </row>
    <row r="1580">
      <c r="N1580" s="13"/>
      <c r="O1580" s="13"/>
      <c r="P1580" s="13"/>
      <c r="Q1580" s="13"/>
    </row>
    <row r="1581">
      <c r="N1581" s="13"/>
      <c r="O1581" s="13"/>
      <c r="P1581" s="13"/>
      <c r="Q1581" s="13"/>
    </row>
    <row r="1582">
      <c r="N1582" s="13"/>
      <c r="O1582" s="13"/>
      <c r="P1582" s="13"/>
      <c r="Q1582" s="13"/>
    </row>
    <row r="1583">
      <c r="N1583" s="13"/>
      <c r="O1583" s="13"/>
      <c r="P1583" s="13"/>
      <c r="Q1583" s="13"/>
    </row>
    <row r="1584">
      <c r="N1584" s="13"/>
      <c r="O1584" s="13"/>
      <c r="P1584" s="13"/>
      <c r="Q1584" s="13"/>
    </row>
    <row r="1585">
      <c r="N1585" s="13"/>
      <c r="O1585" s="13"/>
      <c r="P1585" s="13"/>
      <c r="Q1585" s="13"/>
    </row>
    <row r="1586">
      <c r="N1586" s="13"/>
      <c r="O1586" s="13"/>
      <c r="P1586" s="13"/>
      <c r="Q1586" s="13"/>
    </row>
    <row r="1587">
      <c r="N1587" s="13"/>
      <c r="O1587" s="13"/>
      <c r="P1587" s="13"/>
      <c r="Q1587" s="13"/>
    </row>
    <row r="1588">
      <c r="N1588" s="13"/>
      <c r="O1588" s="13"/>
      <c r="P1588" s="13"/>
      <c r="Q1588" s="13"/>
    </row>
    <row r="1589">
      <c r="N1589" s="13"/>
      <c r="O1589" s="13"/>
      <c r="P1589" s="13"/>
      <c r="Q1589" s="13"/>
    </row>
    <row r="1590">
      <c r="N1590" s="13"/>
      <c r="O1590" s="13"/>
      <c r="P1590" s="13"/>
      <c r="Q1590" s="13"/>
    </row>
    <row r="1591">
      <c r="N1591" s="13"/>
      <c r="O1591" s="13"/>
      <c r="P1591" s="13"/>
      <c r="Q1591" s="13"/>
    </row>
    <row r="1592">
      <c r="N1592" s="13"/>
      <c r="O1592" s="13"/>
      <c r="P1592" s="13"/>
      <c r="Q1592" s="13"/>
    </row>
    <row r="1593">
      <c r="N1593" s="13"/>
      <c r="O1593" s="13"/>
      <c r="P1593" s="13"/>
      <c r="Q1593" s="13"/>
    </row>
    <row r="1594">
      <c r="N1594" s="13"/>
      <c r="O1594" s="13"/>
      <c r="P1594" s="13"/>
      <c r="Q1594" s="13"/>
    </row>
    <row r="1595">
      <c r="N1595" s="13"/>
      <c r="O1595" s="13"/>
      <c r="P1595" s="13"/>
      <c r="Q1595" s="13"/>
    </row>
    <row r="1596">
      <c r="N1596" s="13"/>
      <c r="O1596" s="13"/>
      <c r="P1596" s="13"/>
      <c r="Q1596" s="13"/>
    </row>
    <row r="1597">
      <c r="N1597" s="13"/>
      <c r="O1597" s="13"/>
      <c r="P1597" s="13"/>
      <c r="Q1597" s="13"/>
    </row>
    <row r="1598">
      <c r="N1598" s="13"/>
      <c r="O1598" s="13"/>
      <c r="P1598" s="13"/>
      <c r="Q1598" s="13"/>
    </row>
    <row r="1599">
      <c r="N1599" s="13"/>
      <c r="O1599" s="13"/>
      <c r="P1599" s="13"/>
      <c r="Q1599" s="13"/>
    </row>
    <row r="1600">
      <c r="N1600" s="13"/>
      <c r="O1600" s="13"/>
      <c r="P1600" s="13"/>
      <c r="Q1600" s="13"/>
    </row>
    <row r="1601">
      <c r="N1601" s="13"/>
      <c r="O1601" s="13"/>
      <c r="P1601" s="13"/>
      <c r="Q1601" s="13"/>
    </row>
    <row r="1602">
      <c r="N1602" s="13"/>
      <c r="O1602" s="13"/>
      <c r="P1602" s="13"/>
      <c r="Q1602" s="13"/>
    </row>
    <row r="1603">
      <c r="N1603" s="13"/>
      <c r="O1603" s="13"/>
      <c r="P1603" s="13"/>
      <c r="Q1603" s="13"/>
    </row>
    <row r="1604">
      <c r="N1604" s="13"/>
      <c r="O1604" s="13"/>
      <c r="P1604" s="13"/>
      <c r="Q1604" s="13"/>
    </row>
    <row r="1605">
      <c r="N1605" s="13"/>
      <c r="O1605" s="13"/>
      <c r="P1605" s="13"/>
      <c r="Q1605" s="13"/>
    </row>
    <row r="1606">
      <c r="N1606" s="13"/>
      <c r="O1606" s="13"/>
      <c r="P1606" s="13"/>
      <c r="Q1606" s="13"/>
    </row>
    <row r="1607">
      <c r="N1607" s="13"/>
      <c r="O1607" s="13"/>
      <c r="P1607" s="13"/>
      <c r="Q1607" s="13"/>
    </row>
    <row r="1608">
      <c r="N1608" s="13"/>
      <c r="O1608" s="13"/>
      <c r="P1608" s="13"/>
      <c r="Q1608" s="13"/>
    </row>
    <row r="1609">
      <c r="N1609" s="13"/>
      <c r="O1609" s="13"/>
      <c r="P1609" s="13"/>
      <c r="Q1609" s="13"/>
    </row>
    <row r="1610">
      <c r="N1610" s="13"/>
      <c r="O1610" s="13"/>
      <c r="P1610" s="13"/>
      <c r="Q1610" s="13"/>
    </row>
    <row r="1611">
      <c r="N1611" s="13"/>
      <c r="O1611" s="13"/>
      <c r="P1611" s="13"/>
      <c r="Q1611" s="13"/>
    </row>
    <row r="1612">
      <c r="N1612" s="13"/>
      <c r="O1612" s="13"/>
      <c r="P1612" s="13"/>
      <c r="Q1612" s="13"/>
    </row>
    <row r="1613">
      <c r="N1613" s="13"/>
      <c r="O1613" s="13"/>
      <c r="P1613" s="13"/>
      <c r="Q1613" s="13"/>
    </row>
    <row r="1614">
      <c r="N1614" s="13"/>
      <c r="O1614" s="13"/>
      <c r="P1614" s="13"/>
      <c r="Q1614" s="13"/>
    </row>
    <row r="1615">
      <c r="N1615" s="13"/>
      <c r="O1615" s="13"/>
      <c r="P1615" s="13"/>
      <c r="Q1615" s="13"/>
    </row>
    <row r="1616">
      <c r="N1616" s="13"/>
      <c r="O1616" s="13"/>
      <c r="P1616" s="13"/>
      <c r="Q1616" s="13"/>
    </row>
    <row r="1617">
      <c r="N1617" s="13"/>
      <c r="O1617" s="13"/>
      <c r="P1617" s="13"/>
      <c r="Q1617" s="13"/>
    </row>
    <row r="1618">
      <c r="N1618" s="13"/>
      <c r="O1618" s="13"/>
      <c r="P1618" s="13"/>
      <c r="Q1618" s="13"/>
    </row>
    <row r="1619">
      <c r="N1619" s="13"/>
      <c r="O1619" s="13"/>
      <c r="P1619" s="13"/>
      <c r="Q1619" s="13"/>
    </row>
    <row r="1620">
      <c r="N1620" s="13"/>
      <c r="O1620" s="13"/>
      <c r="P1620" s="13"/>
      <c r="Q1620" s="13"/>
    </row>
    <row r="1621">
      <c r="N1621" s="13"/>
      <c r="O1621" s="13"/>
      <c r="P1621" s="13"/>
      <c r="Q1621" s="13"/>
    </row>
    <row r="1622">
      <c r="N1622" s="13"/>
      <c r="O1622" s="13"/>
      <c r="P1622" s="13"/>
      <c r="Q1622" s="13"/>
    </row>
    <row r="1623">
      <c r="N1623" s="13"/>
      <c r="O1623" s="13"/>
      <c r="P1623" s="13"/>
      <c r="Q1623" s="13"/>
    </row>
    <row r="1624">
      <c r="N1624" s="13"/>
      <c r="O1624" s="13"/>
      <c r="P1624" s="13"/>
      <c r="Q1624" s="13"/>
    </row>
    <row r="1625">
      <c r="N1625" s="13"/>
      <c r="O1625" s="13"/>
      <c r="P1625" s="13"/>
      <c r="Q1625" s="13"/>
    </row>
    <row r="1626">
      <c r="N1626" s="13"/>
      <c r="O1626" s="13"/>
      <c r="P1626" s="13"/>
      <c r="Q1626" s="13"/>
    </row>
    <row r="1627">
      <c r="N1627" s="13"/>
      <c r="O1627" s="13"/>
      <c r="P1627" s="13"/>
      <c r="Q1627" s="13"/>
    </row>
    <row r="1628">
      <c r="N1628" s="13"/>
      <c r="O1628" s="13"/>
      <c r="P1628" s="13"/>
      <c r="Q1628" s="13"/>
    </row>
    <row r="1629">
      <c r="N1629" s="13"/>
      <c r="O1629" s="13"/>
      <c r="P1629" s="13"/>
      <c r="Q1629" s="13"/>
    </row>
    <row r="1630">
      <c r="N1630" s="13"/>
      <c r="O1630" s="13"/>
      <c r="P1630" s="13"/>
      <c r="Q1630" s="13"/>
    </row>
    <row r="1631">
      <c r="N1631" s="13"/>
      <c r="O1631" s="13"/>
      <c r="P1631" s="13"/>
      <c r="Q1631" s="13"/>
    </row>
    <row r="1632">
      <c r="N1632" s="13"/>
      <c r="O1632" s="13"/>
      <c r="P1632" s="13"/>
      <c r="Q1632" s="13"/>
    </row>
    <row r="1633">
      <c r="N1633" s="13"/>
      <c r="O1633" s="13"/>
      <c r="P1633" s="13"/>
      <c r="Q1633" s="13"/>
    </row>
    <row r="1634">
      <c r="N1634" s="13"/>
      <c r="O1634" s="13"/>
      <c r="P1634" s="13"/>
      <c r="Q1634" s="13"/>
    </row>
    <row r="1635">
      <c r="N1635" s="13"/>
      <c r="O1635" s="13"/>
      <c r="P1635" s="13"/>
      <c r="Q1635" s="13"/>
    </row>
    <row r="1636">
      <c r="N1636" s="13"/>
      <c r="O1636" s="13"/>
      <c r="P1636" s="13"/>
      <c r="Q1636" s="13"/>
    </row>
    <row r="1637">
      <c r="N1637" s="13"/>
      <c r="O1637" s="13"/>
      <c r="P1637" s="13"/>
      <c r="Q1637" s="13"/>
    </row>
    <row r="1638">
      <c r="N1638" s="13"/>
      <c r="O1638" s="13"/>
      <c r="P1638" s="13"/>
      <c r="Q1638" s="13"/>
    </row>
    <row r="1639">
      <c r="N1639" s="13"/>
      <c r="O1639" s="13"/>
      <c r="P1639" s="13"/>
      <c r="Q1639" s="13"/>
    </row>
    <row r="1640">
      <c r="N1640" s="13"/>
      <c r="O1640" s="13"/>
      <c r="P1640" s="13"/>
      <c r="Q1640" s="13"/>
    </row>
    <row r="1641">
      <c r="N1641" s="13"/>
      <c r="O1641" s="13"/>
      <c r="P1641" s="13"/>
      <c r="Q1641" s="13"/>
    </row>
    <row r="1642">
      <c r="N1642" s="13"/>
      <c r="O1642" s="13"/>
      <c r="P1642" s="13"/>
      <c r="Q1642" s="13"/>
    </row>
    <row r="1643">
      <c r="N1643" s="13"/>
      <c r="O1643" s="13"/>
      <c r="P1643" s="13"/>
      <c r="Q1643" s="13"/>
    </row>
    <row r="1644">
      <c r="N1644" s="13"/>
      <c r="O1644" s="13"/>
      <c r="P1644" s="13"/>
      <c r="Q1644" s="13"/>
    </row>
    <row r="1645">
      <c r="N1645" s="13"/>
      <c r="O1645" s="13"/>
      <c r="P1645" s="13"/>
      <c r="Q1645" s="13"/>
    </row>
    <row r="1646">
      <c r="N1646" s="13"/>
      <c r="O1646" s="13"/>
      <c r="P1646" s="13"/>
      <c r="Q1646" s="13"/>
    </row>
    <row r="1647">
      <c r="N1647" s="13"/>
      <c r="O1647" s="13"/>
      <c r="P1647" s="13"/>
      <c r="Q1647" s="13"/>
    </row>
    <row r="1648">
      <c r="N1648" s="13"/>
      <c r="O1648" s="13"/>
      <c r="P1648" s="13"/>
      <c r="Q1648" s="13"/>
    </row>
    <row r="1649">
      <c r="N1649" s="13"/>
      <c r="O1649" s="13"/>
      <c r="P1649" s="13"/>
      <c r="Q1649" s="13"/>
    </row>
    <row r="1650">
      <c r="N1650" s="13"/>
      <c r="O1650" s="13"/>
      <c r="P1650" s="13"/>
      <c r="Q1650" s="13"/>
    </row>
    <row r="1651">
      <c r="N1651" s="13"/>
      <c r="O1651" s="13"/>
      <c r="P1651" s="13"/>
      <c r="Q1651" s="13"/>
    </row>
    <row r="1652">
      <c r="N1652" s="13"/>
      <c r="O1652" s="13"/>
      <c r="P1652" s="13"/>
      <c r="Q1652" s="13"/>
    </row>
    <row r="1653">
      <c r="N1653" s="13"/>
      <c r="O1653" s="13"/>
      <c r="P1653" s="13"/>
      <c r="Q1653" s="13"/>
    </row>
    <row r="1654">
      <c r="N1654" s="13"/>
      <c r="O1654" s="13"/>
      <c r="P1654" s="13"/>
      <c r="Q1654" s="13"/>
    </row>
    <row r="1655">
      <c r="N1655" s="13"/>
      <c r="O1655" s="13"/>
      <c r="P1655" s="13"/>
      <c r="Q1655" s="13"/>
    </row>
    <row r="1656">
      <c r="N1656" s="13"/>
      <c r="O1656" s="13"/>
      <c r="P1656" s="13"/>
      <c r="Q1656" s="13"/>
    </row>
    <row r="1657">
      <c r="N1657" s="13"/>
      <c r="O1657" s="13"/>
      <c r="P1657" s="13"/>
      <c r="Q1657" s="13"/>
    </row>
    <row r="1658">
      <c r="N1658" s="13"/>
      <c r="O1658" s="13"/>
      <c r="P1658" s="13"/>
      <c r="Q1658" s="13"/>
    </row>
    <row r="1659">
      <c r="N1659" s="13"/>
      <c r="O1659" s="13"/>
      <c r="P1659" s="13"/>
      <c r="Q1659" s="13"/>
    </row>
    <row r="1660">
      <c r="N1660" s="13"/>
      <c r="O1660" s="13"/>
      <c r="P1660" s="13"/>
      <c r="Q1660" s="13"/>
    </row>
    <row r="1661">
      <c r="N1661" s="13"/>
      <c r="O1661" s="13"/>
      <c r="P1661" s="13"/>
      <c r="Q1661" s="13"/>
    </row>
    <row r="1662">
      <c r="N1662" s="13"/>
      <c r="O1662" s="13"/>
      <c r="P1662" s="13"/>
      <c r="Q1662" s="13"/>
    </row>
    <row r="1663">
      <c r="N1663" s="13"/>
      <c r="O1663" s="13"/>
      <c r="P1663" s="13"/>
      <c r="Q1663" s="13"/>
    </row>
    <row r="1664">
      <c r="N1664" s="13"/>
      <c r="O1664" s="13"/>
      <c r="P1664" s="13"/>
      <c r="Q1664" s="13"/>
    </row>
    <row r="1665">
      <c r="N1665" s="13"/>
      <c r="O1665" s="13"/>
      <c r="P1665" s="13"/>
      <c r="Q1665" s="13"/>
    </row>
    <row r="1666">
      <c r="N1666" s="13"/>
      <c r="O1666" s="13"/>
      <c r="P1666" s="13"/>
      <c r="Q1666" s="13"/>
    </row>
    <row r="1667">
      <c r="N1667" s="13"/>
      <c r="O1667" s="13"/>
      <c r="P1667" s="13"/>
      <c r="Q1667" s="13"/>
    </row>
    <row r="1668">
      <c r="N1668" s="13"/>
      <c r="O1668" s="13"/>
      <c r="P1668" s="13"/>
      <c r="Q1668" s="13"/>
    </row>
    <row r="1669">
      <c r="N1669" s="13"/>
      <c r="O1669" s="13"/>
      <c r="P1669" s="13"/>
      <c r="Q1669" s="13"/>
    </row>
    <row r="1670">
      <c r="N1670" s="13"/>
      <c r="O1670" s="13"/>
      <c r="P1670" s="13"/>
      <c r="Q1670" s="13"/>
    </row>
    <row r="1671">
      <c r="N1671" s="13"/>
      <c r="O1671" s="13"/>
      <c r="P1671" s="13"/>
      <c r="Q1671" s="13"/>
    </row>
    <row r="1672">
      <c r="N1672" s="13"/>
      <c r="O1672" s="13"/>
      <c r="P1672" s="13"/>
      <c r="Q1672" s="13"/>
    </row>
    <row r="1673">
      <c r="N1673" s="13"/>
      <c r="O1673" s="13"/>
      <c r="P1673" s="13"/>
      <c r="Q1673" s="13"/>
    </row>
    <row r="1674">
      <c r="N1674" s="13"/>
      <c r="O1674" s="13"/>
      <c r="P1674" s="13"/>
      <c r="Q1674" s="13"/>
    </row>
    <row r="1675">
      <c r="N1675" s="13"/>
      <c r="O1675" s="13"/>
      <c r="P1675" s="13"/>
      <c r="Q1675" s="13"/>
    </row>
    <row r="1676">
      <c r="N1676" s="13"/>
      <c r="O1676" s="13"/>
      <c r="P1676" s="13"/>
      <c r="Q1676" s="13"/>
    </row>
    <row r="1677">
      <c r="N1677" s="13"/>
      <c r="O1677" s="13"/>
      <c r="P1677" s="13"/>
      <c r="Q1677" s="13"/>
    </row>
    <row r="1678">
      <c r="N1678" s="13"/>
      <c r="O1678" s="13"/>
      <c r="P1678" s="13"/>
      <c r="Q1678" s="13"/>
    </row>
    <row r="1679">
      <c r="N1679" s="13"/>
      <c r="O1679" s="13"/>
      <c r="P1679" s="13"/>
      <c r="Q1679" s="13"/>
    </row>
    <row r="1680">
      <c r="N1680" s="13"/>
      <c r="O1680" s="13"/>
      <c r="P1680" s="13"/>
      <c r="Q1680" s="13"/>
    </row>
    <row r="1681">
      <c r="N1681" s="13"/>
      <c r="O1681" s="13"/>
      <c r="P1681" s="13"/>
      <c r="Q1681" s="13"/>
    </row>
    <row r="1682">
      <c r="N1682" s="13"/>
      <c r="O1682" s="13"/>
      <c r="P1682" s="13"/>
      <c r="Q1682" s="13"/>
    </row>
    <row r="1683">
      <c r="N1683" s="13"/>
      <c r="O1683" s="13"/>
      <c r="P1683" s="13"/>
      <c r="Q1683" s="13"/>
    </row>
    <row r="1684">
      <c r="N1684" s="13"/>
      <c r="O1684" s="13"/>
      <c r="P1684" s="13"/>
      <c r="Q1684" s="13"/>
    </row>
    <row r="1685">
      <c r="N1685" s="13"/>
      <c r="O1685" s="13"/>
      <c r="P1685" s="13"/>
      <c r="Q1685" s="13"/>
    </row>
    <row r="1686">
      <c r="N1686" s="13"/>
      <c r="O1686" s="13"/>
      <c r="P1686" s="13"/>
      <c r="Q1686" s="13"/>
    </row>
    <row r="1687">
      <c r="N1687" s="13"/>
      <c r="O1687" s="13"/>
      <c r="P1687" s="13"/>
      <c r="Q1687" s="13"/>
    </row>
    <row r="1688">
      <c r="N1688" s="13"/>
      <c r="O1688" s="13"/>
      <c r="P1688" s="13"/>
      <c r="Q1688" s="13"/>
    </row>
    <row r="1689">
      <c r="N1689" s="13"/>
      <c r="O1689" s="13"/>
      <c r="P1689" s="13"/>
      <c r="Q1689" s="13"/>
    </row>
    <row r="1690">
      <c r="N1690" s="13"/>
      <c r="O1690" s="13"/>
      <c r="P1690" s="13"/>
      <c r="Q1690" s="13"/>
    </row>
    <row r="1691">
      <c r="N1691" s="13"/>
      <c r="O1691" s="13"/>
      <c r="P1691" s="13"/>
      <c r="Q1691" s="13"/>
    </row>
    <row r="1692">
      <c r="N1692" s="13"/>
      <c r="O1692" s="13"/>
      <c r="P1692" s="13"/>
      <c r="Q1692" s="13"/>
    </row>
    <row r="1693">
      <c r="N1693" s="13"/>
      <c r="O1693" s="13"/>
      <c r="P1693" s="13"/>
      <c r="Q1693" s="13"/>
    </row>
    <row r="1694">
      <c r="N1694" s="13"/>
      <c r="O1694" s="13"/>
      <c r="P1694" s="13"/>
      <c r="Q1694" s="13"/>
    </row>
    <row r="1695">
      <c r="N1695" s="13"/>
      <c r="O1695" s="13"/>
      <c r="P1695" s="13"/>
      <c r="Q1695" s="13"/>
    </row>
    <row r="1696">
      <c r="N1696" s="13"/>
      <c r="O1696" s="13"/>
      <c r="P1696" s="13"/>
      <c r="Q1696" s="13"/>
    </row>
    <row r="1697">
      <c r="N1697" s="13"/>
      <c r="O1697" s="13"/>
      <c r="P1697" s="13"/>
      <c r="Q1697" s="13"/>
    </row>
    <row r="1698">
      <c r="N1698" s="13"/>
      <c r="O1698" s="13"/>
      <c r="P1698" s="13"/>
      <c r="Q1698" s="13"/>
    </row>
    <row r="1699">
      <c r="N1699" s="13"/>
      <c r="O1699" s="13"/>
      <c r="P1699" s="13"/>
      <c r="Q1699" s="13"/>
    </row>
    <row r="1700">
      <c r="N1700" s="13"/>
      <c r="O1700" s="13"/>
      <c r="P1700" s="13"/>
      <c r="Q1700" s="13"/>
    </row>
    <row r="1701">
      <c r="N1701" s="13"/>
      <c r="O1701" s="13"/>
      <c r="P1701" s="13"/>
      <c r="Q1701" s="13"/>
    </row>
    <row r="1702">
      <c r="N1702" s="13"/>
      <c r="O1702" s="13"/>
      <c r="P1702" s="13"/>
      <c r="Q1702" s="13"/>
    </row>
    <row r="1703">
      <c r="N1703" s="13"/>
      <c r="O1703" s="13"/>
      <c r="P1703" s="13"/>
      <c r="Q1703" s="13"/>
    </row>
    <row r="1704">
      <c r="N1704" s="13"/>
      <c r="O1704" s="13"/>
      <c r="P1704" s="13"/>
      <c r="Q1704" s="13"/>
    </row>
    <row r="1705">
      <c r="N1705" s="13"/>
      <c r="O1705" s="13"/>
      <c r="P1705" s="13"/>
      <c r="Q1705" s="13"/>
    </row>
    <row r="1706">
      <c r="N1706" s="13"/>
      <c r="O1706" s="13"/>
      <c r="P1706" s="13"/>
      <c r="Q1706" s="13"/>
    </row>
    <row r="1707">
      <c r="N1707" s="13"/>
      <c r="O1707" s="13"/>
      <c r="P1707" s="13"/>
      <c r="Q1707" s="13"/>
    </row>
    <row r="1708">
      <c r="N1708" s="13"/>
      <c r="O1708" s="13"/>
      <c r="P1708" s="13"/>
      <c r="Q1708" s="13"/>
    </row>
    <row r="1709">
      <c r="N1709" s="13"/>
      <c r="O1709" s="13"/>
      <c r="P1709" s="13"/>
      <c r="Q1709" s="13"/>
    </row>
    <row r="1710">
      <c r="N1710" s="13"/>
      <c r="O1710" s="13"/>
      <c r="P1710" s="13"/>
      <c r="Q1710" s="13"/>
    </row>
    <row r="1711">
      <c r="N1711" s="13"/>
      <c r="O1711" s="13"/>
      <c r="P1711" s="13"/>
      <c r="Q1711" s="13"/>
    </row>
    <row r="1712">
      <c r="N1712" s="13"/>
      <c r="O1712" s="13"/>
      <c r="P1712" s="13"/>
      <c r="Q1712" s="13"/>
    </row>
    <row r="1713">
      <c r="N1713" s="13"/>
      <c r="O1713" s="13"/>
      <c r="P1713" s="13"/>
      <c r="Q1713" s="13"/>
    </row>
    <row r="1714">
      <c r="N1714" s="13"/>
      <c r="O1714" s="13"/>
      <c r="P1714" s="13"/>
      <c r="Q1714" s="13"/>
    </row>
    <row r="1715">
      <c r="N1715" s="13"/>
      <c r="O1715" s="13"/>
      <c r="P1715" s="13"/>
      <c r="Q1715" s="13"/>
    </row>
    <row r="1716">
      <c r="N1716" s="13"/>
      <c r="O1716" s="13"/>
      <c r="P1716" s="13"/>
      <c r="Q1716" s="13"/>
    </row>
    <row r="1717">
      <c r="N1717" s="13"/>
      <c r="O1717" s="13"/>
      <c r="P1717" s="13"/>
      <c r="Q1717" s="13"/>
    </row>
    <row r="1718">
      <c r="N1718" s="13"/>
      <c r="O1718" s="13"/>
      <c r="P1718" s="13"/>
      <c r="Q1718" s="13"/>
    </row>
    <row r="1719">
      <c r="N1719" s="13"/>
      <c r="O1719" s="13"/>
      <c r="P1719" s="13"/>
      <c r="Q1719" s="13"/>
    </row>
    <row r="1720">
      <c r="N1720" s="13"/>
      <c r="O1720" s="13"/>
      <c r="P1720" s="13"/>
      <c r="Q1720" s="13"/>
    </row>
    <row r="1721">
      <c r="N1721" s="13"/>
      <c r="O1721" s="13"/>
      <c r="P1721" s="13"/>
      <c r="Q1721" s="13"/>
    </row>
    <row r="1722">
      <c r="N1722" s="13"/>
      <c r="O1722" s="13"/>
      <c r="P1722" s="13"/>
      <c r="Q1722" s="13"/>
    </row>
    <row r="1723">
      <c r="N1723" s="13"/>
      <c r="O1723" s="13"/>
      <c r="P1723" s="13"/>
      <c r="Q1723" s="13"/>
    </row>
    <row r="1724">
      <c r="N1724" s="13"/>
      <c r="O1724" s="13"/>
      <c r="P1724" s="13"/>
      <c r="Q1724" s="13"/>
    </row>
    <row r="1725">
      <c r="N1725" s="13"/>
      <c r="O1725" s="13"/>
      <c r="P1725" s="13"/>
      <c r="Q1725" s="13"/>
    </row>
    <row r="1726">
      <c r="N1726" s="13"/>
      <c r="O1726" s="13"/>
      <c r="P1726" s="13"/>
      <c r="Q1726" s="13"/>
    </row>
    <row r="1727">
      <c r="N1727" s="13"/>
      <c r="O1727" s="13"/>
      <c r="P1727" s="13"/>
      <c r="Q1727" s="13"/>
    </row>
    <row r="1728">
      <c r="N1728" s="13"/>
      <c r="O1728" s="13"/>
      <c r="P1728" s="13"/>
      <c r="Q1728" s="13"/>
    </row>
    <row r="1729">
      <c r="N1729" s="13"/>
      <c r="O1729" s="13"/>
      <c r="P1729" s="13"/>
      <c r="Q1729" s="13"/>
    </row>
    <row r="1730">
      <c r="N1730" s="13"/>
      <c r="O1730" s="13"/>
      <c r="P1730" s="13"/>
      <c r="Q1730" s="13"/>
    </row>
    <row r="1731">
      <c r="N1731" s="13"/>
      <c r="O1731" s="13"/>
      <c r="P1731" s="13"/>
      <c r="Q1731" s="13"/>
    </row>
    <row r="1732">
      <c r="N1732" s="13"/>
      <c r="O1732" s="13"/>
      <c r="P1732" s="13"/>
      <c r="Q1732" s="13"/>
    </row>
    <row r="1733">
      <c r="N1733" s="13"/>
      <c r="O1733" s="13"/>
      <c r="P1733" s="13"/>
      <c r="Q1733" s="13"/>
    </row>
    <row r="1734">
      <c r="N1734" s="13"/>
      <c r="O1734" s="13"/>
      <c r="P1734" s="13"/>
      <c r="Q1734" s="13"/>
    </row>
    <row r="1735">
      <c r="N1735" s="13"/>
      <c r="O1735" s="13"/>
      <c r="P1735" s="13"/>
      <c r="Q1735" s="13"/>
    </row>
    <row r="1736">
      <c r="N1736" s="13"/>
      <c r="O1736" s="13"/>
      <c r="P1736" s="13"/>
      <c r="Q1736" s="13"/>
    </row>
    <row r="1737">
      <c r="N1737" s="13"/>
      <c r="O1737" s="13"/>
      <c r="P1737" s="13"/>
      <c r="Q1737" s="13"/>
    </row>
    <row r="1738">
      <c r="N1738" s="13"/>
      <c r="O1738" s="13"/>
      <c r="P1738" s="13"/>
      <c r="Q1738" s="13"/>
    </row>
    <row r="1739">
      <c r="N1739" s="13"/>
      <c r="O1739" s="13"/>
      <c r="P1739" s="13"/>
      <c r="Q1739" s="13"/>
    </row>
    <row r="1740">
      <c r="N1740" s="13"/>
      <c r="O1740" s="13"/>
      <c r="P1740" s="13"/>
      <c r="Q1740" s="13"/>
    </row>
    <row r="1741">
      <c r="N1741" s="13"/>
      <c r="O1741" s="13"/>
      <c r="P1741" s="13"/>
      <c r="Q1741" s="13"/>
    </row>
    <row r="1742">
      <c r="N1742" s="13"/>
      <c r="O1742" s="13"/>
      <c r="P1742" s="13"/>
      <c r="Q1742" s="13"/>
    </row>
    <row r="1743">
      <c r="N1743" s="13"/>
      <c r="O1743" s="13"/>
      <c r="P1743" s="13"/>
      <c r="Q1743" s="13"/>
    </row>
    <row r="1744">
      <c r="N1744" s="13"/>
      <c r="O1744" s="13"/>
      <c r="P1744" s="13"/>
      <c r="Q1744" s="13"/>
    </row>
    <row r="1745">
      <c r="N1745" s="13"/>
      <c r="O1745" s="13"/>
      <c r="P1745" s="13"/>
      <c r="Q1745" s="13"/>
    </row>
    <row r="1746">
      <c r="N1746" s="13"/>
      <c r="O1746" s="13"/>
      <c r="P1746" s="13"/>
      <c r="Q1746" s="13"/>
    </row>
    <row r="1747">
      <c r="N1747" s="13"/>
      <c r="O1747" s="13"/>
      <c r="P1747" s="13"/>
      <c r="Q1747" s="13"/>
    </row>
    <row r="1748">
      <c r="N1748" s="13"/>
      <c r="O1748" s="13"/>
      <c r="P1748" s="13"/>
      <c r="Q1748" s="13"/>
    </row>
    <row r="1749">
      <c r="N1749" s="13"/>
      <c r="O1749" s="13"/>
      <c r="P1749" s="13"/>
      <c r="Q1749" s="13"/>
    </row>
    <row r="1750">
      <c r="N1750" s="13"/>
      <c r="O1750" s="13"/>
      <c r="P1750" s="13"/>
      <c r="Q1750" s="13"/>
    </row>
    <row r="1751">
      <c r="N1751" s="13"/>
      <c r="O1751" s="13"/>
      <c r="P1751" s="13"/>
      <c r="Q1751" s="13"/>
    </row>
    <row r="1752">
      <c r="N1752" s="13"/>
      <c r="O1752" s="13"/>
      <c r="P1752" s="13"/>
      <c r="Q1752" s="13"/>
    </row>
    <row r="1753">
      <c r="N1753" s="13"/>
      <c r="O1753" s="13"/>
      <c r="P1753" s="13"/>
      <c r="Q1753" s="13"/>
    </row>
    <row r="1754">
      <c r="N1754" s="13"/>
      <c r="O1754" s="13"/>
      <c r="P1754" s="13"/>
      <c r="Q1754" s="13"/>
    </row>
    <row r="1755">
      <c r="N1755" s="13"/>
      <c r="O1755" s="13"/>
      <c r="P1755" s="13"/>
      <c r="Q1755" s="13"/>
    </row>
    <row r="1756">
      <c r="N1756" s="13"/>
      <c r="O1756" s="13"/>
      <c r="P1756" s="13"/>
      <c r="Q1756" s="13"/>
    </row>
    <row r="1757">
      <c r="N1757" s="13"/>
      <c r="O1757" s="13"/>
      <c r="P1757" s="13"/>
      <c r="Q1757" s="13"/>
    </row>
    <row r="1758">
      <c r="N1758" s="13"/>
      <c r="O1758" s="13"/>
      <c r="P1758" s="13"/>
      <c r="Q1758" s="13"/>
    </row>
    <row r="1759">
      <c r="N1759" s="13"/>
      <c r="O1759" s="13"/>
      <c r="P1759" s="13"/>
      <c r="Q1759" s="13"/>
    </row>
    <row r="1760">
      <c r="N1760" s="13"/>
      <c r="O1760" s="13"/>
      <c r="P1760" s="13"/>
      <c r="Q1760" s="13"/>
    </row>
    <row r="1761">
      <c r="N1761" s="13"/>
      <c r="O1761" s="13"/>
      <c r="P1761" s="13"/>
      <c r="Q1761" s="13"/>
    </row>
    <row r="1762">
      <c r="N1762" s="13"/>
      <c r="O1762" s="13"/>
      <c r="P1762" s="13"/>
      <c r="Q1762" s="13"/>
    </row>
    <row r="1763">
      <c r="N1763" s="13"/>
      <c r="O1763" s="13"/>
      <c r="P1763" s="13"/>
      <c r="Q1763" s="13"/>
    </row>
    <row r="1764">
      <c r="N1764" s="13"/>
      <c r="O1764" s="13"/>
      <c r="P1764" s="13"/>
      <c r="Q1764" s="13"/>
    </row>
    <row r="1765">
      <c r="N1765" s="13"/>
      <c r="O1765" s="13"/>
      <c r="P1765" s="13"/>
      <c r="Q1765" s="13"/>
    </row>
    <row r="1766">
      <c r="N1766" s="13"/>
      <c r="O1766" s="13"/>
      <c r="P1766" s="13"/>
      <c r="Q1766" s="13"/>
    </row>
    <row r="1767">
      <c r="N1767" s="13"/>
      <c r="O1767" s="13"/>
      <c r="P1767" s="13"/>
      <c r="Q1767" s="13"/>
    </row>
    <row r="1768">
      <c r="N1768" s="13"/>
      <c r="O1768" s="13"/>
      <c r="P1768" s="13"/>
      <c r="Q1768" s="13"/>
    </row>
    <row r="1769">
      <c r="N1769" s="13"/>
      <c r="O1769" s="13"/>
      <c r="P1769" s="13"/>
      <c r="Q1769" s="13"/>
    </row>
    <row r="1770">
      <c r="N1770" s="13"/>
      <c r="O1770" s="13"/>
      <c r="P1770" s="13"/>
      <c r="Q1770" s="13"/>
    </row>
    <row r="1771">
      <c r="N1771" s="13"/>
      <c r="O1771" s="13"/>
      <c r="P1771" s="13"/>
      <c r="Q1771" s="13"/>
    </row>
    <row r="1772">
      <c r="N1772" s="13"/>
      <c r="O1772" s="13"/>
      <c r="P1772" s="13"/>
      <c r="Q1772" s="13"/>
    </row>
    <row r="1773">
      <c r="N1773" s="13"/>
      <c r="O1773" s="13"/>
      <c r="P1773" s="13"/>
      <c r="Q1773" s="13"/>
    </row>
    <row r="1774">
      <c r="N1774" s="13"/>
      <c r="O1774" s="13"/>
      <c r="P1774" s="13"/>
      <c r="Q1774" s="13"/>
    </row>
    <row r="1775">
      <c r="N1775" s="13"/>
      <c r="O1775" s="13"/>
      <c r="P1775" s="13"/>
      <c r="Q1775" s="13"/>
    </row>
    <row r="1776">
      <c r="N1776" s="13"/>
      <c r="O1776" s="13"/>
      <c r="P1776" s="13"/>
      <c r="Q1776" s="13"/>
    </row>
    <row r="1777">
      <c r="N1777" s="13"/>
      <c r="O1777" s="13"/>
      <c r="P1777" s="13"/>
      <c r="Q1777" s="13"/>
    </row>
    <row r="1778">
      <c r="N1778" s="13"/>
      <c r="O1778" s="13"/>
      <c r="P1778" s="13"/>
      <c r="Q1778" s="13"/>
    </row>
    <row r="1779">
      <c r="N1779" s="13"/>
      <c r="O1779" s="13"/>
      <c r="P1779" s="13"/>
      <c r="Q1779" s="13"/>
    </row>
    <row r="1780">
      <c r="N1780" s="13"/>
      <c r="O1780" s="13"/>
      <c r="P1780" s="13"/>
      <c r="Q1780" s="13"/>
    </row>
    <row r="1781">
      <c r="N1781" s="13"/>
      <c r="O1781" s="13"/>
      <c r="P1781" s="13"/>
      <c r="Q1781" s="13"/>
    </row>
    <row r="1782">
      <c r="N1782" s="13"/>
      <c r="O1782" s="13"/>
      <c r="P1782" s="13"/>
      <c r="Q1782" s="13"/>
    </row>
    <row r="1783">
      <c r="N1783" s="13"/>
      <c r="O1783" s="13"/>
      <c r="P1783" s="13"/>
      <c r="Q1783" s="13"/>
    </row>
    <row r="1784">
      <c r="N1784" s="13"/>
      <c r="O1784" s="13"/>
      <c r="P1784" s="13"/>
      <c r="Q1784" s="13"/>
    </row>
    <row r="1785">
      <c r="N1785" s="13"/>
      <c r="O1785" s="13"/>
      <c r="P1785" s="13"/>
      <c r="Q1785" s="13"/>
    </row>
    <row r="1786">
      <c r="N1786" s="13"/>
      <c r="O1786" s="13"/>
      <c r="P1786" s="13"/>
      <c r="Q1786" s="13"/>
    </row>
    <row r="1787">
      <c r="N1787" s="13"/>
      <c r="O1787" s="13"/>
      <c r="P1787" s="13"/>
      <c r="Q1787" s="13"/>
    </row>
    <row r="1788">
      <c r="N1788" s="13"/>
      <c r="O1788" s="13"/>
      <c r="P1788" s="13"/>
      <c r="Q1788" s="13"/>
    </row>
    <row r="1789">
      <c r="N1789" s="13"/>
      <c r="O1789" s="13"/>
      <c r="P1789" s="13"/>
      <c r="Q1789" s="13"/>
    </row>
    <row r="1790">
      <c r="N1790" s="13"/>
      <c r="O1790" s="13"/>
      <c r="P1790" s="13"/>
      <c r="Q1790" s="13"/>
    </row>
    <row r="1791">
      <c r="N1791" s="13"/>
      <c r="O1791" s="13"/>
      <c r="P1791" s="13"/>
      <c r="Q1791" s="13"/>
    </row>
    <row r="1792">
      <c r="N1792" s="13"/>
      <c r="O1792" s="13"/>
      <c r="P1792" s="13"/>
      <c r="Q1792" s="13"/>
    </row>
    <row r="1793">
      <c r="N1793" s="13"/>
      <c r="O1793" s="13"/>
      <c r="P1793" s="13"/>
      <c r="Q1793" s="13"/>
    </row>
    <row r="1794">
      <c r="N1794" s="13"/>
      <c r="O1794" s="13"/>
      <c r="P1794" s="13"/>
      <c r="Q1794" s="13"/>
    </row>
    <row r="1795">
      <c r="N1795" s="13"/>
      <c r="O1795" s="13"/>
      <c r="P1795" s="13"/>
      <c r="Q1795" s="13"/>
    </row>
    <row r="1796">
      <c r="N1796" s="13"/>
      <c r="O1796" s="13"/>
      <c r="P1796" s="13"/>
      <c r="Q1796" s="13"/>
    </row>
    <row r="1797">
      <c r="N1797" s="13"/>
      <c r="O1797" s="13"/>
      <c r="P1797" s="13"/>
      <c r="Q1797" s="13"/>
    </row>
    <row r="1798">
      <c r="N1798" s="13"/>
      <c r="O1798" s="13"/>
      <c r="P1798" s="13"/>
      <c r="Q1798" s="13"/>
    </row>
    <row r="1799">
      <c r="N1799" s="13"/>
      <c r="O1799" s="13"/>
      <c r="P1799" s="13"/>
      <c r="Q1799" s="13"/>
    </row>
    <row r="1800">
      <c r="N1800" s="13"/>
      <c r="O1800" s="13"/>
      <c r="P1800" s="13"/>
      <c r="Q1800" s="13"/>
    </row>
    <row r="1801">
      <c r="N1801" s="13"/>
      <c r="O1801" s="13"/>
      <c r="P1801" s="13"/>
      <c r="Q1801" s="13"/>
    </row>
    <row r="1802">
      <c r="N1802" s="13"/>
      <c r="O1802" s="13"/>
      <c r="P1802" s="13"/>
      <c r="Q1802" s="13"/>
    </row>
    <row r="1803">
      <c r="N1803" s="13"/>
      <c r="O1803" s="13"/>
      <c r="P1803" s="13"/>
      <c r="Q1803" s="13"/>
    </row>
    <row r="1804">
      <c r="N1804" s="13"/>
      <c r="O1804" s="13"/>
      <c r="P1804" s="13"/>
      <c r="Q1804" s="13"/>
    </row>
    <row r="1805">
      <c r="N1805" s="13"/>
      <c r="O1805" s="13"/>
      <c r="P1805" s="13"/>
      <c r="Q1805" s="13"/>
    </row>
    <row r="1806">
      <c r="N1806" s="13"/>
      <c r="O1806" s="13"/>
      <c r="P1806" s="13"/>
      <c r="Q1806" s="13"/>
    </row>
    <row r="1807">
      <c r="N1807" s="13"/>
      <c r="O1807" s="13"/>
      <c r="P1807" s="13"/>
      <c r="Q1807" s="13"/>
    </row>
    <row r="1808">
      <c r="N1808" s="13"/>
      <c r="O1808" s="13"/>
      <c r="P1808" s="13"/>
      <c r="Q1808" s="13"/>
    </row>
    <row r="1809">
      <c r="N1809" s="13"/>
      <c r="O1809" s="13"/>
      <c r="P1809" s="13"/>
      <c r="Q1809" s="13"/>
    </row>
    <row r="1810">
      <c r="N1810" s="13"/>
      <c r="O1810" s="13"/>
      <c r="P1810" s="13"/>
      <c r="Q1810" s="13"/>
    </row>
    <row r="1811">
      <c r="N1811" s="13"/>
      <c r="O1811" s="13"/>
      <c r="P1811" s="13"/>
      <c r="Q1811" s="13"/>
    </row>
    <row r="1812">
      <c r="N1812" s="13"/>
      <c r="O1812" s="13"/>
      <c r="P1812" s="13"/>
      <c r="Q1812" s="13"/>
    </row>
    <row r="1813">
      <c r="N1813" s="13"/>
      <c r="O1813" s="13"/>
      <c r="P1813" s="13"/>
      <c r="Q1813" s="13"/>
    </row>
    <row r="1814">
      <c r="N1814" s="13"/>
      <c r="O1814" s="13"/>
      <c r="P1814" s="13"/>
      <c r="Q1814" s="13"/>
    </row>
    <row r="1815">
      <c r="N1815" s="13"/>
      <c r="O1815" s="13"/>
      <c r="P1815" s="13"/>
      <c r="Q1815" s="13"/>
    </row>
    <row r="1816">
      <c r="N1816" s="13"/>
      <c r="O1816" s="13"/>
      <c r="P1816" s="13"/>
      <c r="Q1816" s="13"/>
    </row>
    <row r="1817">
      <c r="N1817" s="13"/>
      <c r="O1817" s="13"/>
      <c r="P1817" s="13"/>
      <c r="Q1817" s="13"/>
    </row>
    <row r="1818">
      <c r="N1818" s="13"/>
      <c r="O1818" s="13"/>
      <c r="P1818" s="13"/>
      <c r="Q1818" s="13"/>
    </row>
    <row r="1819">
      <c r="N1819" s="13"/>
      <c r="O1819" s="13"/>
      <c r="P1819" s="13"/>
      <c r="Q1819" s="13"/>
    </row>
    <row r="1820">
      <c r="N1820" s="13"/>
      <c r="O1820" s="13"/>
      <c r="P1820" s="13"/>
      <c r="Q1820" s="13"/>
    </row>
    <row r="1821">
      <c r="N1821" s="13"/>
      <c r="O1821" s="13"/>
      <c r="P1821" s="13"/>
      <c r="Q1821" s="13"/>
    </row>
    <row r="1822">
      <c r="N1822" s="13"/>
      <c r="O1822" s="13"/>
      <c r="P1822" s="13"/>
      <c r="Q1822" s="13"/>
    </row>
    <row r="1823">
      <c r="N1823" s="13"/>
      <c r="O1823" s="13"/>
      <c r="P1823" s="13"/>
      <c r="Q1823" s="13"/>
    </row>
    <row r="1824">
      <c r="N1824" s="13"/>
      <c r="O1824" s="13"/>
      <c r="P1824" s="13"/>
      <c r="Q1824" s="13"/>
    </row>
    <row r="1825">
      <c r="N1825" s="13"/>
      <c r="O1825" s="13"/>
      <c r="P1825" s="13"/>
      <c r="Q1825" s="13"/>
    </row>
    <row r="1826">
      <c r="N1826" s="13"/>
      <c r="O1826" s="13"/>
      <c r="P1826" s="13"/>
      <c r="Q1826" s="13"/>
    </row>
    <row r="1827">
      <c r="N1827" s="13"/>
      <c r="O1827" s="13"/>
      <c r="P1827" s="13"/>
      <c r="Q1827" s="13"/>
    </row>
    <row r="1828">
      <c r="N1828" s="13"/>
      <c r="O1828" s="13"/>
      <c r="P1828" s="13"/>
      <c r="Q1828" s="13"/>
    </row>
    <row r="1829">
      <c r="N1829" s="13"/>
      <c r="O1829" s="13"/>
      <c r="P1829" s="13"/>
      <c r="Q1829" s="13"/>
    </row>
    <row r="1830">
      <c r="N1830" s="13"/>
      <c r="O1830" s="13"/>
      <c r="P1830" s="13"/>
      <c r="Q1830" s="13"/>
    </row>
    <row r="1831">
      <c r="N1831" s="13"/>
      <c r="O1831" s="13"/>
      <c r="P1831" s="13"/>
      <c r="Q1831" s="13"/>
    </row>
    <row r="1832">
      <c r="N1832" s="13"/>
      <c r="O1832" s="13"/>
      <c r="P1832" s="13"/>
      <c r="Q1832" s="13"/>
    </row>
    <row r="1833">
      <c r="N1833" s="13"/>
      <c r="O1833" s="13"/>
      <c r="P1833" s="13"/>
      <c r="Q1833" s="13"/>
    </row>
    <row r="1834">
      <c r="N1834" s="13"/>
      <c r="O1834" s="13"/>
      <c r="P1834" s="13"/>
      <c r="Q1834" s="13"/>
    </row>
    <row r="1835">
      <c r="N1835" s="13"/>
      <c r="O1835" s="13"/>
      <c r="P1835" s="13"/>
      <c r="Q1835" s="13"/>
    </row>
    <row r="1836">
      <c r="N1836" s="13"/>
      <c r="O1836" s="13"/>
      <c r="P1836" s="13"/>
      <c r="Q1836" s="13"/>
    </row>
    <row r="1837">
      <c r="N1837" s="13"/>
      <c r="O1837" s="13"/>
      <c r="P1837" s="13"/>
      <c r="Q1837" s="13"/>
    </row>
    <row r="1838">
      <c r="N1838" s="13"/>
      <c r="O1838" s="13"/>
      <c r="P1838" s="13"/>
      <c r="Q1838" s="13"/>
    </row>
    <row r="1839">
      <c r="N1839" s="13"/>
      <c r="O1839" s="13"/>
      <c r="P1839" s="13"/>
      <c r="Q1839" s="13"/>
    </row>
    <row r="1840">
      <c r="N1840" s="13"/>
      <c r="O1840" s="13"/>
      <c r="P1840" s="13"/>
      <c r="Q1840" s="13"/>
    </row>
    <row r="1841">
      <c r="N1841" s="13"/>
      <c r="O1841" s="13"/>
      <c r="P1841" s="13"/>
      <c r="Q1841" s="13"/>
    </row>
    <row r="1842">
      <c r="N1842" s="13"/>
      <c r="O1842" s="13"/>
      <c r="P1842" s="13"/>
      <c r="Q1842" s="13"/>
    </row>
    <row r="1843">
      <c r="N1843" s="13"/>
      <c r="O1843" s="13"/>
      <c r="P1843" s="13"/>
      <c r="Q1843" s="13"/>
    </row>
    <row r="1844">
      <c r="N1844" s="13"/>
      <c r="O1844" s="13"/>
      <c r="P1844" s="13"/>
      <c r="Q1844" s="13"/>
    </row>
  </sheetData>
  <mergeCells count="3">
    <mergeCell ref="A1:J1"/>
    <mergeCell ref="N3:Q3"/>
    <mergeCell ref="B11:G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3" max="3" width="12.63"/>
    <col customWidth="1" min="4" max="4" width="18.25"/>
  </cols>
  <sheetData>
    <row r="1" ht="30.75" customHeight="1">
      <c r="A1" s="9" t="s">
        <v>109</v>
      </c>
      <c r="M1" s="13"/>
    </row>
    <row r="2">
      <c r="M2" s="13"/>
    </row>
    <row r="3">
      <c r="A3" s="52" t="s">
        <v>110</v>
      </c>
      <c r="B3" s="35"/>
      <c r="C3" s="35"/>
      <c r="D3" s="35"/>
      <c r="E3" s="35"/>
      <c r="F3" s="35"/>
      <c r="G3" s="35"/>
      <c r="H3" s="35"/>
      <c r="I3" s="35"/>
      <c r="K3" s="65"/>
      <c r="L3" s="66"/>
      <c r="M3" s="67"/>
      <c r="N3" s="66"/>
      <c r="O3" s="68"/>
    </row>
    <row r="4">
      <c r="L4" s="69"/>
      <c r="M4" s="70"/>
      <c r="N4" s="69"/>
      <c r="O4" s="71"/>
    </row>
    <row r="5">
      <c r="B5" s="42" t="s">
        <v>111</v>
      </c>
      <c r="L5" s="69"/>
      <c r="M5" s="70"/>
      <c r="N5" s="69"/>
      <c r="O5" s="71"/>
    </row>
    <row r="6">
      <c r="B6" s="42" t="s">
        <v>112</v>
      </c>
      <c r="L6" s="69"/>
      <c r="M6" s="70"/>
      <c r="N6" s="69"/>
      <c r="O6" s="71"/>
    </row>
    <row r="7">
      <c r="B7" s="42" t="s">
        <v>113</v>
      </c>
      <c r="L7" s="69"/>
      <c r="M7" s="70"/>
      <c r="N7" s="69"/>
      <c r="O7" s="71"/>
    </row>
    <row r="8">
      <c r="B8" s="42" t="s">
        <v>114</v>
      </c>
      <c r="L8" s="69"/>
      <c r="M8" s="70"/>
      <c r="N8" s="69"/>
      <c r="O8" s="71"/>
    </row>
    <row r="9">
      <c r="B9" s="42" t="s">
        <v>115</v>
      </c>
      <c r="L9" s="69"/>
      <c r="M9" s="70"/>
      <c r="N9" s="69"/>
      <c r="O9" s="71"/>
    </row>
    <row r="10">
      <c r="C10" s="53" t="s">
        <v>116</v>
      </c>
      <c r="E10" s="72">
        <f>countif(DATASET!C2:C1856,"&gt;24")</f>
        <v>1150</v>
      </c>
      <c r="L10" s="69"/>
      <c r="M10" s="70"/>
      <c r="N10" s="69"/>
      <c r="O10" s="71"/>
    </row>
    <row r="11">
      <c r="L11" s="69"/>
      <c r="M11" s="70"/>
      <c r="N11" s="69"/>
      <c r="O11" s="71"/>
    </row>
    <row r="12">
      <c r="B12" s="42" t="s">
        <v>117</v>
      </c>
      <c r="L12" s="69"/>
      <c r="M12" s="70"/>
      <c r="N12" s="69"/>
      <c r="O12" s="71"/>
    </row>
    <row r="13">
      <c r="B13" s="42" t="s">
        <v>118</v>
      </c>
      <c r="L13" s="69"/>
      <c r="M13" s="70"/>
      <c r="N13" s="69"/>
      <c r="O13" s="71"/>
    </row>
    <row r="14">
      <c r="B14" s="42" t="s">
        <v>119</v>
      </c>
      <c r="L14" s="69"/>
      <c r="M14" s="70"/>
      <c r="N14" s="69"/>
      <c r="O14" s="71"/>
    </row>
    <row r="15" ht="30.75" customHeight="1">
      <c r="C15" s="73" t="s">
        <v>120</v>
      </c>
      <c r="E15" s="74">
        <f t="array" ref="E15">COUNTIFS(IF(DATASET!C2:C1856 &gt;24, DATASET!B2:B1856),"male",IF(DATASET!C2:C1856 &gt;24, DATASET!G2:G1856),"&gt;10000")</f>
        <v>291</v>
      </c>
      <c r="K15" s="65"/>
      <c r="L15" s="69"/>
      <c r="M15" s="70"/>
      <c r="N15" s="69"/>
      <c r="O15" s="71"/>
    </row>
    <row r="16">
      <c r="B16" s="50" t="s">
        <v>121</v>
      </c>
      <c r="D16" s="63"/>
      <c r="L16" s="69"/>
      <c r="M16" s="70"/>
      <c r="N16" s="69"/>
      <c r="O16" s="71"/>
    </row>
    <row r="17">
      <c r="C17" s="61" t="s">
        <v>101</v>
      </c>
      <c r="D17" s="42" t="s">
        <v>122</v>
      </c>
      <c r="L17" s="69"/>
      <c r="M17" s="70"/>
      <c r="N17" s="69"/>
      <c r="O17" s="71"/>
    </row>
    <row r="18">
      <c r="C18" s="61" t="s">
        <v>101</v>
      </c>
      <c r="D18" s="75">
        <f>E15/E10</f>
        <v>0.2530434783</v>
      </c>
      <c r="L18" s="69"/>
      <c r="M18" s="70"/>
      <c r="N18" s="69"/>
      <c r="O18" s="71"/>
    </row>
    <row r="19">
      <c r="L19" s="69"/>
      <c r="M19" s="70"/>
      <c r="N19" s="69"/>
      <c r="O19" s="71"/>
    </row>
    <row r="20">
      <c r="L20" s="69"/>
      <c r="M20" s="70"/>
      <c r="N20" s="69"/>
      <c r="O20" s="71"/>
    </row>
    <row r="21">
      <c r="L21" s="69"/>
      <c r="M21" s="70"/>
      <c r="N21" s="69"/>
      <c r="O21" s="71"/>
    </row>
    <row r="22">
      <c r="A22" s="52" t="s">
        <v>123</v>
      </c>
      <c r="B22" s="35"/>
      <c r="C22" s="35"/>
      <c r="D22" s="35"/>
      <c r="E22" s="35"/>
      <c r="F22" s="35"/>
      <c r="G22" s="35"/>
      <c r="H22" s="35"/>
      <c r="I22" s="35"/>
      <c r="L22" s="69"/>
      <c r="M22" s="70"/>
      <c r="N22" s="69"/>
      <c r="O22" s="71"/>
    </row>
    <row r="23">
      <c r="L23" s="69"/>
      <c r="M23" s="70"/>
      <c r="N23" s="69"/>
      <c r="O23" s="71"/>
    </row>
    <row r="24">
      <c r="B24" s="50" t="s">
        <v>124</v>
      </c>
      <c r="L24" s="69"/>
      <c r="M24" s="70"/>
      <c r="N24" s="69"/>
      <c r="O24" s="71"/>
    </row>
    <row r="25">
      <c r="B25" s="42" t="s">
        <v>125</v>
      </c>
      <c r="L25" s="69"/>
      <c r="M25" s="70"/>
      <c r="N25" s="69"/>
      <c r="O25" s="71"/>
    </row>
    <row r="26">
      <c r="A26" s="50"/>
      <c r="C26" s="76" t="s">
        <v>126</v>
      </c>
      <c r="E26" s="72">
        <f>COUNTIFS(DATASET!E2:E1856,"yes",DATASET!C2:C1856,"&gt;25")</f>
        <v>219</v>
      </c>
      <c r="L26" s="69"/>
      <c r="M26" s="70"/>
      <c r="N26" s="69"/>
      <c r="O26" s="71"/>
    </row>
    <row r="27">
      <c r="A27" s="50"/>
      <c r="C27" s="76" t="s">
        <v>127</v>
      </c>
      <c r="E27" s="72">
        <f>COUNTIFS(DATASET!E2:E1856,"yes",DATASET!C2:C1856,"&gt;25",DATASET!G2:G1856,"&gt;16700")</f>
        <v>215</v>
      </c>
      <c r="F27" s="77"/>
      <c r="L27" s="69"/>
      <c r="M27" s="70"/>
      <c r="N27" s="69"/>
      <c r="O27" s="71"/>
    </row>
    <row r="28">
      <c r="A28" s="50"/>
      <c r="B28" s="50" t="s">
        <v>128</v>
      </c>
      <c r="L28" s="69"/>
      <c r="M28" s="70"/>
      <c r="N28" s="69"/>
      <c r="O28" s="71"/>
    </row>
    <row r="29">
      <c r="A29" s="50"/>
      <c r="C29" s="61" t="s">
        <v>101</v>
      </c>
      <c r="D29" s="42" t="s">
        <v>129</v>
      </c>
      <c r="L29" s="69"/>
      <c r="M29" s="70"/>
      <c r="N29" s="69"/>
      <c r="O29" s="71"/>
    </row>
    <row r="30">
      <c r="A30" s="50"/>
      <c r="C30" s="61" t="s">
        <v>101</v>
      </c>
      <c r="D30" s="75">
        <f>E27/E26</f>
        <v>0.9817351598</v>
      </c>
      <c r="L30" s="69"/>
      <c r="M30" s="70"/>
      <c r="N30" s="69"/>
      <c r="O30" s="71"/>
    </row>
    <row r="31">
      <c r="A31" s="50"/>
      <c r="B31" s="78" t="s">
        <v>130</v>
      </c>
      <c r="C31" s="53"/>
      <c r="D31" s="79"/>
      <c r="L31" s="69"/>
      <c r="M31" s="70"/>
      <c r="N31" s="69"/>
      <c r="O31" s="71"/>
    </row>
    <row r="32">
      <c r="A32" s="50"/>
      <c r="C32" s="53"/>
      <c r="D32" s="79"/>
      <c r="L32" s="69"/>
      <c r="M32" s="70"/>
      <c r="N32" s="69"/>
      <c r="O32" s="71"/>
    </row>
    <row r="33">
      <c r="A33" s="52" t="s">
        <v>131</v>
      </c>
      <c r="B33" s="35"/>
      <c r="C33" s="35"/>
      <c r="D33" s="35"/>
      <c r="E33" s="35"/>
      <c r="F33" s="35"/>
      <c r="G33" s="35"/>
      <c r="H33" s="35"/>
      <c r="I33" s="35"/>
      <c r="L33" s="69"/>
      <c r="M33" s="70"/>
      <c r="N33" s="69"/>
      <c r="O33" s="71"/>
    </row>
    <row r="34">
      <c r="A34" s="50"/>
      <c r="L34" s="69"/>
      <c r="M34" s="70"/>
      <c r="N34" s="69"/>
      <c r="O34" s="71"/>
    </row>
    <row r="35">
      <c r="B35" s="50" t="s">
        <v>132</v>
      </c>
      <c r="L35" s="69"/>
      <c r="M35" s="70"/>
      <c r="N35" s="69"/>
      <c r="O35" s="71"/>
    </row>
    <row r="36">
      <c r="C36" s="53" t="s">
        <v>133</v>
      </c>
      <c r="E36" s="72">
        <f>countif(DATASET!E2:E1856,"yes")</f>
        <v>274</v>
      </c>
      <c r="L36" s="69"/>
      <c r="M36" s="70"/>
      <c r="N36" s="69"/>
      <c r="O36" s="71"/>
    </row>
    <row r="37">
      <c r="C37" s="76" t="s">
        <v>134</v>
      </c>
      <c r="E37" s="72">
        <f t="array" ref="E37">countif(if(DATASET!E2:E1856="yes",DATASET!G2:G1856),"&gt;16700")</f>
        <v>254</v>
      </c>
      <c r="L37" s="69"/>
      <c r="M37" s="70"/>
      <c r="N37" s="69"/>
      <c r="O37" s="71"/>
    </row>
    <row r="38">
      <c r="B38" s="50" t="s">
        <v>135</v>
      </c>
      <c r="L38" s="69"/>
      <c r="M38" s="70"/>
      <c r="N38" s="69"/>
      <c r="O38" s="71"/>
    </row>
    <row r="39">
      <c r="B39" s="61" t="s">
        <v>101</v>
      </c>
      <c r="C39" s="42" t="s">
        <v>136</v>
      </c>
      <c r="L39" s="69"/>
      <c r="M39" s="70"/>
      <c r="N39" s="69"/>
      <c r="O39" s="71"/>
    </row>
    <row r="40">
      <c r="B40" s="61" t="s">
        <v>101</v>
      </c>
      <c r="C40" s="75">
        <f> E37/E36</f>
        <v>0.9270072993</v>
      </c>
      <c r="L40" s="69"/>
      <c r="M40" s="70"/>
      <c r="N40" s="69"/>
      <c r="O40" s="71"/>
    </row>
    <row r="41">
      <c r="B41" s="50" t="s">
        <v>137</v>
      </c>
      <c r="L41" s="69"/>
      <c r="M41" s="70"/>
      <c r="N41" s="69"/>
      <c r="O41" s="71"/>
    </row>
    <row r="42">
      <c r="L42" s="69"/>
      <c r="M42" s="70"/>
      <c r="N42" s="69"/>
      <c r="O42" s="71"/>
    </row>
    <row r="43">
      <c r="A43" s="52" t="s">
        <v>138</v>
      </c>
      <c r="B43" s="35"/>
      <c r="C43" s="35"/>
      <c r="D43" s="35"/>
      <c r="E43" s="35"/>
      <c r="F43" s="35"/>
      <c r="G43" s="35"/>
      <c r="H43" s="35"/>
      <c r="I43" s="35"/>
      <c r="J43" s="38"/>
      <c r="L43" s="69"/>
      <c r="M43" s="70"/>
      <c r="N43" s="69"/>
      <c r="O43" s="71"/>
    </row>
    <row r="44">
      <c r="B44" s="50" t="s">
        <v>139</v>
      </c>
      <c r="L44" s="69"/>
      <c r="M44" s="70"/>
      <c r="N44" s="69"/>
      <c r="O44" s="71"/>
    </row>
    <row r="45">
      <c r="A45" s="50"/>
      <c r="B45" s="50" t="s">
        <v>140</v>
      </c>
      <c r="L45" s="69"/>
      <c r="M45" s="70"/>
      <c r="N45" s="69"/>
      <c r="O45" s="71"/>
    </row>
    <row r="46">
      <c r="L46" s="69"/>
      <c r="M46" s="70"/>
      <c r="N46" s="69"/>
      <c r="O46" s="71"/>
    </row>
    <row r="47">
      <c r="B47" s="42" t="s">
        <v>141</v>
      </c>
      <c r="D47" s="72">
        <f>countif(DATASET!C2:C1856,"&gt;25")</f>
        <v>1091</v>
      </c>
      <c r="L47" s="69"/>
      <c r="M47" s="70"/>
      <c r="N47" s="69"/>
      <c r="O47" s="71"/>
    </row>
    <row r="48">
      <c r="B48" s="42" t="s">
        <v>142</v>
      </c>
      <c r="D48" s="72">
        <f>countif(DATASET!C2:C1856,"&lt;25")</f>
        <v>245</v>
      </c>
      <c r="L48" s="69"/>
      <c r="M48" s="70"/>
      <c r="N48" s="69"/>
      <c r="O48" s="71"/>
    </row>
    <row r="49">
      <c r="B49" s="80" t="s">
        <v>143</v>
      </c>
      <c r="D49" s="54">
        <f t="array" ref="D49">countif(if(DATASET!C2:C1856&gt;25,DATASET!G2:G1856),"&gt;16700")</f>
        <v>283</v>
      </c>
      <c r="L49" s="69"/>
      <c r="M49" s="70"/>
      <c r="N49" s="69"/>
      <c r="O49" s="71"/>
    </row>
    <row r="50">
      <c r="B50" s="80" t="s">
        <v>144</v>
      </c>
      <c r="D50" s="54">
        <f t="array" ref="D50">countif(if(DATASET!C2:C1856&lt;25,DATASET!G2:G1856),"&gt;16700")</f>
        <v>51</v>
      </c>
      <c r="L50" s="69"/>
      <c r="M50" s="70"/>
      <c r="N50" s="69"/>
      <c r="O50" s="71"/>
    </row>
    <row r="51">
      <c r="L51" s="69"/>
      <c r="M51" s="70"/>
      <c r="N51" s="69"/>
      <c r="O51" s="71"/>
    </row>
    <row r="52">
      <c r="C52" s="50" t="s">
        <v>145</v>
      </c>
      <c r="E52" s="81">
        <f t="shared" ref="E52:E53" si="1">D49/D47</f>
        <v>0.2593950504</v>
      </c>
      <c r="L52" s="69"/>
      <c r="M52" s="70"/>
      <c r="N52" s="69"/>
      <c r="O52" s="71"/>
    </row>
    <row r="53">
      <c r="C53" s="50" t="s">
        <v>146</v>
      </c>
      <c r="E53" s="81">
        <f t="shared" si="1"/>
        <v>0.2081632653</v>
      </c>
      <c r="L53" s="69"/>
      <c r="M53" s="70"/>
      <c r="N53" s="69"/>
      <c r="O53" s="71"/>
    </row>
    <row r="54">
      <c r="L54" s="69"/>
      <c r="M54" s="70"/>
      <c r="N54" s="69"/>
      <c r="O54" s="71"/>
    </row>
    <row r="55">
      <c r="A55" s="63"/>
      <c r="B55" s="42" t="s">
        <v>147</v>
      </c>
      <c r="L55" s="69"/>
      <c r="M55" s="70"/>
      <c r="N55" s="69"/>
      <c r="O55" s="71"/>
    </row>
    <row r="56">
      <c r="B56" s="42" t="s">
        <v>148</v>
      </c>
      <c r="L56" s="69"/>
      <c r="M56" s="70"/>
      <c r="N56" s="69"/>
      <c r="O56" s="71"/>
    </row>
    <row r="57">
      <c r="B57" s="42" t="s">
        <v>149</v>
      </c>
      <c r="L57" s="69"/>
      <c r="M57" s="70"/>
      <c r="N57" s="69"/>
      <c r="O57" s="71"/>
    </row>
    <row r="58">
      <c r="A58" s="50"/>
      <c r="L58" s="69"/>
      <c r="M58" s="70"/>
      <c r="N58" s="69"/>
      <c r="O58" s="71"/>
    </row>
    <row r="59">
      <c r="A59" s="52" t="s">
        <v>150</v>
      </c>
      <c r="B59" s="35"/>
      <c r="C59" s="35"/>
      <c r="D59" s="35"/>
      <c r="E59" s="35"/>
      <c r="F59" s="35"/>
      <c r="G59" s="35"/>
      <c r="H59" s="35"/>
      <c r="I59" s="35"/>
      <c r="J59" s="35"/>
      <c r="L59" s="69"/>
      <c r="M59" s="70"/>
      <c r="N59" s="69"/>
      <c r="O59" s="71"/>
    </row>
    <row r="60">
      <c r="B60" s="50" t="s">
        <v>151</v>
      </c>
      <c r="L60" s="69"/>
      <c r="M60" s="70"/>
      <c r="N60" s="69"/>
      <c r="O60" s="71"/>
    </row>
    <row r="61">
      <c r="A61" s="50"/>
      <c r="B61" s="50" t="s">
        <v>152</v>
      </c>
      <c r="L61" s="69"/>
      <c r="M61" s="70"/>
      <c r="N61" s="69"/>
      <c r="O61" s="71"/>
    </row>
    <row r="62">
      <c r="L62" s="69"/>
      <c r="M62" s="70"/>
      <c r="N62" s="69"/>
      <c r="O62" s="71"/>
    </row>
    <row r="63">
      <c r="A63" s="50"/>
      <c r="B63" s="42" t="s">
        <v>153</v>
      </c>
      <c r="E63" s="54">
        <f>countifs(DATASET!E2:E1856,"yes",DATASET!C2:C1856,"&gt;25")</f>
        <v>219</v>
      </c>
      <c r="L63" s="69"/>
      <c r="M63" s="70"/>
      <c r="N63" s="69"/>
      <c r="O63" s="71"/>
    </row>
    <row r="64">
      <c r="B64" s="42" t="s">
        <v>154</v>
      </c>
      <c r="E64" s="54">
        <f>countifs(DATASET!E2:E1856,"no",DATASET!C2:C1856,"&gt;25")</f>
        <v>872</v>
      </c>
      <c r="L64" s="69"/>
      <c r="M64" s="70"/>
      <c r="N64" s="69"/>
      <c r="O64" s="71"/>
    </row>
    <row r="65">
      <c r="B65" s="80" t="s">
        <v>155</v>
      </c>
      <c r="E65" s="54">
        <f>countifs(DATASET!C2:C1856,"&gt;25",DATASET!E2:E1856,"yes",DATASET!G2:G1856,"&gt;16700")</f>
        <v>215</v>
      </c>
      <c r="L65" s="69"/>
      <c r="M65" s="70"/>
      <c r="N65" s="69"/>
      <c r="O65" s="71"/>
    </row>
    <row r="66">
      <c r="B66" s="80" t="s">
        <v>156</v>
      </c>
      <c r="E66" s="54">
        <f>countifs(DATASET!C2:C1856,"&gt;25",DATASET!E2:E1856,"no",DATASET!G2:G1856,"&gt;16700")</f>
        <v>68</v>
      </c>
      <c r="L66" s="69"/>
      <c r="M66" s="70"/>
      <c r="N66" s="69"/>
      <c r="O66" s="71"/>
    </row>
    <row r="67">
      <c r="L67" s="69"/>
      <c r="M67" s="70"/>
      <c r="N67" s="69"/>
      <c r="O67" s="71"/>
    </row>
    <row r="68">
      <c r="B68" s="53" t="s">
        <v>157</v>
      </c>
      <c r="E68" s="82">
        <f t="shared" ref="E68:E69" si="2">E65/E63</f>
        <v>0.9817351598</v>
      </c>
      <c r="L68" s="69"/>
      <c r="M68" s="70"/>
      <c r="N68" s="69"/>
      <c r="O68" s="71"/>
    </row>
    <row r="69">
      <c r="B69" s="53" t="s">
        <v>158</v>
      </c>
      <c r="E69" s="82">
        <f t="shared" si="2"/>
        <v>0.07798165138</v>
      </c>
      <c r="L69" s="69"/>
      <c r="M69" s="70"/>
      <c r="N69" s="69"/>
      <c r="O69" s="71"/>
    </row>
    <row r="70">
      <c r="L70" s="69"/>
      <c r="M70" s="70"/>
      <c r="N70" s="69"/>
      <c r="O70" s="71"/>
    </row>
    <row r="71">
      <c r="B71" s="42" t="s">
        <v>147</v>
      </c>
      <c r="L71" s="69"/>
      <c r="M71" s="70"/>
      <c r="N71" s="69"/>
      <c r="O71" s="71"/>
    </row>
    <row r="72">
      <c r="B72" s="42" t="s">
        <v>159</v>
      </c>
      <c r="L72" s="69"/>
      <c r="M72" s="70"/>
      <c r="N72" s="69"/>
      <c r="O72" s="71"/>
    </row>
    <row r="73">
      <c r="B73" s="42" t="s">
        <v>160</v>
      </c>
      <c r="L73" s="69"/>
      <c r="M73" s="70"/>
      <c r="N73" s="69"/>
      <c r="O73" s="71"/>
    </row>
    <row r="74">
      <c r="L74" s="69"/>
      <c r="M74" s="70"/>
      <c r="N74" s="69"/>
      <c r="O74" s="71"/>
    </row>
    <row r="75">
      <c r="L75" s="69"/>
      <c r="M75" s="70"/>
      <c r="N75" s="69"/>
      <c r="O75" s="71"/>
    </row>
    <row r="76">
      <c r="L76" s="69"/>
      <c r="M76" s="70"/>
      <c r="N76" s="69"/>
      <c r="O76" s="71"/>
    </row>
    <row r="77">
      <c r="L77" s="69"/>
      <c r="M77" s="70"/>
      <c r="N77" s="69"/>
      <c r="O77" s="71"/>
    </row>
    <row r="78">
      <c r="L78" s="69"/>
      <c r="M78" s="70"/>
      <c r="N78" s="69"/>
      <c r="O78" s="71"/>
    </row>
    <row r="79">
      <c r="L79" s="69"/>
      <c r="M79" s="70"/>
      <c r="N79" s="69"/>
      <c r="O79" s="71"/>
    </row>
    <row r="80">
      <c r="L80" s="69"/>
      <c r="M80" s="70"/>
      <c r="N80" s="69"/>
      <c r="O80" s="71"/>
    </row>
    <row r="81">
      <c r="L81" s="69"/>
      <c r="M81" s="70"/>
      <c r="N81" s="69"/>
      <c r="O81" s="71"/>
    </row>
    <row r="82">
      <c r="L82" s="69"/>
      <c r="M82" s="70"/>
      <c r="N82" s="69"/>
      <c r="O82" s="71"/>
    </row>
    <row r="83">
      <c r="L83" s="69"/>
      <c r="M83" s="70"/>
      <c r="N83" s="69"/>
      <c r="O83" s="71"/>
    </row>
    <row r="84">
      <c r="L84" s="69"/>
      <c r="M84" s="70"/>
      <c r="N84" s="69"/>
      <c r="O84" s="71"/>
    </row>
    <row r="85">
      <c r="L85" s="69"/>
      <c r="M85" s="70"/>
      <c r="N85" s="69"/>
      <c r="O85" s="71"/>
    </row>
    <row r="86">
      <c r="L86" s="69"/>
      <c r="M86" s="70"/>
      <c r="N86" s="69"/>
      <c r="O86" s="71"/>
    </row>
    <row r="87">
      <c r="L87" s="69"/>
      <c r="M87" s="70"/>
      <c r="N87" s="69"/>
      <c r="O87" s="71"/>
    </row>
    <row r="88">
      <c r="L88" s="69"/>
      <c r="M88" s="70"/>
      <c r="N88" s="69"/>
      <c r="O88" s="71"/>
    </row>
    <row r="89">
      <c r="L89" s="69"/>
      <c r="M89" s="70"/>
      <c r="N89" s="69"/>
      <c r="O89" s="71"/>
    </row>
    <row r="90">
      <c r="L90" s="69"/>
      <c r="M90" s="70"/>
      <c r="N90" s="69"/>
      <c r="O90" s="71"/>
    </row>
    <row r="91">
      <c r="L91" s="69"/>
      <c r="M91" s="70"/>
      <c r="N91" s="69"/>
      <c r="O91" s="71"/>
    </row>
    <row r="92">
      <c r="L92" s="69"/>
      <c r="M92" s="70"/>
      <c r="N92" s="69"/>
      <c r="O92" s="71"/>
    </row>
    <row r="93">
      <c r="L93" s="69"/>
      <c r="M93" s="70"/>
      <c r="N93" s="69"/>
      <c r="O93" s="71"/>
    </row>
    <row r="94">
      <c r="L94" s="69"/>
      <c r="M94" s="70"/>
      <c r="N94" s="69"/>
      <c r="O94" s="71"/>
    </row>
    <row r="95">
      <c r="L95" s="69"/>
      <c r="M95" s="70"/>
      <c r="N95" s="69"/>
      <c r="O95" s="71"/>
    </row>
    <row r="96">
      <c r="L96" s="69"/>
      <c r="M96" s="70"/>
      <c r="N96" s="69"/>
      <c r="O96" s="71"/>
    </row>
    <row r="97">
      <c r="L97" s="69"/>
      <c r="M97" s="70"/>
      <c r="N97" s="69"/>
      <c r="O97" s="71"/>
    </row>
    <row r="98">
      <c r="L98" s="69"/>
      <c r="M98" s="70"/>
      <c r="N98" s="69"/>
      <c r="O98" s="71"/>
    </row>
    <row r="99">
      <c r="L99" s="69"/>
      <c r="M99" s="70"/>
      <c r="N99" s="69"/>
      <c r="O99" s="71"/>
    </row>
    <row r="100">
      <c r="L100" s="69"/>
      <c r="M100" s="70"/>
      <c r="N100" s="69"/>
      <c r="O100" s="71"/>
    </row>
    <row r="101">
      <c r="L101" s="69"/>
      <c r="M101" s="70"/>
      <c r="N101" s="69"/>
      <c r="O101" s="71"/>
    </row>
    <row r="102">
      <c r="L102" s="69"/>
      <c r="M102" s="70"/>
      <c r="N102" s="69"/>
      <c r="O102" s="71"/>
    </row>
    <row r="103">
      <c r="L103" s="69"/>
      <c r="M103" s="70"/>
      <c r="N103" s="69"/>
      <c r="O103" s="71"/>
    </row>
    <row r="104">
      <c r="L104" s="69"/>
      <c r="M104" s="70"/>
      <c r="N104" s="69"/>
      <c r="O104" s="71"/>
    </row>
    <row r="105">
      <c r="L105" s="69"/>
      <c r="M105" s="70"/>
      <c r="N105" s="69"/>
      <c r="O105" s="71"/>
    </row>
    <row r="106">
      <c r="L106" s="69"/>
      <c r="M106" s="70"/>
      <c r="N106" s="69"/>
      <c r="O106" s="71"/>
    </row>
    <row r="107">
      <c r="L107" s="69"/>
      <c r="M107" s="70"/>
      <c r="N107" s="69"/>
      <c r="O107" s="71"/>
    </row>
    <row r="108">
      <c r="L108" s="69"/>
      <c r="M108" s="70"/>
      <c r="N108" s="69"/>
      <c r="O108" s="71"/>
    </row>
    <row r="109">
      <c r="L109" s="69"/>
      <c r="M109" s="70"/>
      <c r="N109" s="69"/>
      <c r="O109" s="71"/>
    </row>
    <row r="110">
      <c r="L110" s="69"/>
      <c r="M110" s="70"/>
      <c r="N110" s="69"/>
      <c r="O110" s="71"/>
    </row>
    <row r="111">
      <c r="L111" s="69"/>
      <c r="M111" s="70"/>
      <c r="N111" s="69"/>
      <c r="O111" s="71"/>
    </row>
    <row r="112">
      <c r="L112" s="69"/>
      <c r="M112" s="70"/>
      <c r="N112" s="69"/>
      <c r="O112" s="71"/>
    </row>
    <row r="113">
      <c r="L113" s="69"/>
      <c r="M113" s="70"/>
      <c r="N113" s="69"/>
      <c r="O113" s="71"/>
    </row>
    <row r="114">
      <c r="L114" s="69"/>
      <c r="M114" s="70"/>
      <c r="N114" s="69"/>
      <c r="O114" s="71"/>
    </row>
    <row r="115">
      <c r="L115" s="69"/>
      <c r="M115" s="70"/>
      <c r="N115" s="69"/>
      <c r="O115" s="71"/>
    </row>
    <row r="116">
      <c r="L116" s="69"/>
      <c r="M116" s="70"/>
      <c r="N116" s="69"/>
      <c r="O116" s="71"/>
    </row>
    <row r="117">
      <c r="L117" s="69"/>
      <c r="M117" s="70"/>
      <c r="N117" s="69"/>
      <c r="O117" s="71"/>
    </row>
    <row r="118">
      <c r="L118" s="69"/>
      <c r="M118" s="70"/>
      <c r="N118" s="69"/>
      <c r="O118" s="71"/>
    </row>
    <row r="119">
      <c r="L119" s="69"/>
      <c r="M119" s="70"/>
      <c r="N119" s="69"/>
      <c r="O119" s="71"/>
    </row>
    <row r="120">
      <c r="L120" s="69"/>
      <c r="M120" s="70"/>
      <c r="N120" s="69"/>
      <c r="O120" s="71"/>
    </row>
    <row r="121">
      <c r="L121" s="69"/>
      <c r="M121" s="70"/>
      <c r="N121" s="69"/>
      <c r="O121" s="71"/>
    </row>
    <row r="122">
      <c r="L122" s="69"/>
      <c r="M122" s="70"/>
      <c r="N122" s="69"/>
      <c r="O122" s="71"/>
    </row>
    <row r="123">
      <c r="L123" s="69"/>
      <c r="M123" s="70"/>
      <c r="N123" s="69"/>
      <c r="O123" s="71"/>
    </row>
    <row r="124">
      <c r="L124" s="69"/>
      <c r="M124" s="70"/>
      <c r="N124" s="69"/>
      <c r="O124" s="71"/>
    </row>
    <row r="125">
      <c r="L125" s="69"/>
      <c r="M125" s="70"/>
      <c r="N125" s="69"/>
      <c r="O125" s="71"/>
    </row>
    <row r="126">
      <c r="L126" s="69"/>
      <c r="M126" s="70"/>
      <c r="N126" s="69"/>
      <c r="O126" s="71"/>
    </row>
    <row r="127">
      <c r="L127" s="69"/>
      <c r="M127" s="70"/>
      <c r="N127" s="69"/>
      <c r="O127" s="71"/>
    </row>
    <row r="128">
      <c r="L128" s="69"/>
      <c r="M128" s="70"/>
      <c r="N128" s="69"/>
      <c r="O128" s="71"/>
    </row>
    <row r="129">
      <c r="L129" s="69"/>
      <c r="M129" s="70"/>
      <c r="N129" s="69"/>
      <c r="O129" s="71"/>
    </row>
    <row r="130">
      <c r="L130" s="69"/>
      <c r="M130" s="70"/>
      <c r="N130" s="69"/>
      <c r="O130" s="71"/>
    </row>
    <row r="131">
      <c r="L131" s="69"/>
      <c r="M131" s="70"/>
      <c r="N131" s="69"/>
      <c r="O131" s="71"/>
    </row>
    <row r="132">
      <c r="L132" s="69"/>
      <c r="M132" s="70"/>
      <c r="N132" s="69"/>
      <c r="O132" s="71"/>
    </row>
    <row r="133">
      <c r="L133" s="69"/>
      <c r="M133" s="70"/>
      <c r="N133" s="69"/>
      <c r="O133" s="71"/>
    </row>
    <row r="134">
      <c r="L134" s="69"/>
      <c r="M134" s="70"/>
      <c r="N134" s="69"/>
      <c r="O134" s="71"/>
    </row>
    <row r="135">
      <c r="L135" s="69"/>
      <c r="M135" s="70"/>
      <c r="N135" s="69"/>
      <c r="O135" s="71"/>
    </row>
    <row r="136">
      <c r="L136" s="69"/>
      <c r="M136" s="70"/>
      <c r="N136" s="69"/>
      <c r="O136" s="71"/>
    </row>
    <row r="137">
      <c r="L137" s="69"/>
      <c r="M137" s="70"/>
      <c r="N137" s="69"/>
      <c r="O137" s="71"/>
    </row>
    <row r="138">
      <c r="L138" s="69"/>
      <c r="M138" s="70"/>
      <c r="N138" s="69"/>
      <c r="O138" s="71"/>
    </row>
    <row r="139">
      <c r="L139" s="69"/>
      <c r="M139" s="70"/>
      <c r="N139" s="69"/>
      <c r="O139" s="71"/>
    </row>
    <row r="140">
      <c r="L140" s="69"/>
      <c r="M140" s="70"/>
      <c r="N140" s="69"/>
      <c r="O140" s="71"/>
    </row>
    <row r="141">
      <c r="L141" s="69"/>
      <c r="M141" s="70"/>
      <c r="N141" s="69"/>
      <c r="O141" s="71"/>
    </row>
    <row r="142">
      <c r="L142" s="69"/>
      <c r="M142" s="70"/>
      <c r="N142" s="69"/>
      <c r="O142" s="71"/>
    </row>
    <row r="143">
      <c r="L143" s="69"/>
      <c r="M143" s="70"/>
      <c r="N143" s="69"/>
      <c r="O143" s="71"/>
    </row>
    <row r="144">
      <c r="L144" s="69"/>
      <c r="M144" s="70"/>
      <c r="N144" s="69"/>
      <c r="O144" s="71"/>
    </row>
    <row r="145">
      <c r="L145" s="69"/>
      <c r="M145" s="70"/>
      <c r="N145" s="69"/>
      <c r="O145" s="71"/>
    </row>
    <row r="146">
      <c r="L146" s="69"/>
      <c r="M146" s="70"/>
      <c r="N146" s="69"/>
      <c r="O146" s="71"/>
    </row>
    <row r="147">
      <c r="L147" s="69"/>
      <c r="M147" s="70"/>
      <c r="N147" s="69"/>
      <c r="O147" s="71"/>
    </row>
    <row r="148">
      <c r="L148" s="69"/>
      <c r="M148" s="70"/>
      <c r="N148" s="69"/>
      <c r="O148" s="71"/>
    </row>
    <row r="149">
      <c r="L149" s="69"/>
      <c r="M149" s="70"/>
      <c r="N149" s="69"/>
      <c r="O149" s="71"/>
    </row>
    <row r="150">
      <c r="L150" s="69"/>
      <c r="M150" s="70"/>
      <c r="N150" s="69"/>
      <c r="O150" s="71"/>
    </row>
    <row r="151">
      <c r="L151" s="69"/>
      <c r="M151" s="70"/>
      <c r="N151" s="69"/>
      <c r="O151" s="71"/>
    </row>
    <row r="152">
      <c r="L152" s="69"/>
      <c r="M152" s="70"/>
      <c r="N152" s="69"/>
      <c r="O152" s="71"/>
    </row>
    <row r="153">
      <c r="L153" s="69"/>
      <c r="M153" s="70"/>
      <c r="N153" s="69"/>
      <c r="O153" s="71"/>
    </row>
    <row r="154">
      <c r="L154" s="69"/>
      <c r="M154" s="70"/>
      <c r="N154" s="69"/>
      <c r="O154" s="71"/>
    </row>
    <row r="155">
      <c r="L155" s="69"/>
      <c r="M155" s="70"/>
      <c r="N155" s="69"/>
      <c r="O155" s="71"/>
    </row>
    <row r="156">
      <c r="L156" s="69"/>
      <c r="M156" s="70"/>
      <c r="N156" s="69"/>
      <c r="O156" s="71"/>
    </row>
    <row r="157">
      <c r="L157" s="69"/>
      <c r="M157" s="70"/>
      <c r="N157" s="69"/>
      <c r="O157" s="71"/>
    </row>
    <row r="158">
      <c r="L158" s="69"/>
      <c r="M158" s="70"/>
      <c r="N158" s="69"/>
      <c r="O158" s="71"/>
    </row>
    <row r="159">
      <c r="L159" s="69"/>
      <c r="M159" s="70"/>
      <c r="N159" s="69"/>
      <c r="O159" s="71"/>
    </row>
    <row r="160">
      <c r="L160" s="69"/>
      <c r="M160" s="70"/>
      <c r="N160" s="69"/>
      <c r="O160" s="71"/>
    </row>
    <row r="161">
      <c r="L161" s="69"/>
      <c r="M161" s="70"/>
      <c r="N161" s="69"/>
      <c r="O161" s="71"/>
    </row>
    <row r="162">
      <c r="L162" s="69"/>
      <c r="M162" s="70"/>
      <c r="N162" s="69"/>
      <c r="O162" s="71"/>
    </row>
    <row r="163">
      <c r="L163" s="69"/>
      <c r="M163" s="70"/>
      <c r="N163" s="69"/>
      <c r="O163" s="71"/>
    </row>
    <row r="164">
      <c r="L164" s="69"/>
      <c r="M164" s="70"/>
      <c r="N164" s="69"/>
      <c r="O164" s="71"/>
    </row>
    <row r="165">
      <c r="L165" s="69"/>
      <c r="M165" s="70"/>
      <c r="N165" s="69"/>
      <c r="O165" s="71"/>
    </row>
    <row r="166">
      <c r="L166" s="69"/>
      <c r="M166" s="70"/>
      <c r="N166" s="69"/>
      <c r="O166" s="71"/>
    </row>
    <row r="167">
      <c r="L167" s="69"/>
      <c r="M167" s="70"/>
      <c r="N167" s="69"/>
      <c r="O167" s="71"/>
    </row>
    <row r="168">
      <c r="L168" s="69"/>
      <c r="M168" s="70"/>
      <c r="N168" s="69"/>
      <c r="O168" s="71"/>
    </row>
    <row r="169">
      <c r="L169" s="69"/>
      <c r="M169" s="70"/>
      <c r="N169" s="69"/>
      <c r="O169" s="71"/>
    </row>
    <row r="170">
      <c r="L170" s="69"/>
      <c r="M170" s="70"/>
      <c r="N170" s="69"/>
      <c r="O170" s="71"/>
    </row>
    <row r="171">
      <c r="L171" s="69"/>
      <c r="M171" s="70"/>
      <c r="N171" s="69"/>
      <c r="O171" s="71"/>
    </row>
    <row r="172">
      <c r="L172" s="69"/>
      <c r="M172" s="70"/>
      <c r="N172" s="69"/>
      <c r="O172" s="71"/>
    </row>
    <row r="173">
      <c r="L173" s="69"/>
      <c r="M173" s="70"/>
      <c r="N173" s="69"/>
      <c r="O173" s="71"/>
    </row>
    <row r="174">
      <c r="L174" s="69"/>
      <c r="M174" s="70"/>
      <c r="N174" s="69"/>
      <c r="O174" s="71"/>
    </row>
    <row r="175">
      <c r="L175" s="69"/>
      <c r="M175" s="70"/>
      <c r="N175" s="69"/>
      <c r="O175" s="71"/>
    </row>
    <row r="176">
      <c r="L176" s="69"/>
      <c r="M176" s="70"/>
      <c r="N176" s="69"/>
      <c r="O176" s="71"/>
    </row>
    <row r="177">
      <c r="L177" s="69"/>
      <c r="M177" s="70"/>
      <c r="N177" s="69"/>
      <c r="O177" s="71"/>
    </row>
    <row r="178">
      <c r="L178" s="69"/>
      <c r="M178" s="70"/>
      <c r="N178" s="69"/>
      <c r="O178" s="71"/>
    </row>
    <row r="179">
      <c r="L179" s="69"/>
      <c r="M179" s="70"/>
      <c r="N179" s="69"/>
      <c r="O179" s="71"/>
    </row>
    <row r="180">
      <c r="L180" s="69"/>
      <c r="M180" s="70"/>
      <c r="N180" s="69"/>
      <c r="O180" s="71"/>
    </row>
    <row r="181">
      <c r="L181" s="69"/>
      <c r="M181" s="70"/>
      <c r="N181" s="69"/>
      <c r="O181" s="71"/>
    </row>
    <row r="182">
      <c r="L182" s="69"/>
      <c r="M182" s="70"/>
      <c r="N182" s="69"/>
      <c r="O182" s="71"/>
    </row>
    <row r="183">
      <c r="L183" s="69"/>
      <c r="M183" s="70"/>
      <c r="N183" s="69"/>
      <c r="O183" s="71"/>
    </row>
    <row r="184">
      <c r="L184" s="69"/>
      <c r="M184" s="70"/>
      <c r="N184" s="69"/>
      <c r="O184" s="71"/>
    </row>
    <row r="185">
      <c r="L185" s="69"/>
      <c r="M185" s="70"/>
      <c r="N185" s="69"/>
      <c r="O185" s="71"/>
    </row>
    <row r="186">
      <c r="L186" s="69"/>
      <c r="M186" s="70"/>
      <c r="N186" s="69"/>
      <c r="O186" s="71"/>
    </row>
    <row r="187">
      <c r="L187" s="69"/>
      <c r="M187" s="70"/>
      <c r="N187" s="69"/>
      <c r="O187" s="71"/>
    </row>
    <row r="188">
      <c r="L188" s="69"/>
      <c r="M188" s="70"/>
      <c r="N188" s="69"/>
      <c r="O188" s="71"/>
    </row>
    <row r="189">
      <c r="L189" s="69"/>
      <c r="M189" s="70"/>
      <c r="N189" s="69"/>
      <c r="O189" s="71"/>
    </row>
    <row r="190">
      <c r="L190" s="69"/>
      <c r="M190" s="70"/>
      <c r="N190" s="69"/>
      <c r="O190" s="71"/>
    </row>
    <row r="191">
      <c r="L191" s="69"/>
      <c r="M191" s="70"/>
      <c r="N191" s="69"/>
      <c r="O191" s="71"/>
    </row>
    <row r="192">
      <c r="L192" s="69"/>
      <c r="M192" s="70"/>
      <c r="N192" s="69"/>
      <c r="O192" s="71"/>
    </row>
    <row r="193">
      <c r="L193" s="69"/>
      <c r="M193" s="70"/>
      <c r="N193" s="69"/>
      <c r="O193" s="71"/>
    </row>
    <row r="194">
      <c r="L194" s="69"/>
      <c r="M194" s="70"/>
      <c r="N194" s="69"/>
      <c r="O194" s="71"/>
    </row>
    <row r="195">
      <c r="L195" s="69"/>
      <c r="M195" s="70"/>
      <c r="N195" s="69"/>
      <c r="O195" s="71"/>
    </row>
    <row r="196">
      <c r="L196" s="69"/>
      <c r="M196" s="70"/>
      <c r="N196" s="69"/>
      <c r="O196" s="71"/>
    </row>
    <row r="197">
      <c r="L197" s="69"/>
      <c r="M197" s="70"/>
      <c r="N197" s="69"/>
      <c r="O197" s="71"/>
    </row>
    <row r="198">
      <c r="L198" s="69"/>
      <c r="M198" s="70"/>
      <c r="N198" s="69"/>
      <c r="O198" s="71"/>
    </row>
    <row r="199">
      <c r="L199" s="69"/>
      <c r="M199" s="70"/>
      <c r="N199" s="69"/>
      <c r="O199" s="71"/>
    </row>
    <row r="200">
      <c r="L200" s="69"/>
      <c r="M200" s="70"/>
      <c r="N200" s="69"/>
      <c r="O200" s="71"/>
    </row>
    <row r="201">
      <c r="L201" s="69"/>
      <c r="M201" s="70"/>
      <c r="N201" s="69"/>
      <c r="O201" s="71"/>
    </row>
    <row r="202">
      <c r="L202" s="69"/>
      <c r="M202" s="70"/>
      <c r="N202" s="69"/>
      <c r="O202" s="71"/>
    </row>
    <row r="203">
      <c r="L203" s="69"/>
      <c r="M203" s="70"/>
      <c r="N203" s="69"/>
      <c r="O203" s="71"/>
    </row>
    <row r="204">
      <c r="L204" s="69"/>
      <c r="M204" s="70"/>
      <c r="N204" s="69"/>
      <c r="O204" s="71"/>
    </row>
    <row r="205">
      <c r="L205" s="69"/>
      <c r="M205" s="70"/>
      <c r="N205" s="69"/>
      <c r="O205" s="71"/>
    </row>
    <row r="206">
      <c r="L206" s="69"/>
      <c r="M206" s="70"/>
      <c r="N206" s="69"/>
      <c r="O206" s="71"/>
    </row>
    <row r="207">
      <c r="L207" s="69"/>
      <c r="M207" s="70"/>
      <c r="N207" s="69"/>
      <c r="O207" s="71"/>
    </row>
    <row r="208">
      <c r="L208" s="69"/>
      <c r="M208" s="70"/>
      <c r="N208" s="69"/>
      <c r="O208" s="71"/>
    </row>
    <row r="209">
      <c r="L209" s="69"/>
      <c r="M209" s="70"/>
      <c r="N209" s="69"/>
      <c r="O209" s="71"/>
    </row>
    <row r="210">
      <c r="L210" s="69"/>
      <c r="M210" s="70"/>
      <c r="N210" s="69"/>
      <c r="O210" s="71"/>
    </row>
    <row r="211">
      <c r="L211" s="69"/>
      <c r="M211" s="70"/>
      <c r="N211" s="69"/>
      <c r="O211" s="71"/>
    </row>
    <row r="212">
      <c r="L212" s="69"/>
      <c r="M212" s="70"/>
      <c r="N212" s="69"/>
      <c r="O212" s="71"/>
    </row>
    <row r="213">
      <c r="L213" s="69"/>
      <c r="M213" s="70"/>
      <c r="N213" s="69"/>
      <c r="O213" s="71"/>
    </row>
    <row r="214">
      <c r="L214" s="69"/>
      <c r="M214" s="70"/>
      <c r="N214" s="69"/>
      <c r="O214" s="71"/>
    </row>
    <row r="215">
      <c r="L215" s="69"/>
      <c r="M215" s="70"/>
      <c r="N215" s="69"/>
      <c r="O215" s="71"/>
    </row>
    <row r="216">
      <c r="L216" s="69"/>
      <c r="M216" s="70"/>
      <c r="N216" s="69"/>
      <c r="O216" s="71"/>
    </row>
    <row r="217">
      <c r="L217" s="69"/>
      <c r="M217" s="70"/>
      <c r="N217" s="69"/>
      <c r="O217" s="71"/>
    </row>
    <row r="218">
      <c r="L218" s="69"/>
      <c r="M218" s="70"/>
      <c r="N218" s="69"/>
      <c r="O218" s="71"/>
    </row>
    <row r="219">
      <c r="L219" s="69"/>
      <c r="M219" s="70"/>
      <c r="N219" s="69"/>
      <c r="O219" s="71"/>
    </row>
    <row r="220">
      <c r="L220" s="69"/>
      <c r="M220" s="70"/>
      <c r="N220" s="69"/>
      <c r="O220" s="71"/>
    </row>
    <row r="221">
      <c r="L221" s="69"/>
      <c r="M221" s="70"/>
      <c r="N221" s="69"/>
      <c r="O221" s="71"/>
    </row>
    <row r="222">
      <c r="L222" s="69"/>
      <c r="M222" s="70"/>
      <c r="N222" s="69"/>
      <c r="O222" s="71"/>
    </row>
    <row r="223">
      <c r="L223" s="69"/>
      <c r="M223" s="70"/>
      <c r="N223" s="69"/>
      <c r="O223" s="71"/>
    </row>
    <row r="224">
      <c r="L224" s="69"/>
      <c r="M224" s="70"/>
      <c r="N224" s="69"/>
      <c r="O224" s="71"/>
    </row>
    <row r="225">
      <c r="L225" s="69"/>
      <c r="M225" s="70"/>
      <c r="N225" s="69"/>
      <c r="O225" s="71"/>
    </row>
    <row r="226">
      <c r="L226" s="69"/>
      <c r="M226" s="70"/>
      <c r="N226" s="69"/>
      <c r="O226" s="71"/>
    </row>
    <row r="227">
      <c r="L227" s="69"/>
      <c r="M227" s="70"/>
      <c r="N227" s="69"/>
      <c r="O227" s="71"/>
    </row>
    <row r="228">
      <c r="L228" s="69"/>
      <c r="M228" s="70"/>
      <c r="N228" s="69"/>
      <c r="O228" s="71"/>
    </row>
    <row r="229">
      <c r="L229" s="69"/>
      <c r="M229" s="70"/>
      <c r="N229" s="69"/>
      <c r="O229" s="71"/>
    </row>
    <row r="230">
      <c r="L230" s="69"/>
      <c r="M230" s="70"/>
      <c r="N230" s="69"/>
      <c r="O230" s="71"/>
    </row>
    <row r="231">
      <c r="L231" s="69"/>
      <c r="M231" s="70"/>
      <c r="N231" s="69"/>
      <c r="O231" s="71"/>
    </row>
    <row r="232">
      <c r="L232" s="69"/>
      <c r="M232" s="70"/>
      <c r="N232" s="69"/>
      <c r="O232" s="71"/>
    </row>
    <row r="233">
      <c r="L233" s="69"/>
      <c r="M233" s="70"/>
      <c r="N233" s="69"/>
      <c r="O233" s="71"/>
    </row>
    <row r="234">
      <c r="L234" s="69"/>
      <c r="M234" s="70"/>
      <c r="N234" s="69"/>
      <c r="O234" s="71"/>
    </row>
    <row r="235">
      <c r="L235" s="69"/>
      <c r="M235" s="70"/>
      <c r="N235" s="69"/>
      <c r="O235" s="71"/>
    </row>
    <row r="236">
      <c r="L236" s="69"/>
      <c r="M236" s="70"/>
      <c r="N236" s="69"/>
      <c r="O236" s="71"/>
    </row>
    <row r="237">
      <c r="L237" s="69"/>
      <c r="M237" s="70"/>
      <c r="N237" s="69"/>
      <c r="O237" s="71"/>
    </row>
    <row r="238">
      <c r="L238" s="69"/>
      <c r="M238" s="70"/>
      <c r="N238" s="69"/>
      <c r="O238" s="71"/>
    </row>
    <row r="239">
      <c r="L239" s="69"/>
      <c r="M239" s="70"/>
      <c r="N239" s="69"/>
      <c r="O239" s="71"/>
    </row>
    <row r="240">
      <c r="L240" s="69"/>
      <c r="M240" s="70"/>
      <c r="N240" s="69"/>
      <c r="O240" s="71"/>
    </row>
    <row r="241">
      <c r="L241" s="69"/>
      <c r="M241" s="70"/>
      <c r="N241" s="69"/>
      <c r="O241" s="71"/>
    </row>
    <row r="242">
      <c r="L242" s="69"/>
      <c r="M242" s="70"/>
      <c r="N242" s="69"/>
      <c r="O242" s="71"/>
    </row>
    <row r="243">
      <c r="L243" s="69"/>
      <c r="M243" s="70"/>
      <c r="N243" s="69"/>
      <c r="O243" s="71"/>
    </row>
    <row r="244">
      <c r="L244" s="69"/>
      <c r="M244" s="70"/>
      <c r="N244" s="69"/>
      <c r="O244" s="71"/>
    </row>
    <row r="245">
      <c r="L245" s="69"/>
      <c r="M245" s="70"/>
      <c r="N245" s="69"/>
      <c r="O245" s="71"/>
    </row>
    <row r="246">
      <c r="L246" s="69"/>
      <c r="M246" s="70"/>
      <c r="N246" s="69"/>
      <c r="O246" s="71"/>
    </row>
    <row r="247">
      <c r="L247" s="69"/>
      <c r="M247" s="70"/>
      <c r="N247" s="69"/>
      <c r="O247" s="71"/>
    </row>
    <row r="248">
      <c r="L248" s="69"/>
      <c r="M248" s="70"/>
      <c r="N248" s="69"/>
      <c r="O248" s="71"/>
    </row>
    <row r="249">
      <c r="L249" s="69"/>
      <c r="M249" s="70"/>
      <c r="N249" s="69"/>
      <c r="O249" s="71"/>
    </row>
    <row r="250">
      <c r="L250" s="69"/>
      <c r="M250" s="70"/>
      <c r="N250" s="69"/>
      <c r="O250" s="71"/>
    </row>
    <row r="251">
      <c r="L251" s="69"/>
      <c r="M251" s="70"/>
      <c r="N251" s="69"/>
      <c r="O251" s="71"/>
    </row>
    <row r="252">
      <c r="L252" s="69"/>
      <c r="M252" s="70"/>
      <c r="N252" s="69"/>
      <c r="O252" s="71"/>
    </row>
    <row r="253">
      <c r="L253" s="69"/>
      <c r="M253" s="70"/>
      <c r="N253" s="69"/>
      <c r="O253" s="71"/>
    </row>
    <row r="254">
      <c r="L254" s="69"/>
      <c r="M254" s="70"/>
      <c r="N254" s="69"/>
      <c r="O254" s="71"/>
    </row>
    <row r="255">
      <c r="L255" s="69"/>
      <c r="M255" s="70"/>
      <c r="N255" s="69"/>
      <c r="O255" s="71"/>
    </row>
    <row r="256">
      <c r="L256" s="69"/>
      <c r="M256" s="70"/>
      <c r="N256" s="69"/>
      <c r="O256" s="71"/>
    </row>
    <row r="257">
      <c r="L257" s="69"/>
      <c r="M257" s="70"/>
      <c r="N257" s="69"/>
      <c r="O257" s="71"/>
    </row>
    <row r="258">
      <c r="L258" s="69"/>
      <c r="M258" s="70"/>
      <c r="N258" s="69"/>
      <c r="O258" s="71"/>
    </row>
    <row r="259">
      <c r="L259" s="69"/>
      <c r="M259" s="70"/>
      <c r="N259" s="69"/>
      <c r="O259" s="71"/>
    </row>
    <row r="260">
      <c r="L260" s="69"/>
      <c r="M260" s="70"/>
      <c r="N260" s="69"/>
      <c r="O260" s="71"/>
    </row>
    <row r="261">
      <c r="L261" s="69"/>
      <c r="M261" s="70"/>
      <c r="N261" s="69"/>
      <c r="O261" s="71"/>
    </row>
    <row r="262">
      <c r="L262" s="69"/>
      <c r="M262" s="70"/>
      <c r="N262" s="69"/>
      <c r="O262" s="71"/>
    </row>
    <row r="263">
      <c r="L263" s="69"/>
      <c r="M263" s="70"/>
      <c r="N263" s="69"/>
      <c r="O263" s="71"/>
    </row>
    <row r="264">
      <c r="L264" s="69"/>
      <c r="M264" s="70"/>
      <c r="N264" s="69"/>
      <c r="O264" s="71"/>
    </row>
    <row r="265">
      <c r="L265" s="69"/>
      <c r="M265" s="70"/>
      <c r="N265" s="69"/>
      <c r="O265" s="71"/>
    </row>
    <row r="266">
      <c r="L266" s="69"/>
      <c r="M266" s="70"/>
      <c r="N266" s="69"/>
      <c r="O266" s="71"/>
    </row>
    <row r="267">
      <c r="L267" s="69"/>
      <c r="M267" s="70"/>
      <c r="N267" s="69"/>
      <c r="O267" s="71"/>
    </row>
    <row r="268">
      <c r="L268" s="69"/>
      <c r="M268" s="70"/>
      <c r="N268" s="69"/>
      <c r="O268" s="71"/>
    </row>
    <row r="269">
      <c r="L269" s="69"/>
      <c r="M269" s="70"/>
      <c r="N269" s="69"/>
      <c r="O269" s="71"/>
    </row>
    <row r="270">
      <c r="L270" s="69"/>
      <c r="M270" s="70"/>
      <c r="N270" s="69"/>
      <c r="O270" s="71"/>
    </row>
    <row r="271">
      <c r="L271" s="69"/>
      <c r="M271" s="70"/>
      <c r="N271" s="69"/>
      <c r="O271" s="71"/>
    </row>
    <row r="272">
      <c r="L272" s="69"/>
      <c r="M272" s="70"/>
      <c r="N272" s="69"/>
      <c r="O272" s="71"/>
    </row>
    <row r="273">
      <c r="L273" s="69"/>
      <c r="M273" s="70"/>
      <c r="N273" s="69"/>
      <c r="O273" s="71"/>
    </row>
    <row r="274">
      <c r="L274" s="69"/>
      <c r="M274" s="70"/>
      <c r="N274" s="69"/>
      <c r="O274" s="71"/>
    </row>
    <row r="275">
      <c r="L275" s="69"/>
      <c r="M275" s="70"/>
      <c r="N275" s="69"/>
      <c r="O275" s="71"/>
    </row>
    <row r="276">
      <c r="L276" s="69"/>
      <c r="M276" s="70"/>
      <c r="N276" s="69"/>
      <c r="O276" s="71"/>
    </row>
    <row r="277">
      <c r="L277" s="69"/>
      <c r="M277" s="70"/>
      <c r="N277" s="69"/>
      <c r="O277" s="71"/>
    </row>
    <row r="278">
      <c r="L278" s="69"/>
      <c r="M278" s="70"/>
      <c r="N278" s="69"/>
      <c r="O278" s="71"/>
    </row>
    <row r="279">
      <c r="L279" s="69"/>
      <c r="M279" s="70"/>
      <c r="N279" s="69"/>
      <c r="O279" s="71"/>
    </row>
    <row r="280">
      <c r="L280" s="69"/>
      <c r="M280" s="70"/>
      <c r="N280" s="69"/>
      <c r="O280" s="71"/>
    </row>
    <row r="281">
      <c r="L281" s="69"/>
      <c r="M281" s="70"/>
      <c r="N281" s="69"/>
      <c r="O281" s="71"/>
    </row>
    <row r="282">
      <c r="L282" s="69"/>
      <c r="M282" s="70"/>
      <c r="N282" s="69"/>
      <c r="O282" s="71"/>
    </row>
    <row r="283">
      <c r="L283" s="69"/>
      <c r="M283" s="70"/>
      <c r="N283" s="69"/>
      <c r="O283" s="71"/>
    </row>
    <row r="284">
      <c r="L284" s="69"/>
      <c r="M284" s="70"/>
      <c r="N284" s="69"/>
      <c r="O284" s="71"/>
    </row>
    <row r="285">
      <c r="L285" s="69"/>
      <c r="M285" s="70"/>
      <c r="N285" s="69"/>
      <c r="O285" s="71"/>
    </row>
    <row r="286">
      <c r="L286" s="69"/>
      <c r="M286" s="70"/>
      <c r="N286" s="69"/>
      <c r="O286" s="71"/>
    </row>
    <row r="287">
      <c r="L287" s="69"/>
      <c r="M287" s="70"/>
      <c r="N287" s="69"/>
      <c r="O287" s="71"/>
    </row>
    <row r="288">
      <c r="L288" s="69"/>
      <c r="M288" s="70"/>
      <c r="N288" s="69"/>
      <c r="O288" s="71"/>
    </row>
    <row r="289">
      <c r="L289" s="69"/>
      <c r="M289" s="70"/>
      <c r="N289" s="69"/>
      <c r="O289" s="71"/>
    </row>
    <row r="290">
      <c r="L290" s="69"/>
      <c r="M290" s="70"/>
      <c r="N290" s="69"/>
      <c r="O290" s="71"/>
    </row>
    <row r="291">
      <c r="L291" s="69"/>
      <c r="M291" s="70"/>
      <c r="N291" s="69"/>
      <c r="O291" s="71"/>
    </row>
    <row r="292">
      <c r="L292" s="69"/>
      <c r="M292" s="70"/>
      <c r="N292" s="69"/>
      <c r="O292" s="71"/>
    </row>
    <row r="293">
      <c r="L293" s="69"/>
      <c r="M293" s="70"/>
      <c r="N293" s="69"/>
      <c r="O293" s="71"/>
    </row>
    <row r="294">
      <c r="L294" s="69"/>
      <c r="M294" s="70"/>
      <c r="N294" s="69"/>
      <c r="O294" s="71"/>
    </row>
    <row r="295">
      <c r="L295" s="69"/>
      <c r="M295" s="70"/>
      <c r="N295" s="69"/>
      <c r="O295" s="71"/>
    </row>
    <row r="296">
      <c r="L296" s="69"/>
      <c r="M296" s="70"/>
      <c r="N296" s="69"/>
      <c r="O296" s="71"/>
    </row>
    <row r="297">
      <c r="L297" s="69"/>
      <c r="M297" s="70"/>
      <c r="N297" s="69"/>
      <c r="O297" s="71"/>
    </row>
    <row r="298">
      <c r="L298" s="69"/>
      <c r="M298" s="70"/>
      <c r="N298" s="69"/>
      <c r="O298" s="71"/>
    </row>
    <row r="299">
      <c r="L299" s="69"/>
      <c r="M299" s="70"/>
      <c r="N299" s="69"/>
      <c r="O299" s="71"/>
    </row>
    <row r="300">
      <c r="L300" s="69"/>
      <c r="M300" s="70"/>
      <c r="N300" s="69"/>
      <c r="O300" s="71"/>
    </row>
    <row r="301">
      <c r="L301" s="69"/>
      <c r="M301" s="70"/>
      <c r="N301" s="69"/>
      <c r="O301" s="71"/>
    </row>
    <row r="302">
      <c r="L302" s="69"/>
      <c r="M302" s="70"/>
      <c r="N302" s="69"/>
      <c r="O302" s="71"/>
    </row>
    <row r="303">
      <c r="L303" s="69"/>
      <c r="M303" s="70"/>
      <c r="N303" s="69"/>
      <c r="O303" s="71"/>
    </row>
    <row r="304">
      <c r="L304" s="69"/>
      <c r="M304" s="70"/>
      <c r="N304" s="69"/>
      <c r="O304" s="71"/>
    </row>
    <row r="305">
      <c r="L305" s="69"/>
      <c r="M305" s="70"/>
      <c r="N305" s="69"/>
      <c r="O305" s="71"/>
    </row>
    <row r="306">
      <c r="L306" s="69"/>
      <c r="M306" s="70"/>
      <c r="N306" s="69"/>
      <c r="O306" s="71"/>
    </row>
    <row r="307">
      <c r="L307" s="69"/>
      <c r="M307" s="70"/>
      <c r="N307" s="69"/>
      <c r="O307" s="71"/>
    </row>
    <row r="308">
      <c r="L308" s="69"/>
      <c r="M308" s="70"/>
      <c r="N308" s="69"/>
      <c r="O308" s="71"/>
    </row>
    <row r="309">
      <c r="L309" s="69"/>
      <c r="M309" s="70"/>
      <c r="N309" s="69"/>
      <c r="O309" s="71"/>
    </row>
    <row r="310">
      <c r="L310" s="69"/>
      <c r="M310" s="70"/>
      <c r="N310" s="69"/>
      <c r="O310" s="71"/>
    </row>
    <row r="311">
      <c r="L311" s="69"/>
      <c r="M311" s="70"/>
      <c r="N311" s="69"/>
      <c r="O311" s="71"/>
    </row>
    <row r="312">
      <c r="L312" s="69"/>
      <c r="M312" s="70"/>
      <c r="N312" s="69"/>
      <c r="O312" s="71"/>
    </row>
    <row r="313">
      <c r="L313" s="69"/>
      <c r="M313" s="70"/>
      <c r="N313" s="69"/>
      <c r="O313" s="71"/>
    </row>
    <row r="314">
      <c r="L314" s="69"/>
      <c r="M314" s="70"/>
      <c r="N314" s="69"/>
      <c r="O314" s="71"/>
    </row>
    <row r="315">
      <c r="L315" s="69"/>
      <c r="M315" s="70"/>
      <c r="N315" s="69"/>
      <c r="O315" s="71"/>
    </row>
    <row r="316">
      <c r="L316" s="69"/>
      <c r="M316" s="70"/>
      <c r="N316" s="69"/>
      <c r="O316" s="71"/>
    </row>
    <row r="317">
      <c r="L317" s="69"/>
      <c r="M317" s="70"/>
      <c r="N317" s="69"/>
      <c r="O317" s="71"/>
    </row>
    <row r="318">
      <c r="L318" s="69"/>
      <c r="M318" s="70"/>
      <c r="N318" s="69"/>
      <c r="O318" s="71"/>
    </row>
    <row r="319">
      <c r="L319" s="69"/>
      <c r="M319" s="70"/>
      <c r="N319" s="69"/>
      <c r="O319" s="71"/>
    </row>
    <row r="320">
      <c r="L320" s="69"/>
      <c r="M320" s="70"/>
      <c r="N320" s="69"/>
      <c r="O320" s="71"/>
    </row>
    <row r="321">
      <c r="L321" s="69"/>
      <c r="M321" s="70"/>
      <c r="N321" s="69"/>
      <c r="O321" s="71"/>
    </row>
    <row r="322">
      <c r="L322" s="69"/>
      <c r="M322" s="70"/>
      <c r="N322" s="69"/>
      <c r="O322" s="71"/>
    </row>
    <row r="323">
      <c r="L323" s="69"/>
      <c r="M323" s="70"/>
      <c r="N323" s="69"/>
      <c r="O323" s="71"/>
    </row>
    <row r="324">
      <c r="L324" s="69"/>
      <c r="M324" s="70"/>
      <c r="N324" s="69"/>
      <c r="O324" s="71"/>
    </row>
    <row r="325">
      <c r="L325" s="69"/>
      <c r="M325" s="70"/>
      <c r="N325" s="69"/>
      <c r="O325" s="71"/>
    </row>
    <row r="326">
      <c r="L326" s="69"/>
      <c r="M326" s="70"/>
      <c r="N326" s="69"/>
      <c r="O326" s="71"/>
    </row>
    <row r="327">
      <c r="L327" s="69"/>
      <c r="M327" s="70"/>
      <c r="N327" s="69"/>
      <c r="O327" s="71"/>
    </row>
    <row r="328">
      <c r="L328" s="69"/>
      <c r="M328" s="70"/>
      <c r="N328" s="69"/>
      <c r="O328" s="71"/>
    </row>
    <row r="329">
      <c r="L329" s="69"/>
      <c r="M329" s="70"/>
      <c r="N329" s="69"/>
      <c r="O329" s="71"/>
    </row>
    <row r="330">
      <c r="L330" s="69"/>
      <c r="M330" s="70"/>
      <c r="N330" s="69"/>
      <c r="O330" s="71"/>
    </row>
    <row r="331">
      <c r="L331" s="69"/>
      <c r="M331" s="70"/>
      <c r="N331" s="69"/>
      <c r="O331" s="71"/>
    </row>
    <row r="332">
      <c r="L332" s="69"/>
      <c r="M332" s="70"/>
      <c r="N332" s="69"/>
      <c r="O332" s="71"/>
    </row>
    <row r="333">
      <c r="L333" s="69"/>
      <c r="M333" s="70"/>
      <c r="N333" s="69"/>
      <c r="O333" s="71"/>
    </row>
    <row r="334">
      <c r="L334" s="69"/>
      <c r="M334" s="70"/>
      <c r="N334" s="69"/>
      <c r="O334" s="71"/>
    </row>
    <row r="335">
      <c r="L335" s="69"/>
      <c r="M335" s="70"/>
      <c r="N335" s="69"/>
      <c r="O335" s="71"/>
    </row>
    <row r="336">
      <c r="L336" s="69"/>
      <c r="M336" s="70"/>
      <c r="N336" s="69"/>
      <c r="O336" s="71"/>
    </row>
    <row r="337">
      <c r="L337" s="69"/>
      <c r="M337" s="70"/>
      <c r="N337" s="69"/>
      <c r="O337" s="71"/>
    </row>
    <row r="338">
      <c r="L338" s="69"/>
      <c r="M338" s="70"/>
      <c r="N338" s="69"/>
      <c r="O338" s="71"/>
    </row>
    <row r="339">
      <c r="L339" s="69"/>
      <c r="M339" s="70"/>
      <c r="N339" s="69"/>
      <c r="O339" s="71"/>
    </row>
    <row r="340">
      <c r="L340" s="69"/>
      <c r="M340" s="70"/>
      <c r="N340" s="69"/>
      <c r="O340" s="71"/>
    </row>
    <row r="341">
      <c r="L341" s="69"/>
      <c r="M341" s="70"/>
      <c r="N341" s="69"/>
      <c r="O341" s="71"/>
    </row>
    <row r="342">
      <c r="L342" s="69"/>
      <c r="M342" s="70"/>
      <c r="N342" s="69"/>
      <c r="O342" s="71"/>
    </row>
    <row r="343">
      <c r="L343" s="69"/>
      <c r="M343" s="70"/>
      <c r="N343" s="69"/>
      <c r="O343" s="71"/>
    </row>
    <row r="344">
      <c r="L344" s="69"/>
      <c r="M344" s="70"/>
      <c r="N344" s="69"/>
      <c r="O344" s="71"/>
    </row>
    <row r="345">
      <c r="L345" s="69"/>
      <c r="M345" s="70"/>
      <c r="N345" s="69"/>
      <c r="O345" s="71"/>
    </row>
    <row r="346">
      <c r="L346" s="69"/>
      <c r="M346" s="70"/>
      <c r="N346" s="69"/>
      <c r="O346" s="71"/>
    </row>
    <row r="347">
      <c r="L347" s="69"/>
      <c r="M347" s="70"/>
      <c r="N347" s="69"/>
      <c r="O347" s="71"/>
    </row>
    <row r="348">
      <c r="L348" s="69"/>
      <c r="M348" s="70"/>
      <c r="N348" s="69"/>
      <c r="O348" s="71"/>
    </row>
    <row r="349">
      <c r="L349" s="69"/>
      <c r="M349" s="70"/>
      <c r="N349" s="69"/>
      <c r="O349" s="71"/>
    </row>
    <row r="350">
      <c r="L350" s="69"/>
      <c r="M350" s="70"/>
      <c r="N350" s="69"/>
      <c r="O350" s="71"/>
    </row>
    <row r="351">
      <c r="L351" s="69"/>
      <c r="M351" s="70"/>
      <c r="N351" s="69"/>
      <c r="O351" s="71"/>
    </row>
    <row r="352">
      <c r="L352" s="69"/>
      <c r="M352" s="70"/>
      <c r="N352" s="69"/>
      <c r="O352" s="71"/>
    </row>
    <row r="353">
      <c r="L353" s="69"/>
      <c r="M353" s="70"/>
      <c r="N353" s="69"/>
      <c r="O353" s="71"/>
    </row>
    <row r="354">
      <c r="L354" s="69"/>
      <c r="M354" s="70"/>
      <c r="N354" s="69"/>
      <c r="O354" s="71"/>
    </row>
    <row r="355">
      <c r="L355" s="69"/>
      <c r="M355" s="70"/>
      <c r="N355" s="69"/>
      <c r="O355" s="71"/>
    </row>
    <row r="356">
      <c r="L356" s="69"/>
      <c r="M356" s="70"/>
      <c r="N356" s="69"/>
      <c r="O356" s="71"/>
    </row>
    <row r="357">
      <c r="L357" s="69"/>
      <c r="M357" s="70"/>
      <c r="N357" s="69"/>
      <c r="O357" s="71"/>
    </row>
    <row r="358">
      <c r="L358" s="69"/>
      <c r="M358" s="70"/>
      <c r="N358" s="69"/>
      <c r="O358" s="71"/>
    </row>
    <row r="359">
      <c r="L359" s="69"/>
      <c r="M359" s="70"/>
      <c r="N359" s="69"/>
      <c r="O359" s="71"/>
    </row>
    <row r="360">
      <c r="L360" s="69"/>
      <c r="M360" s="70"/>
      <c r="N360" s="69"/>
      <c r="O360" s="71"/>
    </row>
    <row r="361">
      <c r="L361" s="69"/>
      <c r="M361" s="70"/>
      <c r="N361" s="69"/>
      <c r="O361" s="71"/>
    </row>
    <row r="362">
      <c r="L362" s="69"/>
      <c r="M362" s="70"/>
      <c r="N362" s="69"/>
      <c r="O362" s="71"/>
    </row>
    <row r="363">
      <c r="L363" s="69"/>
      <c r="M363" s="70"/>
      <c r="N363" s="69"/>
      <c r="O363" s="71"/>
    </row>
    <row r="364">
      <c r="L364" s="69"/>
      <c r="M364" s="70"/>
      <c r="N364" s="69"/>
      <c r="O364" s="71"/>
    </row>
    <row r="365">
      <c r="L365" s="69"/>
      <c r="M365" s="70"/>
      <c r="N365" s="69"/>
      <c r="O365" s="71"/>
    </row>
    <row r="366">
      <c r="L366" s="69"/>
      <c r="M366" s="70"/>
      <c r="N366" s="69"/>
      <c r="O366" s="71"/>
    </row>
    <row r="367">
      <c r="L367" s="69"/>
      <c r="M367" s="70"/>
      <c r="N367" s="69"/>
      <c r="O367" s="71"/>
    </row>
    <row r="368">
      <c r="L368" s="69"/>
      <c r="M368" s="70"/>
      <c r="N368" s="69"/>
      <c r="O368" s="71"/>
    </row>
    <row r="369">
      <c r="L369" s="69"/>
      <c r="M369" s="70"/>
      <c r="N369" s="69"/>
      <c r="O369" s="71"/>
    </row>
    <row r="370">
      <c r="L370" s="69"/>
      <c r="M370" s="70"/>
      <c r="N370" s="69"/>
      <c r="O370" s="71"/>
    </row>
    <row r="371">
      <c r="L371" s="69"/>
      <c r="M371" s="70"/>
      <c r="N371" s="69"/>
      <c r="O371" s="71"/>
    </row>
    <row r="372">
      <c r="L372" s="69"/>
      <c r="M372" s="70"/>
      <c r="N372" s="69"/>
      <c r="O372" s="71"/>
    </row>
    <row r="373">
      <c r="L373" s="69"/>
      <c r="M373" s="70"/>
      <c r="N373" s="69"/>
      <c r="O373" s="71"/>
    </row>
    <row r="374">
      <c r="L374" s="69"/>
      <c r="M374" s="70"/>
      <c r="N374" s="69"/>
      <c r="O374" s="71"/>
    </row>
    <row r="375">
      <c r="L375" s="69"/>
      <c r="M375" s="70"/>
      <c r="N375" s="69"/>
      <c r="O375" s="71"/>
    </row>
    <row r="376">
      <c r="L376" s="69"/>
      <c r="M376" s="70"/>
      <c r="N376" s="69"/>
      <c r="O376" s="71"/>
    </row>
    <row r="377">
      <c r="L377" s="69"/>
      <c r="M377" s="70"/>
      <c r="N377" s="69"/>
      <c r="O377" s="71"/>
    </row>
    <row r="378">
      <c r="L378" s="69"/>
      <c r="M378" s="70"/>
      <c r="N378" s="69"/>
      <c r="O378" s="71"/>
    </row>
    <row r="379">
      <c r="L379" s="69"/>
      <c r="M379" s="70"/>
      <c r="N379" s="69"/>
      <c r="O379" s="71"/>
    </row>
    <row r="380">
      <c r="L380" s="69"/>
      <c r="M380" s="70"/>
      <c r="N380" s="69"/>
      <c r="O380" s="71"/>
    </row>
    <row r="381">
      <c r="L381" s="69"/>
      <c r="M381" s="70"/>
      <c r="N381" s="69"/>
      <c r="O381" s="71"/>
    </row>
    <row r="382">
      <c r="L382" s="69"/>
      <c r="M382" s="70"/>
      <c r="N382" s="69"/>
      <c r="O382" s="71"/>
    </row>
    <row r="383">
      <c r="L383" s="69"/>
      <c r="M383" s="70"/>
      <c r="N383" s="69"/>
      <c r="O383" s="71"/>
    </row>
    <row r="384">
      <c r="L384" s="69"/>
      <c r="M384" s="70"/>
      <c r="N384" s="69"/>
      <c r="O384" s="71"/>
    </row>
    <row r="385">
      <c r="L385" s="69"/>
      <c r="M385" s="70"/>
      <c r="N385" s="69"/>
      <c r="O385" s="71"/>
    </row>
    <row r="386">
      <c r="L386" s="69"/>
      <c r="M386" s="70"/>
      <c r="N386" s="69"/>
      <c r="O386" s="71"/>
    </row>
    <row r="387">
      <c r="L387" s="69"/>
      <c r="M387" s="70"/>
      <c r="N387" s="69"/>
      <c r="O387" s="71"/>
    </row>
    <row r="388">
      <c r="L388" s="69"/>
      <c r="M388" s="70"/>
      <c r="N388" s="69"/>
      <c r="O388" s="71"/>
    </row>
    <row r="389">
      <c r="L389" s="69"/>
      <c r="M389" s="70"/>
      <c r="N389" s="69"/>
      <c r="O389" s="71"/>
    </row>
    <row r="390">
      <c r="L390" s="69"/>
      <c r="M390" s="70"/>
      <c r="N390" s="69"/>
      <c r="O390" s="71"/>
    </row>
    <row r="391">
      <c r="L391" s="69"/>
      <c r="M391" s="70"/>
      <c r="N391" s="69"/>
      <c r="O391" s="71"/>
    </row>
    <row r="392">
      <c r="L392" s="69"/>
      <c r="M392" s="70"/>
      <c r="N392" s="69"/>
      <c r="O392" s="71"/>
    </row>
    <row r="393">
      <c r="L393" s="69"/>
      <c r="M393" s="70"/>
      <c r="N393" s="69"/>
      <c r="O393" s="71"/>
    </row>
    <row r="394">
      <c r="L394" s="69"/>
      <c r="M394" s="70"/>
      <c r="N394" s="69"/>
      <c r="O394" s="71"/>
    </row>
    <row r="395">
      <c r="L395" s="69"/>
      <c r="M395" s="70"/>
      <c r="N395" s="69"/>
      <c r="O395" s="71"/>
    </row>
    <row r="396">
      <c r="L396" s="69"/>
      <c r="M396" s="70"/>
      <c r="N396" s="69"/>
      <c r="O396" s="71"/>
    </row>
    <row r="397">
      <c r="L397" s="69"/>
      <c r="M397" s="70"/>
      <c r="N397" s="69"/>
      <c r="O397" s="71"/>
    </row>
    <row r="398">
      <c r="L398" s="69"/>
      <c r="M398" s="70"/>
      <c r="N398" s="69"/>
      <c r="O398" s="71"/>
    </row>
    <row r="399">
      <c r="L399" s="69"/>
      <c r="M399" s="70"/>
      <c r="N399" s="69"/>
      <c r="O399" s="71"/>
    </row>
    <row r="400">
      <c r="L400" s="69"/>
      <c r="M400" s="70"/>
      <c r="N400" s="69"/>
      <c r="O400" s="71"/>
    </row>
    <row r="401">
      <c r="L401" s="69"/>
      <c r="M401" s="70"/>
      <c r="N401" s="69"/>
      <c r="O401" s="71"/>
    </row>
    <row r="402">
      <c r="L402" s="69"/>
      <c r="M402" s="70"/>
      <c r="N402" s="69"/>
      <c r="O402" s="71"/>
    </row>
    <row r="403">
      <c r="L403" s="69"/>
      <c r="M403" s="70"/>
      <c r="N403" s="69"/>
      <c r="O403" s="71"/>
    </row>
    <row r="404">
      <c r="L404" s="69"/>
      <c r="M404" s="70"/>
      <c r="N404" s="69"/>
      <c r="O404" s="71"/>
    </row>
    <row r="405">
      <c r="L405" s="69"/>
      <c r="M405" s="70"/>
      <c r="N405" s="69"/>
      <c r="O405" s="71"/>
    </row>
    <row r="406">
      <c r="L406" s="69"/>
      <c r="M406" s="70"/>
      <c r="N406" s="69"/>
      <c r="O406" s="71"/>
    </row>
    <row r="407">
      <c r="L407" s="69"/>
      <c r="M407" s="70"/>
      <c r="N407" s="69"/>
      <c r="O407" s="71"/>
    </row>
    <row r="408">
      <c r="L408" s="69"/>
      <c r="M408" s="70"/>
      <c r="N408" s="69"/>
      <c r="O408" s="71"/>
    </row>
    <row r="409">
      <c r="L409" s="69"/>
      <c r="M409" s="70"/>
      <c r="N409" s="69"/>
      <c r="O409" s="71"/>
    </row>
    <row r="410">
      <c r="L410" s="69"/>
      <c r="M410" s="70"/>
      <c r="N410" s="69"/>
      <c r="O410" s="71"/>
    </row>
    <row r="411">
      <c r="L411" s="69"/>
      <c r="M411" s="70"/>
      <c r="N411" s="69"/>
      <c r="O411" s="71"/>
    </row>
    <row r="412">
      <c r="L412" s="69"/>
      <c r="M412" s="70"/>
      <c r="N412" s="69"/>
      <c r="O412" s="71"/>
    </row>
    <row r="413">
      <c r="L413" s="69"/>
      <c r="M413" s="70"/>
      <c r="N413" s="69"/>
      <c r="O413" s="71"/>
    </row>
    <row r="414">
      <c r="L414" s="69"/>
      <c r="M414" s="70"/>
      <c r="N414" s="69"/>
      <c r="O414" s="71"/>
    </row>
    <row r="415">
      <c r="L415" s="69"/>
      <c r="M415" s="70"/>
      <c r="N415" s="69"/>
      <c r="O415" s="71"/>
    </row>
    <row r="416">
      <c r="L416" s="69"/>
      <c r="M416" s="70"/>
      <c r="N416" s="69"/>
      <c r="O416" s="71"/>
    </row>
    <row r="417">
      <c r="L417" s="69"/>
      <c r="M417" s="70"/>
      <c r="N417" s="69"/>
      <c r="O417" s="71"/>
    </row>
    <row r="418">
      <c r="L418" s="69"/>
      <c r="M418" s="70"/>
      <c r="N418" s="69"/>
      <c r="O418" s="71"/>
    </row>
    <row r="419">
      <c r="L419" s="69"/>
      <c r="M419" s="70"/>
      <c r="N419" s="69"/>
      <c r="O419" s="71"/>
    </row>
    <row r="420">
      <c r="L420" s="69"/>
      <c r="M420" s="70"/>
      <c r="N420" s="69"/>
      <c r="O420" s="71"/>
    </row>
    <row r="421">
      <c r="L421" s="69"/>
      <c r="M421" s="70"/>
      <c r="N421" s="69"/>
      <c r="O421" s="71"/>
    </row>
    <row r="422">
      <c r="L422" s="69"/>
      <c r="M422" s="70"/>
      <c r="N422" s="69"/>
      <c r="O422" s="71"/>
    </row>
    <row r="423">
      <c r="L423" s="69"/>
      <c r="M423" s="70"/>
      <c r="N423" s="69"/>
      <c r="O423" s="71"/>
    </row>
    <row r="424">
      <c r="L424" s="69"/>
      <c r="M424" s="70"/>
      <c r="N424" s="69"/>
      <c r="O424" s="71"/>
    </row>
    <row r="425">
      <c r="L425" s="69"/>
      <c r="M425" s="70"/>
      <c r="N425" s="69"/>
      <c r="O425" s="71"/>
    </row>
    <row r="426">
      <c r="L426" s="69"/>
      <c r="M426" s="70"/>
      <c r="N426" s="69"/>
      <c r="O426" s="71"/>
    </row>
    <row r="427">
      <c r="L427" s="69"/>
      <c r="M427" s="70"/>
      <c r="N427" s="69"/>
      <c r="O427" s="71"/>
    </row>
    <row r="428">
      <c r="L428" s="69"/>
      <c r="M428" s="70"/>
      <c r="N428" s="69"/>
      <c r="O428" s="71"/>
    </row>
    <row r="429">
      <c r="L429" s="69"/>
      <c r="M429" s="70"/>
      <c r="N429" s="69"/>
      <c r="O429" s="71"/>
    </row>
    <row r="430">
      <c r="L430" s="69"/>
      <c r="M430" s="70"/>
      <c r="N430" s="69"/>
      <c r="O430" s="71"/>
    </row>
    <row r="431">
      <c r="L431" s="69"/>
      <c r="M431" s="70"/>
      <c r="N431" s="69"/>
      <c r="O431" s="71"/>
    </row>
    <row r="432">
      <c r="L432" s="69"/>
      <c r="M432" s="70"/>
      <c r="N432" s="69"/>
      <c r="O432" s="71"/>
    </row>
    <row r="433">
      <c r="L433" s="69"/>
      <c r="M433" s="70"/>
      <c r="N433" s="69"/>
      <c r="O433" s="71"/>
    </row>
    <row r="434">
      <c r="L434" s="69"/>
      <c r="M434" s="70"/>
      <c r="N434" s="69"/>
      <c r="O434" s="71"/>
    </row>
    <row r="435">
      <c r="L435" s="69"/>
      <c r="M435" s="70"/>
      <c r="N435" s="69"/>
      <c r="O435" s="71"/>
    </row>
    <row r="436">
      <c r="L436" s="69"/>
      <c r="M436" s="70"/>
      <c r="N436" s="69"/>
      <c r="O436" s="71"/>
    </row>
    <row r="437">
      <c r="L437" s="69"/>
      <c r="M437" s="70"/>
      <c r="N437" s="69"/>
      <c r="O437" s="71"/>
    </row>
    <row r="438">
      <c r="L438" s="69"/>
      <c r="M438" s="70"/>
      <c r="N438" s="69"/>
      <c r="O438" s="71"/>
    </row>
    <row r="439">
      <c r="L439" s="69"/>
      <c r="M439" s="70"/>
      <c r="N439" s="69"/>
      <c r="O439" s="71"/>
    </row>
    <row r="440">
      <c r="L440" s="69"/>
      <c r="M440" s="70"/>
      <c r="N440" s="69"/>
      <c r="O440" s="71"/>
    </row>
    <row r="441">
      <c r="L441" s="69"/>
      <c r="M441" s="70"/>
      <c r="N441" s="69"/>
      <c r="O441" s="71"/>
    </row>
    <row r="442">
      <c r="L442" s="69"/>
      <c r="M442" s="70"/>
      <c r="N442" s="69"/>
      <c r="O442" s="71"/>
    </row>
    <row r="443">
      <c r="L443" s="69"/>
      <c r="M443" s="70"/>
      <c r="N443" s="69"/>
      <c r="O443" s="71"/>
    </row>
    <row r="444">
      <c r="L444" s="69"/>
      <c r="M444" s="70"/>
      <c r="N444" s="69"/>
      <c r="O444" s="71"/>
    </row>
    <row r="445">
      <c r="L445" s="69"/>
      <c r="M445" s="70"/>
      <c r="N445" s="69"/>
      <c r="O445" s="71"/>
    </row>
    <row r="446">
      <c r="L446" s="69"/>
      <c r="M446" s="70"/>
      <c r="N446" s="69"/>
      <c r="O446" s="71"/>
    </row>
    <row r="447">
      <c r="L447" s="69"/>
      <c r="M447" s="70"/>
      <c r="N447" s="69"/>
      <c r="O447" s="71"/>
    </row>
    <row r="448">
      <c r="L448" s="69"/>
      <c r="M448" s="70"/>
      <c r="N448" s="69"/>
      <c r="O448" s="71"/>
    </row>
    <row r="449">
      <c r="L449" s="69"/>
      <c r="M449" s="70"/>
      <c r="N449" s="69"/>
      <c r="O449" s="71"/>
    </row>
    <row r="450">
      <c r="L450" s="69"/>
      <c r="M450" s="70"/>
      <c r="N450" s="69"/>
      <c r="O450" s="71"/>
    </row>
    <row r="451">
      <c r="L451" s="69"/>
      <c r="M451" s="70"/>
      <c r="N451" s="69"/>
      <c r="O451" s="71"/>
    </row>
    <row r="452">
      <c r="L452" s="69"/>
      <c r="M452" s="70"/>
      <c r="N452" s="69"/>
      <c r="O452" s="71"/>
    </row>
    <row r="453">
      <c r="L453" s="69"/>
      <c r="M453" s="70"/>
      <c r="N453" s="69"/>
      <c r="O453" s="71"/>
    </row>
    <row r="454">
      <c r="L454" s="69"/>
      <c r="M454" s="70"/>
      <c r="N454" s="69"/>
      <c r="O454" s="71"/>
    </row>
    <row r="455">
      <c r="L455" s="69"/>
      <c r="M455" s="70"/>
      <c r="N455" s="69"/>
      <c r="O455" s="71"/>
    </row>
    <row r="456">
      <c r="L456" s="69"/>
      <c r="M456" s="70"/>
      <c r="N456" s="69"/>
      <c r="O456" s="71"/>
    </row>
    <row r="457">
      <c r="L457" s="69"/>
      <c r="M457" s="70"/>
      <c r="N457" s="69"/>
      <c r="O457" s="71"/>
    </row>
    <row r="458">
      <c r="L458" s="69"/>
      <c r="M458" s="70"/>
      <c r="N458" s="69"/>
      <c r="O458" s="71"/>
    </row>
    <row r="459">
      <c r="L459" s="69"/>
      <c r="M459" s="70"/>
      <c r="N459" s="69"/>
      <c r="O459" s="71"/>
    </row>
    <row r="460">
      <c r="L460" s="69"/>
      <c r="M460" s="70"/>
      <c r="N460" s="69"/>
      <c r="O460" s="71"/>
    </row>
    <row r="461">
      <c r="L461" s="69"/>
      <c r="M461" s="70"/>
      <c r="N461" s="69"/>
      <c r="O461" s="71"/>
    </row>
    <row r="462">
      <c r="L462" s="69"/>
      <c r="M462" s="70"/>
      <c r="N462" s="69"/>
      <c r="O462" s="71"/>
    </row>
    <row r="463">
      <c r="L463" s="69"/>
      <c r="M463" s="70"/>
      <c r="N463" s="69"/>
      <c r="O463" s="71"/>
    </row>
    <row r="464">
      <c r="L464" s="69"/>
      <c r="M464" s="70"/>
      <c r="N464" s="69"/>
      <c r="O464" s="71"/>
    </row>
    <row r="465">
      <c r="L465" s="69"/>
      <c r="M465" s="70"/>
      <c r="N465" s="69"/>
      <c r="O465" s="71"/>
    </row>
    <row r="466">
      <c r="L466" s="69"/>
      <c r="M466" s="70"/>
      <c r="N466" s="69"/>
      <c r="O466" s="71"/>
    </row>
    <row r="467">
      <c r="L467" s="69"/>
      <c r="M467" s="70"/>
      <c r="N467" s="69"/>
      <c r="O467" s="71"/>
    </row>
    <row r="468">
      <c r="L468" s="69"/>
      <c r="M468" s="70"/>
      <c r="N468" s="69"/>
      <c r="O468" s="71"/>
    </row>
    <row r="469">
      <c r="L469" s="69"/>
      <c r="M469" s="70"/>
      <c r="N469" s="69"/>
      <c r="O469" s="71"/>
    </row>
    <row r="470">
      <c r="L470" s="69"/>
      <c r="M470" s="70"/>
      <c r="N470" s="69"/>
      <c r="O470" s="71"/>
    </row>
    <row r="471">
      <c r="L471" s="69"/>
      <c r="M471" s="70"/>
      <c r="N471" s="69"/>
      <c r="O471" s="71"/>
    </row>
    <row r="472">
      <c r="L472" s="69"/>
      <c r="M472" s="70"/>
      <c r="N472" s="69"/>
      <c r="O472" s="71"/>
    </row>
    <row r="473">
      <c r="L473" s="69"/>
      <c r="M473" s="70"/>
      <c r="N473" s="69"/>
      <c r="O473" s="71"/>
    </row>
    <row r="474">
      <c r="L474" s="69"/>
      <c r="M474" s="70"/>
      <c r="N474" s="69"/>
      <c r="O474" s="71"/>
    </row>
    <row r="475">
      <c r="L475" s="69"/>
      <c r="M475" s="70"/>
      <c r="N475" s="69"/>
      <c r="O475" s="71"/>
    </row>
    <row r="476">
      <c r="L476" s="69"/>
      <c r="M476" s="70"/>
      <c r="N476" s="69"/>
      <c r="O476" s="71"/>
    </row>
    <row r="477">
      <c r="L477" s="69"/>
      <c r="M477" s="70"/>
      <c r="N477" s="69"/>
      <c r="O477" s="71"/>
    </row>
    <row r="478">
      <c r="L478" s="69"/>
      <c r="M478" s="70"/>
      <c r="N478" s="69"/>
      <c r="O478" s="71"/>
    </row>
    <row r="479">
      <c r="L479" s="69"/>
      <c r="M479" s="70"/>
      <c r="N479" s="69"/>
      <c r="O479" s="71"/>
    </row>
    <row r="480">
      <c r="L480" s="69"/>
      <c r="M480" s="70"/>
      <c r="N480" s="69"/>
      <c r="O480" s="71"/>
    </row>
    <row r="481">
      <c r="L481" s="69"/>
      <c r="M481" s="70"/>
      <c r="N481" s="69"/>
      <c r="O481" s="71"/>
    </row>
    <row r="482">
      <c r="L482" s="69"/>
      <c r="M482" s="70"/>
      <c r="N482" s="69"/>
      <c r="O482" s="71"/>
    </row>
    <row r="483">
      <c r="L483" s="69"/>
      <c r="M483" s="70"/>
      <c r="N483" s="69"/>
      <c r="O483" s="71"/>
    </row>
    <row r="484">
      <c r="L484" s="69"/>
      <c r="M484" s="70"/>
      <c r="N484" s="69"/>
      <c r="O484" s="71"/>
    </row>
    <row r="485">
      <c r="L485" s="69"/>
      <c r="M485" s="70"/>
      <c r="N485" s="69"/>
      <c r="O485" s="71"/>
    </row>
    <row r="486">
      <c r="L486" s="69"/>
      <c r="M486" s="70"/>
      <c r="N486" s="69"/>
      <c r="O486" s="71"/>
    </row>
    <row r="487">
      <c r="L487" s="69"/>
      <c r="M487" s="70"/>
      <c r="N487" s="69"/>
      <c r="O487" s="71"/>
    </row>
    <row r="488">
      <c r="L488" s="69"/>
      <c r="M488" s="70"/>
      <c r="N488" s="69"/>
      <c r="O488" s="71"/>
    </row>
    <row r="489">
      <c r="L489" s="69"/>
      <c r="M489" s="70"/>
      <c r="N489" s="69"/>
      <c r="O489" s="71"/>
    </row>
    <row r="490">
      <c r="L490" s="69"/>
      <c r="M490" s="70"/>
      <c r="N490" s="69"/>
      <c r="O490" s="71"/>
    </row>
    <row r="491">
      <c r="L491" s="69"/>
      <c r="M491" s="70"/>
      <c r="N491" s="69"/>
      <c r="O491" s="71"/>
    </row>
    <row r="492">
      <c r="L492" s="69"/>
      <c r="M492" s="70"/>
      <c r="N492" s="69"/>
      <c r="O492" s="71"/>
    </row>
    <row r="493">
      <c r="L493" s="69"/>
      <c r="M493" s="70"/>
      <c r="N493" s="69"/>
      <c r="O493" s="71"/>
    </row>
    <row r="494">
      <c r="L494" s="69"/>
      <c r="M494" s="70"/>
      <c r="N494" s="69"/>
      <c r="O494" s="71"/>
    </row>
    <row r="495">
      <c r="L495" s="69"/>
      <c r="M495" s="70"/>
      <c r="N495" s="69"/>
      <c r="O495" s="71"/>
    </row>
    <row r="496">
      <c r="L496" s="69"/>
      <c r="M496" s="70"/>
      <c r="N496" s="69"/>
      <c r="O496" s="71"/>
    </row>
    <row r="497">
      <c r="L497" s="69"/>
      <c r="M497" s="70"/>
      <c r="N497" s="69"/>
      <c r="O497" s="71"/>
    </row>
    <row r="498">
      <c r="L498" s="69"/>
      <c r="M498" s="70"/>
      <c r="N498" s="69"/>
      <c r="O498" s="71"/>
    </row>
    <row r="499">
      <c r="L499" s="69"/>
      <c r="M499" s="70"/>
      <c r="N499" s="69"/>
      <c r="O499" s="71"/>
    </row>
    <row r="500">
      <c r="L500" s="69"/>
      <c r="M500" s="70"/>
      <c r="N500" s="69"/>
      <c r="O500" s="71"/>
    </row>
    <row r="501">
      <c r="L501" s="69"/>
      <c r="M501" s="70"/>
      <c r="N501" s="69"/>
      <c r="O501" s="71"/>
    </row>
    <row r="502">
      <c r="L502" s="69"/>
      <c r="M502" s="70"/>
      <c r="N502" s="69"/>
      <c r="O502" s="71"/>
    </row>
    <row r="503">
      <c r="L503" s="69"/>
      <c r="M503" s="70"/>
      <c r="N503" s="69"/>
      <c r="O503" s="71"/>
    </row>
    <row r="504">
      <c r="L504" s="69"/>
      <c r="M504" s="70"/>
      <c r="N504" s="69"/>
      <c r="O504" s="71"/>
    </row>
    <row r="505">
      <c r="L505" s="69"/>
      <c r="M505" s="70"/>
      <c r="N505" s="69"/>
      <c r="O505" s="71"/>
    </row>
    <row r="506">
      <c r="L506" s="69"/>
      <c r="M506" s="70"/>
      <c r="N506" s="69"/>
      <c r="O506" s="71"/>
    </row>
    <row r="507">
      <c r="L507" s="69"/>
      <c r="M507" s="70"/>
      <c r="N507" s="69"/>
      <c r="O507" s="71"/>
    </row>
    <row r="508">
      <c r="L508" s="69"/>
      <c r="M508" s="70"/>
      <c r="N508" s="69"/>
      <c r="O508" s="71"/>
    </row>
    <row r="509">
      <c r="L509" s="69"/>
      <c r="M509" s="70"/>
      <c r="N509" s="69"/>
      <c r="O509" s="71"/>
    </row>
    <row r="510">
      <c r="L510" s="69"/>
      <c r="M510" s="70"/>
      <c r="N510" s="69"/>
      <c r="O510" s="71"/>
    </row>
    <row r="511">
      <c r="L511" s="69"/>
      <c r="M511" s="70"/>
      <c r="N511" s="69"/>
      <c r="O511" s="71"/>
    </row>
    <row r="512">
      <c r="L512" s="69"/>
      <c r="M512" s="70"/>
      <c r="N512" s="69"/>
      <c r="O512" s="71"/>
    </row>
    <row r="513">
      <c r="L513" s="69"/>
      <c r="M513" s="70"/>
      <c r="N513" s="69"/>
      <c r="O513" s="71"/>
    </row>
    <row r="514">
      <c r="L514" s="69"/>
      <c r="M514" s="70"/>
      <c r="N514" s="69"/>
      <c r="O514" s="71"/>
    </row>
    <row r="515">
      <c r="L515" s="69"/>
      <c r="M515" s="70"/>
      <c r="N515" s="69"/>
      <c r="O515" s="71"/>
    </row>
    <row r="516">
      <c r="L516" s="69"/>
      <c r="M516" s="70"/>
      <c r="N516" s="69"/>
      <c r="O516" s="71"/>
    </row>
    <row r="517">
      <c r="L517" s="69"/>
      <c r="M517" s="70"/>
      <c r="N517" s="69"/>
      <c r="O517" s="71"/>
    </row>
    <row r="518">
      <c r="L518" s="69"/>
      <c r="M518" s="70"/>
      <c r="N518" s="69"/>
      <c r="O518" s="71"/>
    </row>
    <row r="519">
      <c r="L519" s="69"/>
      <c r="M519" s="70"/>
      <c r="N519" s="69"/>
      <c r="O519" s="71"/>
    </row>
    <row r="520">
      <c r="L520" s="69"/>
      <c r="M520" s="70"/>
      <c r="N520" s="69"/>
      <c r="O520" s="71"/>
    </row>
    <row r="521">
      <c r="L521" s="69"/>
      <c r="M521" s="70"/>
      <c r="N521" s="69"/>
      <c r="O521" s="71"/>
    </row>
    <row r="522">
      <c r="L522" s="69"/>
      <c r="M522" s="70"/>
      <c r="N522" s="69"/>
      <c r="O522" s="71"/>
    </row>
    <row r="523">
      <c r="L523" s="69"/>
      <c r="M523" s="70"/>
      <c r="N523" s="69"/>
      <c r="O523" s="71"/>
    </row>
    <row r="524">
      <c r="L524" s="69"/>
      <c r="M524" s="70"/>
      <c r="N524" s="69"/>
      <c r="O524" s="71"/>
    </row>
    <row r="525">
      <c r="L525" s="69"/>
      <c r="M525" s="70"/>
      <c r="N525" s="69"/>
      <c r="O525" s="71"/>
    </row>
    <row r="526">
      <c r="L526" s="69"/>
      <c r="M526" s="70"/>
      <c r="N526" s="69"/>
      <c r="O526" s="71"/>
    </row>
    <row r="527">
      <c r="L527" s="69"/>
      <c r="M527" s="70"/>
      <c r="N527" s="69"/>
      <c r="O527" s="71"/>
    </row>
    <row r="528">
      <c r="L528" s="69"/>
      <c r="M528" s="70"/>
      <c r="N528" s="69"/>
      <c r="O528" s="71"/>
    </row>
    <row r="529">
      <c r="L529" s="69"/>
      <c r="M529" s="70"/>
      <c r="N529" s="69"/>
      <c r="O529" s="71"/>
    </row>
    <row r="530">
      <c r="L530" s="69"/>
      <c r="M530" s="70"/>
      <c r="N530" s="69"/>
      <c r="O530" s="71"/>
    </row>
    <row r="531">
      <c r="L531" s="69"/>
      <c r="M531" s="70"/>
      <c r="N531" s="69"/>
      <c r="O531" s="71"/>
    </row>
    <row r="532">
      <c r="L532" s="69"/>
      <c r="M532" s="70"/>
      <c r="N532" s="69"/>
      <c r="O532" s="71"/>
    </row>
    <row r="533">
      <c r="L533" s="69"/>
      <c r="M533" s="70"/>
      <c r="N533" s="69"/>
      <c r="O533" s="71"/>
    </row>
    <row r="534">
      <c r="L534" s="69"/>
      <c r="M534" s="70"/>
      <c r="N534" s="69"/>
      <c r="O534" s="71"/>
    </row>
    <row r="535">
      <c r="L535" s="69"/>
      <c r="M535" s="70"/>
      <c r="N535" s="69"/>
      <c r="O535" s="71"/>
    </row>
    <row r="536">
      <c r="L536" s="69"/>
      <c r="M536" s="70"/>
      <c r="N536" s="69"/>
      <c r="O536" s="71"/>
    </row>
    <row r="537">
      <c r="L537" s="69"/>
      <c r="M537" s="70"/>
      <c r="N537" s="69"/>
      <c r="O537" s="71"/>
    </row>
    <row r="538">
      <c r="L538" s="69"/>
      <c r="M538" s="70"/>
      <c r="N538" s="69"/>
      <c r="O538" s="71"/>
    </row>
    <row r="539">
      <c r="L539" s="69"/>
      <c r="M539" s="70"/>
      <c r="N539" s="69"/>
      <c r="O539" s="71"/>
    </row>
    <row r="540">
      <c r="L540" s="69"/>
      <c r="M540" s="70"/>
      <c r="N540" s="69"/>
      <c r="O540" s="71"/>
    </row>
    <row r="541">
      <c r="L541" s="69"/>
      <c r="M541" s="70"/>
      <c r="N541" s="69"/>
      <c r="O541" s="71"/>
    </row>
    <row r="542">
      <c r="L542" s="69"/>
      <c r="M542" s="70"/>
      <c r="N542" s="69"/>
      <c r="O542" s="71"/>
    </row>
    <row r="543">
      <c r="L543" s="69"/>
      <c r="M543" s="70"/>
      <c r="N543" s="69"/>
      <c r="O543" s="71"/>
    </row>
    <row r="544">
      <c r="L544" s="69"/>
      <c r="M544" s="70"/>
      <c r="N544" s="69"/>
      <c r="O544" s="71"/>
    </row>
    <row r="545">
      <c r="L545" s="69"/>
      <c r="M545" s="70"/>
      <c r="N545" s="69"/>
      <c r="O545" s="71"/>
    </row>
    <row r="546">
      <c r="L546" s="69"/>
      <c r="M546" s="70"/>
      <c r="N546" s="69"/>
      <c r="O546" s="71"/>
    </row>
    <row r="547">
      <c r="L547" s="69"/>
      <c r="M547" s="70"/>
      <c r="N547" s="69"/>
      <c r="O547" s="71"/>
    </row>
    <row r="548">
      <c r="L548" s="69"/>
      <c r="M548" s="70"/>
      <c r="N548" s="69"/>
      <c r="O548" s="71"/>
    </row>
    <row r="549">
      <c r="L549" s="69"/>
      <c r="M549" s="70"/>
      <c r="N549" s="69"/>
      <c r="O549" s="71"/>
    </row>
    <row r="550">
      <c r="L550" s="69"/>
      <c r="M550" s="70"/>
      <c r="N550" s="69"/>
      <c r="O550" s="71"/>
    </row>
    <row r="551">
      <c r="L551" s="69"/>
      <c r="M551" s="70"/>
      <c r="N551" s="69"/>
      <c r="O551" s="71"/>
    </row>
    <row r="552">
      <c r="L552" s="69"/>
      <c r="M552" s="70"/>
      <c r="N552" s="69"/>
      <c r="O552" s="71"/>
    </row>
    <row r="553">
      <c r="L553" s="69"/>
      <c r="M553" s="70"/>
      <c r="N553" s="69"/>
      <c r="O553" s="71"/>
    </row>
    <row r="554">
      <c r="L554" s="69"/>
      <c r="M554" s="70"/>
      <c r="N554" s="69"/>
      <c r="O554" s="71"/>
    </row>
    <row r="555">
      <c r="L555" s="69"/>
      <c r="M555" s="70"/>
      <c r="N555" s="69"/>
      <c r="O555" s="71"/>
    </row>
    <row r="556">
      <c r="L556" s="69"/>
      <c r="M556" s="70"/>
      <c r="N556" s="69"/>
      <c r="O556" s="71"/>
    </row>
    <row r="557">
      <c r="L557" s="69"/>
      <c r="M557" s="70"/>
      <c r="N557" s="69"/>
      <c r="O557" s="71"/>
    </row>
    <row r="558">
      <c r="L558" s="69"/>
      <c r="M558" s="70"/>
      <c r="N558" s="69"/>
      <c r="O558" s="71"/>
    </row>
    <row r="559">
      <c r="L559" s="69"/>
      <c r="M559" s="70"/>
      <c r="N559" s="69"/>
      <c r="O559" s="71"/>
    </row>
    <row r="560">
      <c r="L560" s="69"/>
      <c r="M560" s="70"/>
      <c r="N560" s="69"/>
      <c r="O560" s="71"/>
    </row>
    <row r="561">
      <c r="L561" s="69"/>
      <c r="M561" s="70"/>
      <c r="N561" s="69"/>
      <c r="O561" s="71"/>
    </row>
    <row r="562">
      <c r="L562" s="69"/>
      <c r="M562" s="70"/>
      <c r="N562" s="69"/>
      <c r="O562" s="71"/>
    </row>
    <row r="563">
      <c r="L563" s="69"/>
      <c r="M563" s="70"/>
      <c r="N563" s="69"/>
      <c r="O563" s="71"/>
    </row>
    <row r="564">
      <c r="L564" s="69"/>
      <c r="M564" s="70"/>
      <c r="N564" s="69"/>
      <c r="O564" s="71"/>
    </row>
    <row r="565">
      <c r="L565" s="69"/>
      <c r="M565" s="70"/>
      <c r="N565" s="69"/>
      <c r="O565" s="71"/>
    </row>
    <row r="566">
      <c r="L566" s="69"/>
      <c r="M566" s="70"/>
      <c r="N566" s="69"/>
      <c r="O566" s="71"/>
    </row>
    <row r="567">
      <c r="L567" s="69"/>
      <c r="M567" s="70"/>
      <c r="N567" s="69"/>
      <c r="O567" s="71"/>
    </row>
    <row r="568">
      <c r="L568" s="69"/>
      <c r="M568" s="70"/>
      <c r="N568" s="69"/>
      <c r="O568" s="71"/>
    </row>
    <row r="569">
      <c r="L569" s="69"/>
      <c r="M569" s="70"/>
      <c r="N569" s="69"/>
      <c r="O569" s="71"/>
    </row>
    <row r="570">
      <c r="L570" s="69"/>
      <c r="M570" s="70"/>
      <c r="N570" s="69"/>
      <c r="O570" s="71"/>
    </row>
    <row r="571">
      <c r="L571" s="69"/>
      <c r="M571" s="70"/>
      <c r="N571" s="69"/>
      <c r="O571" s="71"/>
    </row>
    <row r="572">
      <c r="L572" s="69"/>
      <c r="M572" s="70"/>
      <c r="N572" s="69"/>
      <c r="O572" s="71"/>
    </row>
    <row r="573">
      <c r="L573" s="69"/>
      <c r="M573" s="70"/>
      <c r="N573" s="69"/>
      <c r="O573" s="71"/>
    </row>
    <row r="574">
      <c r="L574" s="69"/>
      <c r="M574" s="70"/>
      <c r="N574" s="69"/>
      <c r="O574" s="71"/>
    </row>
    <row r="575">
      <c r="L575" s="69"/>
      <c r="M575" s="70"/>
      <c r="N575" s="69"/>
      <c r="O575" s="71"/>
    </row>
    <row r="576">
      <c r="L576" s="69"/>
      <c r="M576" s="70"/>
      <c r="N576" s="69"/>
      <c r="O576" s="71"/>
    </row>
    <row r="577">
      <c r="L577" s="69"/>
      <c r="M577" s="70"/>
      <c r="N577" s="69"/>
      <c r="O577" s="71"/>
    </row>
    <row r="578">
      <c r="L578" s="69"/>
      <c r="M578" s="70"/>
      <c r="N578" s="69"/>
      <c r="O578" s="71"/>
    </row>
    <row r="579">
      <c r="L579" s="69"/>
      <c r="M579" s="70"/>
      <c r="N579" s="69"/>
      <c r="O579" s="71"/>
    </row>
    <row r="580">
      <c r="L580" s="69"/>
      <c r="M580" s="70"/>
      <c r="N580" s="69"/>
      <c r="O580" s="71"/>
    </row>
    <row r="581">
      <c r="L581" s="69"/>
      <c r="M581" s="70"/>
      <c r="N581" s="69"/>
      <c r="O581" s="71"/>
    </row>
    <row r="582">
      <c r="L582" s="69"/>
      <c r="M582" s="70"/>
      <c r="N582" s="69"/>
      <c r="O582" s="71"/>
    </row>
    <row r="583">
      <c r="L583" s="69"/>
      <c r="M583" s="70"/>
      <c r="N583" s="69"/>
      <c r="O583" s="71"/>
    </row>
    <row r="584">
      <c r="L584" s="69"/>
      <c r="M584" s="70"/>
      <c r="N584" s="69"/>
      <c r="O584" s="71"/>
    </row>
    <row r="585">
      <c r="L585" s="69"/>
      <c r="M585" s="70"/>
      <c r="N585" s="69"/>
      <c r="O585" s="71"/>
    </row>
    <row r="586">
      <c r="L586" s="69"/>
      <c r="M586" s="70"/>
      <c r="N586" s="69"/>
      <c r="O586" s="71"/>
    </row>
    <row r="587">
      <c r="L587" s="69"/>
      <c r="M587" s="70"/>
      <c r="N587" s="69"/>
      <c r="O587" s="71"/>
    </row>
    <row r="588">
      <c r="L588" s="69"/>
      <c r="M588" s="70"/>
      <c r="N588" s="69"/>
      <c r="O588" s="71"/>
    </row>
    <row r="589">
      <c r="L589" s="69"/>
      <c r="M589" s="70"/>
      <c r="N589" s="69"/>
      <c r="O589" s="71"/>
    </row>
    <row r="590">
      <c r="L590" s="69"/>
      <c r="M590" s="70"/>
      <c r="N590" s="69"/>
      <c r="O590" s="71"/>
    </row>
    <row r="591">
      <c r="L591" s="69"/>
      <c r="M591" s="70"/>
      <c r="N591" s="69"/>
      <c r="O591" s="71"/>
    </row>
    <row r="592">
      <c r="L592" s="69"/>
      <c r="M592" s="70"/>
      <c r="N592" s="69"/>
      <c r="O592" s="71"/>
    </row>
    <row r="593">
      <c r="L593" s="69"/>
      <c r="M593" s="70"/>
      <c r="N593" s="69"/>
      <c r="O593" s="71"/>
    </row>
    <row r="594">
      <c r="L594" s="69"/>
      <c r="M594" s="70"/>
      <c r="N594" s="69"/>
      <c r="O594" s="71"/>
    </row>
    <row r="595">
      <c r="L595" s="69"/>
      <c r="M595" s="70"/>
      <c r="N595" s="69"/>
      <c r="O595" s="71"/>
    </row>
    <row r="596">
      <c r="L596" s="69"/>
      <c r="M596" s="70"/>
      <c r="N596" s="69"/>
      <c r="O596" s="71"/>
    </row>
    <row r="597">
      <c r="L597" s="69"/>
      <c r="M597" s="70"/>
      <c r="N597" s="69"/>
      <c r="O597" s="71"/>
    </row>
    <row r="598">
      <c r="L598" s="69"/>
      <c r="M598" s="70"/>
      <c r="N598" s="69"/>
      <c r="O598" s="71"/>
    </row>
    <row r="599">
      <c r="L599" s="69"/>
      <c r="M599" s="70"/>
      <c r="N599" s="69"/>
      <c r="O599" s="71"/>
    </row>
    <row r="600">
      <c r="L600" s="69"/>
      <c r="M600" s="70"/>
      <c r="N600" s="69"/>
      <c r="O600" s="71"/>
    </row>
    <row r="601">
      <c r="L601" s="69"/>
      <c r="M601" s="70"/>
      <c r="N601" s="69"/>
      <c r="O601" s="71"/>
    </row>
    <row r="602">
      <c r="L602" s="69"/>
      <c r="M602" s="70"/>
      <c r="N602" s="69"/>
      <c r="O602" s="71"/>
    </row>
    <row r="603">
      <c r="L603" s="69"/>
      <c r="M603" s="70"/>
      <c r="N603" s="69"/>
      <c r="O603" s="71"/>
    </row>
    <row r="604">
      <c r="L604" s="69"/>
      <c r="M604" s="70"/>
      <c r="N604" s="69"/>
      <c r="O604" s="71"/>
    </row>
    <row r="605">
      <c r="L605" s="69"/>
      <c r="M605" s="70"/>
      <c r="N605" s="69"/>
      <c r="O605" s="71"/>
    </row>
    <row r="606">
      <c r="L606" s="69"/>
      <c r="M606" s="70"/>
      <c r="N606" s="69"/>
      <c r="O606" s="71"/>
    </row>
    <row r="607">
      <c r="L607" s="69"/>
      <c r="M607" s="70"/>
      <c r="N607" s="69"/>
      <c r="O607" s="71"/>
    </row>
    <row r="608">
      <c r="L608" s="69"/>
      <c r="M608" s="70"/>
      <c r="N608" s="69"/>
      <c r="O608" s="71"/>
    </row>
    <row r="609">
      <c r="L609" s="69"/>
      <c r="M609" s="70"/>
      <c r="N609" s="69"/>
      <c r="O609" s="71"/>
    </row>
    <row r="610">
      <c r="L610" s="69"/>
      <c r="M610" s="70"/>
      <c r="N610" s="69"/>
      <c r="O610" s="71"/>
    </row>
    <row r="611">
      <c r="L611" s="69"/>
      <c r="M611" s="70"/>
      <c r="N611" s="69"/>
      <c r="O611" s="71"/>
    </row>
    <row r="612">
      <c r="L612" s="69"/>
      <c r="M612" s="70"/>
      <c r="N612" s="69"/>
      <c r="O612" s="71"/>
    </row>
    <row r="613">
      <c r="L613" s="69"/>
      <c r="M613" s="70"/>
      <c r="N613" s="69"/>
      <c r="O613" s="71"/>
    </row>
    <row r="614">
      <c r="L614" s="69"/>
      <c r="M614" s="70"/>
      <c r="N614" s="69"/>
      <c r="O614" s="71"/>
    </row>
    <row r="615">
      <c r="L615" s="69"/>
      <c r="M615" s="70"/>
      <c r="N615" s="69"/>
      <c r="O615" s="71"/>
    </row>
    <row r="616">
      <c r="L616" s="69"/>
      <c r="M616" s="70"/>
      <c r="N616" s="69"/>
      <c r="O616" s="71"/>
    </row>
    <row r="617">
      <c r="L617" s="69"/>
      <c r="M617" s="70"/>
      <c r="N617" s="69"/>
      <c r="O617" s="71"/>
    </row>
    <row r="618">
      <c r="L618" s="69"/>
      <c r="M618" s="70"/>
      <c r="N618" s="69"/>
      <c r="O618" s="71"/>
    </row>
    <row r="619">
      <c r="L619" s="69"/>
      <c r="M619" s="70"/>
      <c r="N619" s="69"/>
      <c r="O619" s="71"/>
    </row>
    <row r="620">
      <c r="L620" s="69"/>
      <c r="M620" s="70"/>
      <c r="N620" s="69"/>
      <c r="O620" s="71"/>
    </row>
    <row r="621">
      <c r="L621" s="69"/>
      <c r="M621" s="70"/>
      <c r="N621" s="69"/>
      <c r="O621" s="71"/>
    </row>
    <row r="622">
      <c r="L622" s="69"/>
      <c r="M622" s="70"/>
      <c r="N622" s="69"/>
      <c r="O622" s="71"/>
    </row>
    <row r="623">
      <c r="L623" s="69"/>
      <c r="M623" s="70"/>
      <c r="N623" s="69"/>
      <c r="O623" s="71"/>
    </row>
    <row r="624">
      <c r="L624" s="69"/>
      <c r="M624" s="70"/>
      <c r="N624" s="69"/>
      <c r="O624" s="71"/>
    </row>
    <row r="625">
      <c r="L625" s="69"/>
      <c r="M625" s="70"/>
      <c r="N625" s="69"/>
      <c r="O625" s="71"/>
    </row>
    <row r="626">
      <c r="L626" s="69"/>
      <c r="M626" s="70"/>
      <c r="N626" s="69"/>
      <c r="O626" s="71"/>
    </row>
    <row r="627">
      <c r="L627" s="69"/>
      <c r="M627" s="70"/>
      <c r="N627" s="69"/>
      <c r="O627" s="71"/>
    </row>
    <row r="628">
      <c r="L628" s="69"/>
      <c r="M628" s="70"/>
      <c r="N628" s="69"/>
      <c r="O628" s="71"/>
    </row>
    <row r="629">
      <c r="L629" s="69"/>
      <c r="M629" s="70"/>
      <c r="N629" s="69"/>
      <c r="O629" s="71"/>
    </row>
    <row r="630">
      <c r="L630" s="69"/>
      <c r="M630" s="70"/>
      <c r="N630" s="69"/>
      <c r="O630" s="71"/>
    </row>
    <row r="631">
      <c r="L631" s="69"/>
      <c r="M631" s="70"/>
      <c r="N631" s="69"/>
      <c r="O631" s="71"/>
    </row>
    <row r="632">
      <c r="L632" s="69"/>
      <c r="M632" s="70"/>
      <c r="N632" s="69"/>
      <c r="O632" s="71"/>
    </row>
    <row r="633">
      <c r="L633" s="69"/>
      <c r="M633" s="70"/>
      <c r="N633" s="69"/>
      <c r="O633" s="71"/>
    </row>
    <row r="634">
      <c r="L634" s="69"/>
      <c r="M634" s="70"/>
      <c r="N634" s="69"/>
      <c r="O634" s="71"/>
    </row>
    <row r="635">
      <c r="L635" s="69"/>
      <c r="M635" s="70"/>
      <c r="N635" s="69"/>
      <c r="O635" s="71"/>
    </row>
    <row r="636">
      <c r="L636" s="69"/>
      <c r="M636" s="70"/>
      <c r="N636" s="69"/>
      <c r="O636" s="71"/>
    </row>
    <row r="637">
      <c r="L637" s="69"/>
      <c r="M637" s="70"/>
      <c r="N637" s="69"/>
      <c r="O637" s="71"/>
    </row>
    <row r="638">
      <c r="L638" s="69"/>
      <c r="M638" s="70"/>
      <c r="N638" s="69"/>
      <c r="O638" s="71"/>
    </row>
    <row r="639">
      <c r="L639" s="69"/>
      <c r="M639" s="70"/>
      <c r="N639" s="69"/>
      <c r="O639" s="71"/>
    </row>
    <row r="640">
      <c r="L640" s="69"/>
      <c r="M640" s="70"/>
      <c r="N640" s="69"/>
      <c r="O640" s="71"/>
    </row>
    <row r="641">
      <c r="L641" s="69"/>
      <c r="M641" s="70"/>
      <c r="N641" s="69"/>
      <c r="O641" s="71"/>
    </row>
    <row r="642">
      <c r="L642" s="69"/>
      <c r="M642" s="70"/>
      <c r="N642" s="69"/>
      <c r="O642" s="71"/>
    </row>
    <row r="643">
      <c r="L643" s="69"/>
      <c r="M643" s="70"/>
      <c r="N643" s="69"/>
      <c r="O643" s="71"/>
    </row>
    <row r="644">
      <c r="L644" s="69"/>
      <c r="M644" s="70"/>
      <c r="N644" s="69"/>
      <c r="O644" s="71"/>
    </row>
    <row r="645">
      <c r="L645" s="69"/>
      <c r="M645" s="70"/>
      <c r="N645" s="69"/>
      <c r="O645" s="71"/>
    </row>
    <row r="646">
      <c r="L646" s="69"/>
      <c r="M646" s="70"/>
      <c r="N646" s="69"/>
      <c r="O646" s="71"/>
    </row>
    <row r="647">
      <c r="L647" s="69"/>
      <c r="M647" s="70"/>
      <c r="N647" s="69"/>
      <c r="O647" s="71"/>
    </row>
    <row r="648">
      <c r="L648" s="69"/>
      <c r="M648" s="70"/>
      <c r="N648" s="69"/>
      <c r="O648" s="71"/>
    </row>
    <row r="649">
      <c r="L649" s="69"/>
      <c r="M649" s="70"/>
      <c r="N649" s="69"/>
      <c r="O649" s="71"/>
    </row>
    <row r="650">
      <c r="L650" s="69"/>
      <c r="M650" s="70"/>
      <c r="N650" s="69"/>
      <c r="O650" s="71"/>
    </row>
    <row r="651">
      <c r="L651" s="69"/>
      <c r="M651" s="70"/>
      <c r="N651" s="69"/>
      <c r="O651" s="71"/>
    </row>
    <row r="652">
      <c r="L652" s="69"/>
      <c r="M652" s="70"/>
      <c r="N652" s="69"/>
      <c r="O652" s="71"/>
    </row>
    <row r="653">
      <c r="L653" s="69"/>
      <c r="M653" s="70"/>
      <c r="N653" s="69"/>
      <c r="O653" s="71"/>
    </row>
    <row r="654">
      <c r="L654" s="69"/>
      <c r="M654" s="70"/>
      <c r="N654" s="69"/>
      <c r="O654" s="71"/>
    </row>
    <row r="655">
      <c r="L655" s="69"/>
      <c r="M655" s="70"/>
      <c r="N655" s="69"/>
      <c r="O655" s="71"/>
    </row>
    <row r="656">
      <c r="L656" s="69"/>
      <c r="M656" s="70"/>
      <c r="N656" s="69"/>
      <c r="O656" s="71"/>
    </row>
    <row r="657">
      <c r="L657" s="69"/>
      <c r="M657" s="70"/>
      <c r="N657" s="69"/>
      <c r="O657" s="71"/>
    </row>
    <row r="658">
      <c r="L658" s="69"/>
      <c r="M658" s="70"/>
      <c r="N658" s="69"/>
      <c r="O658" s="71"/>
    </row>
    <row r="659">
      <c r="L659" s="69"/>
      <c r="M659" s="70"/>
      <c r="N659" s="69"/>
      <c r="O659" s="71"/>
    </row>
    <row r="660">
      <c r="L660" s="69"/>
      <c r="M660" s="70"/>
      <c r="N660" s="69"/>
      <c r="O660" s="71"/>
    </row>
    <row r="661">
      <c r="L661" s="69"/>
      <c r="M661" s="70"/>
      <c r="N661" s="69"/>
      <c r="O661" s="71"/>
    </row>
    <row r="662">
      <c r="L662" s="69"/>
      <c r="M662" s="70"/>
      <c r="N662" s="69"/>
      <c r="O662" s="71"/>
    </row>
    <row r="663">
      <c r="L663" s="69"/>
      <c r="M663" s="70"/>
      <c r="N663" s="69"/>
      <c r="O663" s="71"/>
    </row>
    <row r="664">
      <c r="L664" s="69"/>
      <c r="M664" s="70"/>
      <c r="N664" s="69"/>
      <c r="O664" s="71"/>
    </row>
    <row r="665">
      <c r="L665" s="69"/>
      <c r="M665" s="70"/>
      <c r="N665" s="69"/>
      <c r="O665" s="71"/>
    </row>
    <row r="666">
      <c r="L666" s="69"/>
      <c r="M666" s="70"/>
      <c r="N666" s="69"/>
      <c r="O666" s="71"/>
    </row>
    <row r="667">
      <c r="L667" s="69"/>
      <c r="M667" s="70"/>
      <c r="N667" s="69"/>
      <c r="O667" s="71"/>
    </row>
    <row r="668">
      <c r="L668" s="69"/>
      <c r="M668" s="70"/>
      <c r="N668" s="69"/>
      <c r="O668" s="71"/>
    </row>
    <row r="669">
      <c r="L669" s="69"/>
      <c r="M669" s="70"/>
      <c r="N669" s="69"/>
      <c r="O669" s="71"/>
    </row>
    <row r="670">
      <c r="L670" s="69"/>
      <c r="M670" s="70"/>
      <c r="N670" s="69"/>
      <c r="O670" s="71"/>
    </row>
    <row r="671">
      <c r="L671" s="69"/>
      <c r="M671" s="70"/>
      <c r="N671" s="69"/>
      <c r="O671" s="71"/>
    </row>
    <row r="672">
      <c r="L672" s="69"/>
      <c r="M672" s="70"/>
      <c r="N672" s="69"/>
      <c r="O672" s="71"/>
    </row>
    <row r="673">
      <c r="L673" s="69"/>
      <c r="M673" s="70"/>
      <c r="N673" s="69"/>
      <c r="O673" s="71"/>
    </row>
    <row r="674">
      <c r="L674" s="69"/>
      <c r="M674" s="70"/>
      <c r="N674" s="69"/>
      <c r="O674" s="71"/>
    </row>
    <row r="675">
      <c r="L675" s="69"/>
      <c r="M675" s="70"/>
      <c r="N675" s="69"/>
      <c r="O675" s="71"/>
    </row>
    <row r="676">
      <c r="L676" s="69"/>
      <c r="M676" s="70"/>
      <c r="N676" s="69"/>
      <c r="O676" s="71"/>
    </row>
    <row r="677">
      <c r="L677" s="69"/>
      <c r="M677" s="70"/>
      <c r="N677" s="69"/>
      <c r="O677" s="71"/>
    </row>
    <row r="678">
      <c r="L678" s="69"/>
      <c r="M678" s="70"/>
      <c r="N678" s="69"/>
      <c r="O678" s="71"/>
    </row>
    <row r="679">
      <c r="L679" s="69"/>
      <c r="M679" s="70"/>
      <c r="N679" s="69"/>
      <c r="O679" s="71"/>
    </row>
    <row r="680">
      <c r="L680" s="69"/>
      <c r="M680" s="70"/>
      <c r="N680" s="69"/>
      <c r="O680" s="71"/>
    </row>
    <row r="681">
      <c r="L681" s="69"/>
      <c r="M681" s="70"/>
      <c r="N681" s="69"/>
      <c r="O681" s="71"/>
    </row>
    <row r="682">
      <c r="L682" s="69"/>
      <c r="M682" s="70"/>
      <c r="N682" s="69"/>
      <c r="O682" s="71"/>
    </row>
    <row r="683">
      <c r="L683" s="69"/>
      <c r="M683" s="70"/>
      <c r="N683" s="69"/>
      <c r="O683" s="71"/>
    </row>
    <row r="684">
      <c r="L684" s="69"/>
      <c r="M684" s="70"/>
      <c r="N684" s="69"/>
      <c r="O684" s="71"/>
    </row>
    <row r="685">
      <c r="L685" s="69"/>
      <c r="M685" s="70"/>
      <c r="N685" s="69"/>
      <c r="O685" s="71"/>
    </row>
    <row r="686">
      <c r="L686" s="69"/>
      <c r="M686" s="70"/>
      <c r="N686" s="69"/>
      <c r="O686" s="71"/>
    </row>
    <row r="687">
      <c r="L687" s="69"/>
      <c r="M687" s="70"/>
      <c r="N687" s="69"/>
      <c r="O687" s="71"/>
    </row>
    <row r="688">
      <c r="L688" s="69"/>
      <c r="M688" s="70"/>
      <c r="N688" s="69"/>
      <c r="O688" s="71"/>
    </row>
    <row r="689">
      <c r="L689" s="69"/>
      <c r="M689" s="70"/>
      <c r="N689" s="69"/>
      <c r="O689" s="71"/>
    </row>
    <row r="690">
      <c r="L690" s="69"/>
      <c r="M690" s="70"/>
      <c r="N690" s="69"/>
      <c r="O690" s="71"/>
    </row>
    <row r="691">
      <c r="L691" s="69"/>
      <c r="M691" s="70"/>
      <c r="N691" s="69"/>
      <c r="O691" s="71"/>
    </row>
    <row r="692">
      <c r="L692" s="69"/>
      <c r="M692" s="70"/>
      <c r="N692" s="69"/>
      <c r="O692" s="71"/>
    </row>
    <row r="693">
      <c r="L693" s="69"/>
      <c r="M693" s="70"/>
      <c r="N693" s="69"/>
      <c r="O693" s="71"/>
    </row>
    <row r="694">
      <c r="L694" s="69"/>
      <c r="M694" s="70"/>
      <c r="N694" s="69"/>
      <c r="O694" s="71"/>
    </row>
    <row r="695">
      <c r="L695" s="69"/>
      <c r="M695" s="70"/>
      <c r="N695" s="69"/>
      <c r="O695" s="71"/>
    </row>
    <row r="696">
      <c r="L696" s="69"/>
      <c r="M696" s="70"/>
      <c r="N696" s="69"/>
      <c r="O696" s="71"/>
    </row>
    <row r="697">
      <c r="L697" s="69"/>
      <c r="M697" s="70"/>
      <c r="N697" s="69"/>
      <c r="O697" s="71"/>
    </row>
    <row r="698">
      <c r="L698" s="69"/>
      <c r="M698" s="70"/>
      <c r="N698" s="69"/>
      <c r="O698" s="71"/>
    </row>
    <row r="699">
      <c r="L699" s="69"/>
      <c r="M699" s="70"/>
      <c r="N699" s="69"/>
      <c r="O699" s="71"/>
    </row>
    <row r="700">
      <c r="L700" s="69"/>
      <c r="M700" s="70"/>
      <c r="N700" s="69"/>
      <c r="O700" s="71"/>
    </row>
    <row r="701">
      <c r="L701" s="69"/>
      <c r="M701" s="70"/>
      <c r="N701" s="69"/>
      <c r="O701" s="71"/>
    </row>
    <row r="702">
      <c r="L702" s="69"/>
      <c r="M702" s="70"/>
      <c r="N702" s="69"/>
      <c r="O702" s="71"/>
    </row>
    <row r="703">
      <c r="L703" s="69"/>
      <c r="M703" s="70"/>
      <c r="N703" s="69"/>
      <c r="O703" s="71"/>
    </row>
    <row r="704">
      <c r="L704" s="69"/>
      <c r="M704" s="70"/>
      <c r="N704" s="69"/>
      <c r="O704" s="71"/>
    </row>
    <row r="705">
      <c r="L705" s="69"/>
      <c r="M705" s="70"/>
      <c r="N705" s="69"/>
      <c r="O705" s="71"/>
    </row>
    <row r="706">
      <c r="L706" s="69"/>
      <c r="M706" s="70"/>
      <c r="N706" s="69"/>
      <c r="O706" s="71"/>
    </row>
    <row r="707">
      <c r="L707" s="69"/>
      <c r="M707" s="70"/>
      <c r="N707" s="69"/>
      <c r="O707" s="71"/>
    </row>
    <row r="708">
      <c r="L708" s="69"/>
      <c r="M708" s="70"/>
      <c r="N708" s="69"/>
      <c r="O708" s="71"/>
    </row>
    <row r="709">
      <c r="L709" s="69"/>
      <c r="M709" s="70"/>
      <c r="N709" s="69"/>
      <c r="O709" s="71"/>
    </row>
    <row r="710">
      <c r="L710" s="69"/>
      <c r="M710" s="70"/>
      <c r="N710" s="69"/>
      <c r="O710" s="71"/>
    </row>
    <row r="711">
      <c r="L711" s="69"/>
      <c r="M711" s="70"/>
      <c r="N711" s="69"/>
      <c r="O711" s="71"/>
    </row>
    <row r="712">
      <c r="L712" s="69"/>
      <c r="M712" s="70"/>
      <c r="N712" s="69"/>
      <c r="O712" s="71"/>
    </row>
    <row r="713">
      <c r="L713" s="69"/>
      <c r="M713" s="70"/>
      <c r="N713" s="69"/>
      <c r="O713" s="71"/>
    </row>
    <row r="714">
      <c r="L714" s="69"/>
      <c r="M714" s="70"/>
      <c r="N714" s="69"/>
      <c r="O714" s="71"/>
    </row>
    <row r="715">
      <c r="L715" s="69"/>
      <c r="M715" s="70"/>
      <c r="N715" s="69"/>
      <c r="O715" s="71"/>
    </row>
    <row r="716">
      <c r="L716" s="69"/>
      <c r="M716" s="70"/>
      <c r="N716" s="69"/>
      <c r="O716" s="71"/>
    </row>
    <row r="717">
      <c r="L717" s="69"/>
      <c r="M717" s="70"/>
      <c r="N717" s="69"/>
      <c r="O717" s="71"/>
    </row>
    <row r="718">
      <c r="L718" s="69"/>
      <c r="M718" s="70"/>
      <c r="N718" s="69"/>
      <c r="O718" s="71"/>
    </row>
    <row r="719">
      <c r="L719" s="69"/>
      <c r="M719" s="70"/>
      <c r="N719" s="69"/>
      <c r="O719" s="71"/>
    </row>
    <row r="720">
      <c r="L720" s="69"/>
      <c r="M720" s="70"/>
      <c r="N720" s="69"/>
      <c r="O720" s="71"/>
    </row>
    <row r="721">
      <c r="L721" s="69"/>
      <c r="M721" s="70"/>
      <c r="N721" s="69"/>
      <c r="O721" s="71"/>
    </row>
    <row r="722">
      <c r="L722" s="69"/>
      <c r="M722" s="70"/>
      <c r="N722" s="69"/>
      <c r="O722" s="71"/>
    </row>
    <row r="723">
      <c r="L723" s="69"/>
      <c r="M723" s="70"/>
      <c r="N723" s="69"/>
      <c r="O723" s="71"/>
    </row>
    <row r="724">
      <c r="L724" s="69"/>
      <c r="M724" s="70"/>
      <c r="N724" s="69"/>
      <c r="O724" s="71"/>
    </row>
    <row r="725">
      <c r="L725" s="69"/>
      <c r="M725" s="70"/>
      <c r="N725" s="69"/>
      <c r="O725" s="71"/>
    </row>
    <row r="726">
      <c r="L726" s="69"/>
      <c r="M726" s="70"/>
      <c r="N726" s="69"/>
      <c r="O726" s="71"/>
    </row>
    <row r="727">
      <c r="L727" s="69"/>
      <c r="M727" s="70"/>
      <c r="N727" s="69"/>
      <c r="O727" s="71"/>
    </row>
    <row r="728">
      <c r="L728" s="69"/>
      <c r="M728" s="70"/>
      <c r="N728" s="69"/>
      <c r="O728" s="71"/>
    </row>
    <row r="729">
      <c r="L729" s="69"/>
      <c r="M729" s="70"/>
      <c r="N729" s="69"/>
      <c r="O729" s="71"/>
    </row>
    <row r="730">
      <c r="L730" s="69"/>
      <c r="M730" s="70"/>
      <c r="N730" s="69"/>
      <c r="O730" s="71"/>
    </row>
    <row r="731">
      <c r="L731" s="69"/>
      <c r="M731" s="70"/>
      <c r="N731" s="69"/>
      <c r="O731" s="71"/>
    </row>
    <row r="732">
      <c r="L732" s="69"/>
      <c r="M732" s="70"/>
      <c r="N732" s="69"/>
      <c r="O732" s="71"/>
    </row>
    <row r="733">
      <c r="L733" s="69"/>
      <c r="M733" s="70"/>
      <c r="N733" s="69"/>
      <c r="O733" s="71"/>
    </row>
    <row r="734">
      <c r="L734" s="69"/>
      <c r="M734" s="70"/>
      <c r="N734" s="69"/>
      <c r="O734" s="71"/>
    </row>
    <row r="735">
      <c r="L735" s="69"/>
      <c r="M735" s="70"/>
      <c r="N735" s="69"/>
      <c r="O735" s="71"/>
    </row>
    <row r="736">
      <c r="L736" s="69"/>
      <c r="M736" s="70"/>
      <c r="N736" s="69"/>
      <c r="O736" s="71"/>
    </row>
    <row r="737">
      <c r="L737" s="69"/>
      <c r="M737" s="70"/>
      <c r="N737" s="69"/>
      <c r="O737" s="71"/>
    </row>
    <row r="738">
      <c r="L738" s="69"/>
      <c r="M738" s="70"/>
      <c r="N738" s="69"/>
      <c r="O738" s="71"/>
    </row>
    <row r="739">
      <c r="L739" s="69"/>
      <c r="M739" s="70"/>
      <c r="N739" s="69"/>
      <c r="O739" s="71"/>
    </row>
    <row r="740">
      <c r="L740" s="69"/>
      <c r="M740" s="70"/>
      <c r="N740" s="69"/>
      <c r="O740" s="71"/>
    </row>
    <row r="741">
      <c r="L741" s="69"/>
      <c r="M741" s="70"/>
      <c r="N741" s="69"/>
      <c r="O741" s="71"/>
    </row>
    <row r="742">
      <c r="L742" s="69"/>
      <c r="M742" s="70"/>
      <c r="N742" s="69"/>
      <c r="O742" s="71"/>
    </row>
    <row r="743">
      <c r="L743" s="69"/>
      <c r="M743" s="70"/>
      <c r="N743" s="69"/>
      <c r="O743" s="71"/>
    </row>
    <row r="744">
      <c r="L744" s="69"/>
      <c r="M744" s="70"/>
      <c r="N744" s="69"/>
      <c r="O744" s="71"/>
    </row>
    <row r="745">
      <c r="L745" s="69"/>
      <c r="M745" s="70"/>
      <c r="N745" s="69"/>
      <c r="O745" s="71"/>
    </row>
    <row r="746">
      <c r="L746" s="69"/>
      <c r="M746" s="70"/>
      <c r="N746" s="69"/>
      <c r="O746" s="71"/>
    </row>
    <row r="747">
      <c r="L747" s="69"/>
      <c r="M747" s="70"/>
      <c r="N747" s="69"/>
      <c r="O747" s="71"/>
    </row>
    <row r="748">
      <c r="L748" s="69"/>
      <c r="M748" s="70"/>
      <c r="N748" s="69"/>
      <c r="O748" s="71"/>
    </row>
    <row r="749">
      <c r="L749" s="69"/>
      <c r="M749" s="70"/>
      <c r="N749" s="69"/>
      <c r="O749" s="71"/>
    </row>
    <row r="750">
      <c r="L750" s="69"/>
      <c r="M750" s="70"/>
      <c r="N750" s="69"/>
      <c r="O750" s="71"/>
    </row>
    <row r="751">
      <c r="L751" s="69"/>
      <c r="M751" s="70"/>
      <c r="N751" s="69"/>
      <c r="O751" s="71"/>
    </row>
    <row r="752">
      <c r="L752" s="69"/>
      <c r="M752" s="70"/>
      <c r="N752" s="69"/>
      <c r="O752" s="71"/>
    </row>
    <row r="753">
      <c r="L753" s="69"/>
      <c r="M753" s="70"/>
      <c r="N753" s="69"/>
      <c r="O753" s="71"/>
    </row>
    <row r="754">
      <c r="L754" s="69"/>
      <c r="M754" s="70"/>
      <c r="N754" s="69"/>
      <c r="O754" s="71"/>
    </row>
    <row r="755">
      <c r="L755" s="69"/>
      <c r="M755" s="70"/>
      <c r="N755" s="69"/>
      <c r="O755" s="71"/>
    </row>
    <row r="756">
      <c r="L756" s="69"/>
      <c r="M756" s="70"/>
      <c r="N756" s="69"/>
      <c r="O756" s="71"/>
    </row>
    <row r="757">
      <c r="L757" s="69"/>
      <c r="M757" s="70"/>
      <c r="N757" s="69"/>
      <c r="O757" s="71"/>
    </row>
    <row r="758">
      <c r="L758" s="69"/>
      <c r="M758" s="70"/>
      <c r="N758" s="69"/>
      <c r="O758" s="71"/>
    </row>
    <row r="759">
      <c r="L759" s="69"/>
      <c r="M759" s="70"/>
      <c r="N759" s="69"/>
      <c r="O759" s="71"/>
    </row>
    <row r="760">
      <c r="L760" s="69"/>
      <c r="M760" s="70"/>
      <c r="N760" s="69"/>
      <c r="O760" s="71"/>
    </row>
    <row r="761">
      <c r="L761" s="69"/>
      <c r="M761" s="70"/>
      <c r="N761" s="69"/>
      <c r="O761" s="71"/>
    </row>
    <row r="762">
      <c r="L762" s="69"/>
      <c r="M762" s="70"/>
      <c r="N762" s="69"/>
      <c r="O762" s="71"/>
    </row>
    <row r="763">
      <c r="L763" s="69"/>
      <c r="M763" s="70"/>
      <c r="N763" s="69"/>
      <c r="O763" s="71"/>
    </row>
    <row r="764">
      <c r="L764" s="69"/>
      <c r="M764" s="70"/>
      <c r="N764" s="69"/>
      <c r="O764" s="71"/>
    </row>
    <row r="765">
      <c r="L765" s="69"/>
      <c r="M765" s="70"/>
      <c r="N765" s="69"/>
      <c r="O765" s="71"/>
    </row>
    <row r="766">
      <c r="L766" s="69"/>
      <c r="M766" s="70"/>
      <c r="N766" s="69"/>
      <c r="O766" s="71"/>
    </row>
    <row r="767">
      <c r="L767" s="69"/>
      <c r="M767" s="70"/>
      <c r="N767" s="69"/>
      <c r="O767" s="71"/>
    </row>
    <row r="768">
      <c r="L768" s="69"/>
      <c r="M768" s="70"/>
      <c r="N768" s="69"/>
      <c r="O768" s="71"/>
    </row>
    <row r="769">
      <c r="L769" s="69"/>
      <c r="M769" s="70"/>
      <c r="N769" s="69"/>
      <c r="O769" s="71"/>
    </row>
    <row r="770">
      <c r="L770" s="69"/>
      <c r="M770" s="70"/>
      <c r="N770" s="69"/>
      <c r="O770" s="71"/>
    </row>
    <row r="771">
      <c r="L771" s="69"/>
      <c r="M771" s="70"/>
      <c r="N771" s="69"/>
      <c r="O771" s="71"/>
    </row>
    <row r="772">
      <c r="L772" s="69"/>
      <c r="M772" s="70"/>
      <c r="N772" s="69"/>
      <c r="O772" s="71"/>
    </row>
    <row r="773">
      <c r="L773" s="69"/>
      <c r="M773" s="70"/>
      <c r="N773" s="69"/>
      <c r="O773" s="71"/>
    </row>
    <row r="774">
      <c r="L774" s="69"/>
      <c r="M774" s="70"/>
      <c r="N774" s="69"/>
      <c r="O774" s="71"/>
    </row>
    <row r="775">
      <c r="L775" s="69"/>
      <c r="M775" s="70"/>
      <c r="N775" s="69"/>
      <c r="O775" s="71"/>
    </row>
    <row r="776">
      <c r="L776" s="69"/>
      <c r="M776" s="70"/>
      <c r="N776" s="69"/>
      <c r="O776" s="71"/>
    </row>
    <row r="777">
      <c r="L777" s="69"/>
      <c r="M777" s="70"/>
      <c r="N777" s="69"/>
      <c r="O777" s="71"/>
    </row>
    <row r="778">
      <c r="L778" s="69"/>
      <c r="M778" s="70"/>
      <c r="N778" s="69"/>
      <c r="O778" s="71"/>
    </row>
    <row r="779">
      <c r="L779" s="69"/>
      <c r="M779" s="70"/>
      <c r="N779" s="69"/>
      <c r="O779" s="71"/>
    </row>
    <row r="780">
      <c r="L780" s="69"/>
      <c r="M780" s="70"/>
      <c r="N780" s="69"/>
      <c r="O780" s="71"/>
    </row>
    <row r="781">
      <c r="L781" s="69"/>
      <c r="M781" s="70"/>
      <c r="N781" s="69"/>
      <c r="O781" s="71"/>
    </row>
    <row r="782">
      <c r="L782" s="69"/>
      <c r="M782" s="70"/>
      <c r="N782" s="69"/>
      <c r="O782" s="71"/>
    </row>
    <row r="783">
      <c r="L783" s="69"/>
      <c r="M783" s="70"/>
      <c r="N783" s="69"/>
      <c r="O783" s="71"/>
    </row>
    <row r="784">
      <c r="L784" s="69"/>
      <c r="M784" s="70"/>
      <c r="N784" s="69"/>
      <c r="O784" s="71"/>
    </row>
    <row r="785">
      <c r="L785" s="69"/>
      <c r="M785" s="70"/>
      <c r="N785" s="69"/>
      <c r="O785" s="71"/>
    </row>
    <row r="786">
      <c r="L786" s="69"/>
      <c r="M786" s="70"/>
      <c r="N786" s="69"/>
      <c r="O786" s="71"/>
    </row>
    <row r="787">
      <c r="L787" s="69"/>
      <c r="M787" s="70"/>
      <c r="N787" s="69"/>
      <c r="O787" s="71"/>
    </row>
    <row r="788">
      <c r="L788" s="69"/>
      <c r="M788" s="70"/>
      <c r="N788" s="69"/>
      <c r="O788" s="71"/>
    </row>
    <row r="789">
      <c r="L789" s="69"/>
      <c r="M789" s="70"/>
      <c r="N789" s="69"/>
      <c r="O789" s="71"/>
    </row>
    <row r="790">
      <c r="L790" s="69"/>
      <c r="M790" s="70"/>
      <c r="N790" s="69"/>
      <c r="O790" s="71"/>
    </row>
    <row r="791">
      <c r="L791" s="69"/>
      <c r="M791" s="70"/>
      <c r="N791" s="69"/>
      <c r="O791" s="71"/>
    </row>
    <row r="792">
      <c r="L792" s="69"/>
      <c r="M792" s="70"/>
      <c r="N792" s="69"/>
      <c r="O792" s="71"/>
    </row>
    <row r="793">
      <c r="L793" s="69"/>
      <c r="M793" s="70"/>
      <c r="N793" s="69"/>
      <c r="O793" s="71"/>
    </row>
    <row r="794">
      <c r="L794" s="69"/>
      <c r="M794" s="70"/>
      <c r="N794" s="69"/>
      <c r="O794" s="71"/>
    </row>
    <row r="795">
      <c r="L795" s="69"/>
      <c r="M795" s="70"/>
      <c r="N795" s="69"/>
      <c r="O795" s="71"/>
    </row>
    <row r="796">
      <c r="L796" s="69"/>
      <c r="M796" s="70"/>
      <c r="N796" s="69"/>
      <c r="O796" s="71"/>
    </row>
    <row r="797">
      <c r="L797" s="69"/>
      <c r="M797" s="70"/>
      <c r="N797" s="69"/>
      <c r="O797" s="71"/>
    </row>
    <row r="798">
      <c r="L798" s="69"/>
      <c r="M798" s="70"/>
      <c r="N798" s="69"/>
      <c r="O798" s="71"/>
    </row>
    <row r="799">
      <c r="L799" s="69"/>
      <c r="M799" s="70"/>
      <c r="N799" s="69"/>
      <c r="O799" s="71"/>
    </row>
    <row r="800">
      <c r="L800" s="69"/>
      <c r="M800" s="70"/>
      <c r="N800" s="69"/>
      <c r="O800" s="71"/>
    </row>
    <row r="801">
      <c r="L801" s="69"/>
      <c r="M801" s="70"/>
      <c r="N801" s="69"/>
      <c r="O801" s="71"/>
    </row>
    <row r="802">
      <c r="L802" s="69"/>
      <c r="M802" s="70"/>
      <c r="N802" s="69"/>
      <c r="O802" s="71"/>
    </row>
    <row r="803">
      <c r="L803" s="69"/>
      <c r="M803" s="70"/>
      <c r="N803" s="69"/>
      <c r="O803" s="71"/>
    </row>
    <row r="804">
      <c r="L804" s="69"/>
      <c r="M804" s="70"/>
      <c r="N804" s="69"/>
      <c r="O804" s="71"/>
    </row>
    <row r="805">
      <c r="L805" s="69"/>
      <c r="M805" s="70"/>
      <c r="N805" s="69"/>
      <c r="O805" s="71"/>
    </row>
    <row r="806">
      <c r="L806" s="69"/>
      <c r="M806" s="70"/>
      <c r="N806" s="69"/>
      <c r="O806" s="71"/>
    </row>
    <row r="807">
      <c r="L807" s="69"/>
      <c r="M807" s="70"/>
      <c r="N807" s="69"/>
      <c r="O807" s="71"/>
    </row>
    <row r="808">
      <c r="L808" s="69"/>
      <c r="M808" s="70"/>
      <c r="N808" s="69"/>
      <c r="O808" s="71"/>
    </row>
    <row r="809">
      <c r="L809" s="69"/>
      <c r="M809" s="70"/>
      <c r="N809" s="69"/>
      <c r="O809" s="71"/>
    </row>
    <row r="810">
      <c r="L810" s="69"/>
      <c r="M810" s="70"/>
      <c r="N810" s="69"/>
      <c r="O810" s="71"/>
    </row>
    <row r="811">
      <c r="L811" s="69"/>
      <c r="M811" s="70"/>
      <c r="N811" s="69"/>
      <c r="O811" s="71"/>
    </row>
    <row r="812">
      <c r="L812" s="69"/>
      <c r="M812" s="70"/>
      <c r="N812" s="69"/>
      <c r="O812" s="71"/>
    </row>
    <row r="813">
      <c r="L813" s="69"/>
      <c r="M813" s="70"/>
      <c r="N813" s="69"/>
      <c r="O813" s="71"/>
    </row>
    <row r="814">
      <c r="L814" s="69"/>
      <c r="M814" s="70"/>
      <c r="N814" s="69"/>
      <c r="O814" s="71"/>
    </row>
    <row r="815">
      <c r="L815" s="69"/>
      <c r="M815" s="70"/>
      <c r="N815" s="69"/>
      <c r="O815" s="71"/>
    </row>
    <row r="816">
      <c r="L816" s="69"/>
      <c r="M816" s="70"/>
      <c r="N816" s="69"/>
      <c r="O816" s="71"/>
    </row>
    <row r="817">
      <c r="L817" s="69"/>
      <c r="M817" s="70"/>
      <c r="N817" s="69"/>
      <c r="O817" s="71"/>
    </row>
    <row r="818">
      <c r="L818" s="69"/>
      <c r="M818" s="70"/>
      <c r="N818" s="69"/>
      <c r="O818" s="71"/>
    </row>
    <row r="819">
      <c r="L819" s="69"/>
      <c r="M819" s="70"/>
      <c r="N819" s="69"/>
      <c r="O819" s="71"/>
    </row>
    <row r="820">
      <c r="L820" s="69"/>
      <c r="M820" s="70"/>
      <c r="N820" s="69"/>
      <c r="O820" s="71"/>
    </row>
    <row r="821">
      <c r="L821" s="69"/>
      <c r="M821" s="70"/>
      <c r="N821" s="69"/>
      <c r="O821" s="71"/>
    </row>
    <row r="822">
      <c r="L822" s="69"/>
      <c r="M822" s="70"/>
      <c r="N822" s="69"/>
      <c r="O822" s="71"/>
    </row>
    <row r="823">
      <c r="L823" s="69"/>
      <c r="M823" s="70"/>
      <c r="N823" s="69"/>
      <c r="O823" s="71"/>
    </row>
    <row r="824">
      <c r="L824" s="69"/>
      <c r="M824" s="70"/>
      <c r="N824" s="69"/>
      <c r="O824" s="71"/>
    </row>
    <row r="825">
      <c r="L825" s="69"/>
      <c r="M825" s="70"/>
      <c r="N825" s="69"/>
      <c r="O825" s="71"/>
    </row>
    <row r="826">
      <c r="L826" s="69"/>
      <c r="M826" s="70"/>
      <c r="N826" s="69"/>
      <c r="O826" s="71"/>
    </row>
    <row r="827">
      <c r="L827" s="69"/>
      <c r="M827" s="70"/>
      <c r="N827" s="69"/>
      <c r="O827" s="71"/>
    </row>
    <row r="828">
      <c r="L828" s="69"/>
      <c r="M828" s="70"/>
      <c r="N828" s="69"/>
      <c r="O828" s="71"/>
    </row>
    <row r="829">
      <c r="L829" s="69"/>
      <c r="M829" s="70"/>
      <c r="N829" s="69"/>
      <c r="O829" s="71"/>
    </row>
    <row r="830">
      <c r="L830" s="69"/>
      <c r="M830" s="70"/>
      <c r="N830" s="69"/>
      <c r="O830" s="71"/>
    </row>
    <row r="831">
      <c r="L831" s="69"/>
      <c r="M831" s="70"/>
      <c r="N831" s="69"/>
      <c r="O831" s="71"/>
    </row>
    <row r="832">
      <c r="L832" s="69"/>
      <c r="M832" s="70"/>
      <c r="N832" s="69"/>
      <c r="O832" s="71"/>
    </row>
    <row r="833">
      <c r="L833" s="69"/>
      <c r="M833" s="70"/>
      <c r="N833" s="69"/>
      <c r="O833" s="71"/>
    </row>
    <row r="834">
      <c r="L834" s="69"/>
      <c r="M834" s="70"/>
      <c r="N834" s="69"/>
      <c r="O834" s="71"/>
    </row>
    <row r="835">
      <c r="L835" s="69"/>
      <c r="M835" s="70"/>
      <c r="N835" s="69"/>
      <c r="O835" s="71"/>
    </row>
    <row r="836">
      <c r="L836" s="69"/>
      <c r="M836" s="70"/>
      <c r="N836" s="69"/>
      <c r="O836" s="71"/>
    </row>
    <row r="837">
      <c r="L837" s="69"/>
      <c r="M837" s="70"/>
      <c r="N837" s="69"/>
      <c r="O837" s="71"/>
    </row>
    <row r="838">
      <c r="L838" s="69"/>
      <c r="M838" s="70"/>
      <c r="N838" s="69"/>
      <c r="O838" s="71"/>
    </row>
    <row r="839">
      <c r="L839" s="69"/>
      <c r="M839" s="70"/>
      <c r="N839" s="69"/>
      <c r="O839" s="71"/>
    </row>
    <row r="840">
      <c r="L840" s="69"/>
      <c r="M840" s="70"/>
      <c r="N840" s="69"/>
      <c r="O840" s="71"/>
    </row>
    <row r="841">
      <c r="L841" s="69"/>
      <c r="M841" s="70"/>
      <c r="N841" s="69"/>
      <c r="O841" s="71"/>
    </row>
    <row r="842">
      <c r="L842" s="69"/>
      <c r="M842" s="70"/>
      <c r="N842" s="69"/>
      <c r="O842" s="71"/>
    </row>
    <row r="843">
      <c r="L843" s="69"/>
      <c r="M843" s="70"/>
      <c r="N843" s="69"/>
      <c r="O843" s="71"/>
    </row>
    <row r="844">
      <c r="L844" s="69"/>
      <c r="M844" s="70"/>
      <c r="N844" s="69"/>
      <c r="O844" s="71"/>
    </row>
    <row r="845">
      <c r="L845" s="69"/>
      <c r="M845" s="70"/>
      <c r="N845" s="69"/>
      <c r="O845" s="71"/>
    </row>
    <row r="846">
      <c r="L846" s="69"/>
      <c r="M846" s="70"/>
      <c r="N846" s="69"/>
      <c r="O846" s="71"/>
    </row>
    <row r="847">
      <c r="L847" s="69"/>
      <c r="M847" s="70"/>
      <c r="N847" s="69"/>
      <c r="O847" s="71"/>
    </row>
    <row r="848">
      <c r="L848" s="69"/>
      <c r="M848" s="70"/>
      <c r="N848" s="69"/>
      <c r="O848" s="71"/>
    </row>
    <row r="849">
      <c r="L849" s="69"/>
      <c r="M849" s="70"/>
      <c r="N849" s="69"/>
      <c r="O849" s="71"/>
    </row>
    <row r="850">
      <c r="L850" s="69"/>
      <c r="M850" s="70"/>
      <c r="N850" s="69"/>
      <c r="O850" s="71"/>
    </row>
    <row r="851">
      <c r="L851" s="69"/>
      <c r="M851" s="70"/>
      <c r="N851" s="69"/>
      <c r="O851" s="71"/>
    </row>
    <row r="852">
      <c r="L852" s="69"/>
      <c r="M852" s="70"/>
      <c r="N852" s="69"/>
      <c r="O852" s="71"/>
    </row>
    <row r="853">
      <c r="L853" s="69"/>
      <c r="M853" s="70"/>
      <c r="N853" s="69"/>
      <c r="O853" s="71"/>
    </row>
    <row r="854">
      <c r="L854" s="69"/>
      <c r="M854" s="70"/>
      <c r="N854" s="69"/>
      <c r="O854" s="71"/>
    </row>
    <row r="855">
      <c r="L855" s="69"/>
      <c r="M855" s="70"/>
      <c r="N855" s="69"/>
      <c r="O855" s="71"/>
    </row>
    <row r="856">
      <c r="L856" s="69"/>
      <c r="M856" s="70"/>
      <c r="N856" s="69"/>
      <c r="O856" s="71"/>
    </row>
    <row r="857">
      <c r="L857" s="69"/>
      <c r="M857" s="70"/>
      <c r="N857" s="69"/>
      <c r="O857" s="71"/>
    </row>
    <row r="858">
      <c r="L858" s="69"/>
      <c r="M858" s="70"/>
      <c r="N858" s="69"/>
      <c r="O858" s="71"/>
    </row>
    <row r="859">
      <c r="L859" s="69"/>
      <c r="M859" s="70"/>
      <c r="N859" s="69"/>
      <c r="O859" s="71"/>
    </row>
    <row r="860">
      <c r="L860" s="69"/>
      <c r="M860" s="70"/>
      <c r="N860" s="69"/>
      <c r="O860" s="71"/>
    </row>
    <row r="861">
      <c r="L861" s="69"/>
      <c r="M861" s="70"/>
      <c r="N861" s="69"/>
      <c r="O861" s="71"/>
    </row>
    <row r="862">
      <c r="L862" s="69"/>
      <c r="M862" s="70"/>
      <c r="N862" s="69"/>
      <c r="O862" s="71"/>
    </row>
    <row r="863">
      <c r="L863" s="69"/>
      <c r="M863" s="70"/>
      <c r="N863" s="69"/>
      <c r="O863" s="71"/>
    </row>
    <row r="864">
      <c r="L864" s="69"/>
      <c r="M864" s="70"/>
      <c r="N864" s="69"/>
      <c r="O864" s="71"/>
    </row>
    <row r="865">
      <c r="L865" s="69"/>
      <c r="M865" s="70"/>
      <c r="N865" s="69"/>
      <c r="O865" s="71"/>
    </row>
    <row r="866">
      <c r="L866" s="69"/>
      <c r="M866" s="70"/>
      <c r="N866" s="69"/>
      <c r="O866" s="71"/>
    </row>
    <row r="867">
      <c r="L867" s="69"/>
      <c r="M867" s="70"/>
      <c r="N867" s="69"/>
      <c r="O867" s="71"/>
    </row>
    <row r="868">
      <c r="L868" s="69"/>
      <c r="M868" s="70"/>
      <c r="N868" s="69"/>
      <c r="O868" s="71"/>
    </row>
    <row r="869">
      <c r="L869" s="69"/>
      <c r="M869" s="70"/>
      <c r="N869" s="69"/>
      <c r="O869" s="71"/>
    </row>
    <row r="870">
      <c r="L870" s="69"/>
      <c r="M870" s="70"/>
      <c r="N870" s="69"/>
      <c r="O870" s="71"/>
    </row>
    <row r="871">
      <c r="L871" s="69"/>
      <c r="M871" s="70"/>
      <c r="N871" s="69"/>
      <c r="O871" s="71"/>
    </row>
    <row r="872">
      <c r="L872" s="69"/>
      <c r="M872" s="70"/>
      <c r="N872" s="69"/>
      <c r="O872" s="71"/>
    </row>
    <row r="873">
      <c r="L873" s="69"/>
      <c r="M873" s="70"/>
      <c r="N873" s="69"/>
      <c r="O873" s="71"/>
    </row>
    <row r="874">
      <c r="L874" s="69"/>
      <c r="M874" s="70"/>
      <c r="N874" s="69"/>
      <c r="O874" s="71"/>
    </row>
    <row r="875">
      <c r="L875" s="69"/>
      <c r="M875" s="70"/>
      <c r="N875" s="69"/>
      <c r="O875" s="71"/>
    </row>
    <row r="876">
      <c r="L876" s="69"/>
      <c r="M876" s="70"/>
      <c r="N876" s="69"/>
      <c r="O876" s="71"/>
    </row>
    <row r="877">
      <c r="L877" s="69"/>
      <c r="M877" s="70"/>
      <c r="N877" s="69"/>
      <c r="O877" s="71"/>
    </row>
    <row r="878">
      <c r="L878" s="69"/>
      <c r="M878" s="70"/>
      <c r="N878" s="69"/>
      <c r="O878" s="71"/>
    </row>
    <row r="879">
      <c r="L879" s="69"/>
      <c r="M879" s="70"/>
      <c r="N879" s="69"/>
      <c r="O879" s="71"/>
    </row>
    <row r="880">
      <c r="L880" s="69"/>
      <c r="M880" s="70"/>
      <c r="N880" s="69"/>
      <c r="O880" s="71"/>
    </row>
    <row r="881">
      <c r="L881" s="69"/>
      <c r="M881" s="70"/>
      <c r="N881" s="69"/>
      <c r="O881" s="71"/>
    </row>
    <row r="882">
      <c r="L882" s="69"/>
      <c r="M882" s="70"/>
      <c r="N882" s="69"/>
      <c r="O882" s="71"/>
    </row>
    <row r="883">
      <c r="L883" s="69"/>
      <c r="M883" s="70"/>
      <c r="N883" s="69"/>
      <c r="O883" s="71"/>
    </row>
    <row r="884">
      <c r="L884" s="69"/>
      <c r="M884" s="70"/>
      <c r="N884" s="69"/>
      <c r="O884" s="71"/>
    </row>
    <row r="885">
      <c r="L885" s="69"/>
      <c r="M885" s="70"/>
      <c r="N885" s="69"/>
      <c r="O885" s="71"/>
    </row>
    <row r="886">
      <c r="L886" s="69"/>
      <c r="M886" s="70"/>
      <c r="N886" s="69"/>
      <c r="O886" s="71"/>
    </row>
    <row r="887">
      <c r="L887" s="69"/>
      <c r="M887" s="70"/>
      <c r="N887" s="69"/>
      <c r="O887" s="71"/>
    </row>
    <row r="888">
      <c r="L888" s="69"/>
      <c r="M888" s="70"/>
      <c r="N888" s="69"/>
      <c r="O888" s="71"/>
    </row>
    <row r="889">
      <c r="L889" s="69"/>
      <c r="M889" s="70"/>
      <c r="N889" s="69"/>
      <c r="O889" s="71"/>
    </row>
    <row r="890">
      <c r="L890" s="69"/>
      <c r="M890" s="70"/>
      <c r="N890" s="69"/>
      <c r="O890" s="71"/>
    </row>
    <row r="891">
      <c r="L891" s="69"/>
      <c r="M891" s="70"/>
      <c r="N891" s="69"/>
      <c r="O891" s="71"/>
    </row>
    <row r="892">
      <c r="L892" s="69"/>
      <c r="M892" s="70"/>
      <c r="N892" s="69"/>
      <c r="O892" s="71"/>
    </row>
    <row r="893">
      <c r="L893" s="69"/>
      <c r="M893" s="70"/>
      <c r="N893" s="69"/>
      <c r="O893" s="71"/>
    </row>
    <row r="894">
      <c r="L894" s="69"/>
      <c r="M894" s="70"/>
      <c r="N894" s="69"/>
      <c r="O894" s="71"/>
    </row>
    <row r="895">
      <c r="L895" s="69"/>
      <c r="M895" s="70"/>
      <c r="N895" s="69"/>
      <c r="O895" s="71"/>
    </row>
    <row r="896">
      <c r="L896" s="69"/>
      <c r="M896" s="70"/>
      <c r="N896" s="69"/>
      <c r="O896" s="71"/>
    </row>
    <row r="897">
      <c r="L897" s="69"/>
      <c r="M897" s="70"/>
      <c r="N897" s="69"/>
      <c r="O897" s="71"/>
    </row>
    <row r="898">
      <c r="L898" s="69"/>
      <c r="M898" s="70"/>
      <c r="N898" s="69"/>
      <c r="O898" s="71"/>
    </row>
    <row r="899">
      <c r="L899" s="69"/>
      <c r="M899" s="70"/>
      <c r="N899" s="69"/>
      <c r="O899" s="71"/>
    </row>
    <row r="900">
      <c r="L900" s="69"/>
      <c r="M900" s="70"/>
      <c r="N900" s="69"/>
      <c r="O900" s="71"/>
    </row>
    <row r="901">
      <c r="L901" s="69"/>
      <c r="M901" s="70"/>
      <c r="N901" s="69"/>
      <c r="O901" s="71"/>
    </row>
    <row r="902">
      <c r="L902" s="69"/>
      <c r="M902" s="70"/>
      <c r="N902" s="69"/>
      <c r="O902" s="71"/>
    </row>
    <row r="903">
      <c r="L903" s="69"/>
      <c r="M903" s="70"/>
      <c r="N903" s="69"/>
      <c r="O903" s="71"/>
    </row>
    <row r="904">
      <c r="L904" s="69"/>
      <c r="M904" s="70"/>
      <c r="N904" s="69"/>
      <c r="O904" s="71"/>
    </row>
    <row r="905">
      <c r="L905" s="69"/>
      <c r="M905" s="70"/>
      <c r="N905" s="69"/>
      <c r="O905" s="71"/>
    </row>
    <row r="906">
      <c r="L906" s="69"/>
      <c r="M906" s="70"/>
      <c r="N906" s="69"/>
      <c r="O906" s="71"/>
    </row>
    <row r="907">
      <c r="L907" s="69"/>
      <c r="M907" s="70"/>
      <c r="N907" s="69"/>
      <c r="O907" s="71"/>
    </row>
    <row r="908">
      <c r="L908" s="69"/>
      <c r="M908" s="70"/>
      <c r="N908" s="69"/>
      <c r="O908" s="71"/>
    </row>
    <row r="909">
      <c r="L909" s="69"/>
      <c r="M909" s="70"/>
      <c r="N909" s="69"/>
      <c r="O909" s="71"/>
    </row>
    <row r="910">
      <c r="L910" s="69"/>
      <c r="M910" s="70"/>
      <c r="N910" s="69"/>
      <c r="O910" s="71"/>
    </row>
    <row r="911">
      <c r="L911" s="69"/>
      <c r="M911" s="70"/>
      <c r="N911" s="69"/>
      <c r="O911" s="71"/>
    </row>
    <row r="912">
      <c r="L912" s="69"/>
      <c r="M912" s="70"/>
      <c r="N912" s="69"/>
      <c r="O912" s="71"/>
    </row>
    <row r="913">
      <c r="L913" s="69"/>
      <c r="M913" s="70"/>
      <c r="N913" s="69"/>
      <c r="O913" s="71"/>
    </row>
    <row r="914">
      <c r="L914" s="69"/>
      <c r="M914" s="70"/>
      <c r="N914" s="69"/>
      <c r="O914" s="71"/>
    </row>
    <row r="915">
      <c r="L915" s="69"/>
      <c r="M915" s="70"/>
      <c r="N915" s="69"/>
      <c r="O915" s="71"/>
    </row>
    <row r="916">
      <c r="L916" s="69"/>
      <c r="M916" s="70"/>
      <c r="N916" s="69"/>
      <c r="O916" s="71"/>
    </row>
    <row r="917">
      <c r="L917" s="69"/>
      <c r="M917" s="70"/>
      <c r="N917" s="69"/>
      <c r="O917" s="71"/>
    </row>
    <row r="918">
      <c r="L918" s="69"/>
      <c r="M918" s="70"/>
      <c r="N918" s="69"/>
      <c r="O918" s="71"/>
    </row>
    <row r="919">
      <c r="L919" s="69"/>
      <c r="M919" s="70"/>
      <c r="N919" s="69"/>
      <c r="O919" s="71"/>
    </row>
    <row r="920">
      <c r="L920" s="69"/>
      <c r="M920" s="70"/>
      <c r="N920" s="69"/>
      <c r="O920" s="71"/>
    </row>
    <row r="921">
      <c r="L921" s="69"/>
      <c r="M921" s="70"/>
      <c r="N921" s="69"/>
      <c r="O921" s="71"/>
    </row>
    <row r="922">
      <c r="L922" s="69"/>
      <c r="M922" s="70"/>
      <c r="N922" s="69"/>
      <c r="O922" s="71"/>
    </row>
    <row r="923">
      <c r="L923" s="69"/>
      <c r="M923" s="70"/>
      <c r="N923" s="69"/>
      <c r="O923" s="71"/>
    </row>
    <row r="924">
      <c r="L924" s="69"/>
      <c r="M924" s="70"/>
      <c r="N924" s="69"/>
      <c r="O924" s="71"/>
    </row>
    <row r="925">
      <c r="L925" s="69"/>
      <c r="M925" s="70"/>
      <c r="N925" s="69"/>
      <c r="O925" s="71"/>
    </row>
    <row r="926">
      <c r="L926" s="69"/>
      <c r="M926" s="70"/>
      <c r="N926" s="69"/>
      <c r="O926" s="71"/>
    </row>
    <row r="927">
      <c r="L927" s="69"/>
      <c r="M927" s="70"/>
      <c r="N927" s="69"/>
      <c r="O927" s="71"/>
    </row>
    <row r="928">
      <c r="L928" s="69"/>
      <c r="M928" s="70"/>
      <c r="N928" s="69"/>
      <c r="O928" s="71"/>
    </row>
    <row r="929">
      <c r="L929" s="69"/>
      <c r="M929" s="70"/>
      <c r="N929" s="69"/>
      <c r="O929" s="71"/>
    </row>
    <row r="930">
      <c r="L930" s="69"/>
      <c r="M930" s="70"/>
      <c r="N930" s="69"/>
      <c r="O930" s="71"/>
    </row>
    <row r="931">
      <c r="L931" s="69"/>
      <c r="M931" s="70"/>
      <c r="N931" s="69"/>
      <c r="O931" s="71"/>
    </row>
    <row r="932">
      <c r="L932" s="69"/>
      <c r="M932" s="70"/>
      <c r="N932" s="69"/>
      <c r="O932" s="71"/>
    </row>
    <row r="933">
      <c r="L933" s="69"/>
      <c r="M933" s="70"/>
      <c r="N933" s="69"/>
      <c r="O933" s="71"/>
    </row>
    <row r="934">
      <c r="L934" s="69"/>
      <c r="M934" s="70"/>
      <c r="N934" s="69"/>
      <c r="O934" s="71"/>
    </row>
    <row r="935">
      <c r="L935" s="69"/>
      <c r="M935" s="70"/>
      <c r="N935" s="69"/>
      <c r="O935" s="71"/>
    </row>
    <row r="936">
      <c r="L936" s="69"/>
      <c r="M936" s="70"/>
      <c r="N936" s="69"/>
      <c r="O936" s="71"/>
    </row>
    <row r="937">
      <c r="L937" s="69"/>
      <c r="M937" s="70"/>
      <c r="N937" s="69"/>
      <c r="O937" s="71"/>
    </row>
    <row r="938">
      <c r="L938" s="69"/>
      <c r="M938" s="70"/>
      <c r="N938" s="69"/>
      <c r="O938" s="71"/>
    </row>
    <row r="939">
      <c r="L939" s="69"/>
      <c r="M939" s="70"/>
      <c r="N939" s="69"/>
      <c r="O939" s="71"/>
    </row>
    <row r="940">
      <c r="L940" s="69"/>
      <c r="M940" s="70"/>
      <c r="N940" s="69"/>
      <c r="O940" s="71"/>
    </row>
    <row r="941">
      <c r="L941" s="69"/>
      <c r="M941" s="70"/>
      <c r="N941" s="69"/>
      <c r="O941" s="71"/>
    </row>
    <row r="942">
      <c r="L942" s="69"/>
      <c r="M942" s="70"/>
      <c r="N942" s="69"/>
      <c r="O942" s="71"/>
    </row>
    <row r="943">
      <c r="L943" s="69"/>
      <c r="M943" s="70"/>
      <c r="N943" s="69"/>
      <c r="O943" s="71"/>
    </row>
    <row r="944">
      <c r="L944" s="69"/>
      <c r="M944" s="70"/>
      <c r="N944" s="69"/>
      <c r="O944" s="71"/>
    </row>
    <row r="945">
      <c r="L945" s="69"/>
      <c r="M945" s="70"/>
      <c r="N945" s="69"/>
      <c r="O945" s="71"/>
    </row>
    <row r="946">
      <c r="L946" s="69"/>
      <c r="M946" s="70"/>
      <c r="N946" s="69"/>
      <c r="O946" s="71"/>
    </row>
    <row r="947">
      <c r="L947" s="69"/>
      <c r="M947" s="70"/>
      <c r="N947" s="69"/>
      <c r="O947" s="71"/>
    </row>
    <row r="948">
      <c r="L948" s="69"/>
      <c r="M948" s="70"/>
      <c r="N948" s="69"/>
      <c r="O948" s="71"/>
    </row>
    <row r="949">
      <c r="L949" s="69"/>
      <c r="M949" s="70"/>
      <c r="N949" s="69"/>
      <c r="O949" s="71"/>
    </row>
    <row r="950">
      <c r="L950" s="69"/>
      <c r="M950" s="70"/>
      <c r="N950" s="69"/>
      <c r="O950" s="71"/>
    </row>
    <row r="951">
      <c r="L951" s="69"/>
      <c r="M951" s="70"/>
      <c r="N951" s="69"/>
      <c r="O951" s="71"/>
    </row>
    <row r="952">
      <c r="L952" s="69"/>
      <c r="M952" s="70"/>
      <c r="N952" s="69"/>
      <c r="O952" s="71"/>
    </row>
    <row r="953">
      <c r="L953" s="69"/>
      <c r="M953" s="70"/>
      <c r="N953" s="69"/>
      <c r="O953" s="71"/>
    </row>
    <row r="954">
      <c r="L954" s="69"/>
      <c r="M954" s="70"/>
      <c r="N954" s="69"/>
      <c r="O954" s="71"/>
    </row>
    <row r="955">
      <c r="L955" s="69"/>
      <c r="M955" s="70"/>
      <c r="N955" s="69"/>
      <c r="O955" s="71"/>
    </row>
    <row r="956">
      <c r="L956" s="69"/>
      <c r="M956" s="70"/>
      <c r="N956" s="69"/>
      <c r="O956" s="71"/>
    </row>
    <row r="957">
      <c r="L957" s="69"/>
      <c r="M957" s="70"/>
      <c r="N957" s="69"/>
      <c r="O957" s="71"/>
    </row>
    <row r="958">
      <c r="L958" s="69"/>
      <c r="M958" s="70"/>
      <c r="N958" s="69"/>
      <c r="O958" s="71"/>
    </row>
    <row r="959">
      <c r="L959" s="69"/>
      <c r="M959" s="70"/>
      <c r="N959" s="69"/>
      <c r="O959" s="71"/>
    </row>
    <row r="960">
      <c r="L960" s="69"/>
      <c r="M960" s="70"/>
      <c r="N960" s="69"/>
      <c r="O960" s="71"/>
    </row>
    <row r="961">
      <c r="L961" s="69"/>
      <c r="M961" s="70"/>
      <c r="N961" s="69"/>
      <c r="O961" s="71"/>
    </row>
    <row r="962">
      <c r="L962" s="69"/>
      <c r="M962" s="70"/>
      <c r="N962" s="69"/>
      <c r="O962" s="71"/>
    </row>
    <row r="963">
      <c r="L963" s="69"/>
      <c r="M963" s="70"/>
      <c r="N963" s="69"/>
      <c r="O963" s="71"/>
    </row>
    <row r="964">
      <c r="L964" s="69"/>
      <c r="M964" s="70"/>
      <c r="N964" s="69"/>
      <c r="O964" s="71"/>
    </row>
    <row r="965">
      <c r="L965" s="69"/>
      <c r="M965" s="70"/>
      <c r="N965" s="69"/>
      <c r="O965" s="71"/>
    </row>
    <row r="966">
      <c r="L966" s="69"/>
      <c r="M966" s="70"/>
      <c r="N966" s="69"/>
      <c r="O966" s="71"/>
    </row>
    <row r="967">
      <c r="L967" s="69"/>
      <c r="M967" s="70"/>
      <c r="N967" s="69"/>
      <c r="O967" s="71"/>
    </row>
    <row r="968">
      <c r="L968" s="69"/>
      <c r="M968" s="70"/>
      <c r="N968" s="69"/>
      <c r="O968" s="71"/>
    </row>
    <row r="969">
      <c r="L969" s="69"/>
      <c r="M969" s="70"/>
      <c r="N969" s="69"/>
      <c r="O969" s="71"/>
    </row>
    <row r="970">
      <c r="L970" s="69"/>
      <c r="M970" s="70"/>
      <c r="N970" s="69"/>
      <c r="O970" s="71"/>
    </row>
    <row r="971">
      <c r="L971" s="69"/>
      <c r="M971" s="70"/>
      <c r="N971" s="69"/>
      <c r="O971" s="71"/>
    </row>
    <row r="972">
      <c r="L972" s="69"/>
      <c r="M972" s="70"/>
      <c r="N972" s="69"/>
      <c r="O972" s="71"/>
    </row>
    <row r="973">
      <c r="L973" s="69"/>
      <c r="M973" s="70"/>
      <c r="N973" s="69"/>
      <c r="O973" s="71"/>
    </row>
    <row r="974">
      <c r="L974" s="69"/>
      <c r="M974" s="70"/>
      <c r="N974" s="69"/>
      <c r="O974" s="71"/>
    </row>
    <row r="975">
      <c r="L975" s="69"/>
      <c r="M975" s="70"/>
      <c r="N975" s="69"/>
      <c r="O975" s="71"/>
    </row>
    <row r="976">
      <c r="L976" s="69"/>
      <c r="M976" s="70"/>
      <c r="N976" s="69"/>
      <c r="O976" s="71"/>
    </row>
    <row r="977">
      <c r="L977" s="69"/>
      <c r="M977" s="70"/>
      <c r="N977" s="69"/>
      <c r="O977" s="71"/>
    </row>
    <row r="978">
      <c r="L978" s="69"/>
      <c r="M978" s="70"/>
      <c r="N978" s="69"/>
      <c r="O978" s="71"/>
    </row>
    <row r="979">
      <c r="L979" s="69"/>
      <c r="M979" s="70"/>
      <c r="N979" s="69"/>
      <c r="O979" s="71"/>
    </row>
    <row r="980">
      <c r="L980" s="69"/>
      <c r="M980" s="70"/>
      <c r="N980" s="69"/>
      <c r="O980" s="71"/>
    </row>
    <row r="981">
      <c r="L981" s="69"/>
      <c r="M981" s="70"/>
      <c r="N981" s="69"/>
      <c r="O981" s="71"/>
    </row>
    <row r="982">
      <c r="L982" s="69"/>
      <c r="M982" s="70"/>
      <c r="N982" s="69"/>
      <c r="O982" s="71"/>
    </row>
    <row r="983">
      <c r="L983" s="69"/>
      <c r="M983" s="70"/>
      <c r="N983" s="69"/>
      <c r="O983" s="71"/>
    </row>
    <row r="984">
      <c r="L984" s="69"/>
      <c r="M984" s="70"/>
      <c r="N984" s="69"/>
      <c r="O984" s="71"/>
    </row>
    <row r="985">
      <c r="L985" s="69"/>
      <c r="M985" s="70"/>
      <c r="N985" s="69"/>
      <c r="O985" s="71"/>
    </row>
    <row r="986">
      <c r="L986" s="69"/>
      <c r="M986" s="70"/>
      <c r="N986" s="69"/>
      <c r="O986" s="71"/>
    </row>
    <row r="987">
      <c r="L987" s="69"/>
      <c r="M987" s="70"/>
      <c r="N987" s="69"/>
      <c r="O987" s="71"/>
    </row>
    <row r="988">
      <c r="L988" s="69"/>
      <c r="M988" s="70"/>
      <c r="N988" s="69"/>
      <c r="O988" s="71"/>
    </row>
    <row r="989">
      <c r="L989" s="69"/>
      <c r="M989" s="70"/>
      <c r="N989" s="69"/>
      <c r="O989" s="71"/>
    </row>
    <row r="990">
      <c r="L990" s="69"/>
      <c r="M990" s="70"/>
      <c r="N990" s="69"/>
      <c r="O990" s="71"/>
    </row>
    <row r="991">
      <c r="L991" s="69"/>
      <c r="M991" s="70"/>
      <c r="N991" s="69"/>
      <c r="O991" s="71"/>
    </row>
    <row r="992">
      <c r="L992" s="69"/>
      <c r="M992" s="70"/>
      <c r="N992" s="69"/>
      <c r="O992" s="71"/>
    </row>
    <row r="993">
      <c r="L993" s="69"/>
      <c r="M993" s="70"/>
      <c r="N993" s="69"/>
      <c r="O993" s="71"/>
    </row>
    <row r="994">
      <c r="L994" s="69"/>
      <c r="M994" s="70"/>
      <c r="N994" s="69"/>
      <c r="O994" s="71"/>
    </row>
    <row r="995">
      <c r="L995" s="69"/>
      <c r="M995" s="70"/>
      <c r="N995" s="69"/>
      <c r="O995" s="71"/>
    </row>
    <row r="996">
      <c r="L996" s="69"/>
      <c r="M996" s="70"/>
      <c r="N996" s="69"/>
      <c r="O996" s="71"/>
    </row>
    <row r="997">
      <c r="L997" s="69"/>
      <c r="M997" s="70"/>
      <c r="N997" s="69"/>
      <c r="O997" s="71"/>
    </row>
    <row r="998">
      <c r="L998" s="69"/>
      <c r="M998" s="70"/>
      <c r="N998" s="69"/>
      <c r="O998" s="71"/>
    </row>
    <row r="999">
      <c r="L999" s="69"/>
      <c r="M999" s="70"/>
      <c r="N999" s="69"/>
      <c r="O999" s="71"/>
    </row>
    <row r="1000">
      <c r="L1000" s="69"/>
      <c r="M1000" s="70"/>
      <c r="N1000" s="69"/>
      <c r="O1000" s="71"/>
    </row>
    <row r="1001">
      <c r="L1001" s="69"/>
      <c r="M1001" s="70"/>
      <c r="N1001" s="69"/>
      <c r="O1001" s="71"/>
    </row>
    <row r="1002">
      <c r="L1002" s="69"/>
      <c r="M1002" s="70"/>
      <c r="N1002" s="69"/>
      <c r="O1002" s="71"/>
    </row>
    <row r="1003">
      <c r="L1003" s="69"/>
      <c r="M1003" s="70"/>
      <c r="N1003" s="69"/>
      <c r="O1003" s="71"/>
    </row>
    <row r="1004">
      <c r="L1004" s="69"/>
      <c r="M1004" s="70"/>
      <c r="N1004" s="69"/>
      <c r="O1004" s="71"/>
    </row>
    <row r="1005">
      <c r="L1005" s="69"/>
      <c r="M1005" s="70"/>
      <c r="N1005" s="69"/>
      <c r="O1005" s="71"/>
    </row>
    <row r="1006">
      <c r="L1006" s="69"/>
      <c r="M1006" s="70"/>
      <c r="N1006" s="69"/>
      <c r="O1006" s="71"/>
    </row>
    <row r="1007">
      <c r="L1007" s="69"/>
      <c r="M1007" s="70"/>
      <c r="N1007" s="69"/>
      <c r="O1007" s="71"/>
    </row>
    <row r="1008">
      <c r="L1008" s="69"/>
      <c r="M1008" s="70"/>
      <c r="N1008" s="69"/>
      <c r="O1008" s="71"/>
    </row>
    <row r="1009">
      <c r="L1009" s="69"/>
      <c r="M1009" s="70"/>
      <c r="N1009" s="69"/>
      <c r="O1009" s="71"/>
    </row>
    <row r="1010">
      <c r="L1010" s="69"/>
      <c r="M1010" s="70"/>
      <c r="N1010" s="69"/>
      <c r="O1010" s="71"/>
    </row>
    <row r="1011">
      <c r="L1011" s="69"/>
      <c r="M1011" s="70"/>
      <c r="N1011" s="69"/>
      <c r="O1011" s="71"/>
    </row>
    <row r="1012">
      <c r="L1012" s="69"/>
      <c r="M1012" s="70"/>
      <c r="N1012" s="69"/>
      <c r="O1012" s="71"/>
    </row>
    <row r="1013">
      <c r="L1013" s="69"/>
      <c r="M1013" s="70"/>
      <c r="N1013" s="69"/>
      <c r="O1013" s="71"/>
    </row>
    <row r="1014">
      <c r="L1014" s="69"/>
      <c r="M1014" s="70"/>
      <c r="N1014" s="69"/>
      <c r="O1014" s="71"/>
    </row>
    <row r="1015">
      <c r="L1015" s="69"/>
      <c r="M1015" s="70"/>
      <c r="N1015" s="69"/>
      <c r="O1015" s="71"/>
    </row>
    <row r="1016">
      <c r="L1016" s="69"/>
      <c r="M1016" s="70"/>
      <c r="N1016" s="69"/>
      <c r="O1016" s="71"/>
    </row>
    <row r="1017">
      <c r="L1017" s="69"/>
      <c r="M1017" s="70"/>
      <c r="N1017" s="69"/>
      <c r="O1017" s="71"/>
    </row>
    <row r="1018">
      <c r="L1018" s="69"/>
      <c r="M1018" s="70"/>
      <c r="N1018" s="69"/>
      <c r="O1018" s="71"/>
    </row>
    <row r="1019">
      <c r="L1019" s="69"/>
      <c r="M1019" s="70"/>
      <c r="N1019" s="69"/>
      <c r="O1019" s="71"/>
    </row>
    <row r="1020">
      <c r="L1020" s="69"/>
      <c r="M1020" s="70"/>
      <c r="N1020" s="69"/>
      <c r="O1020" s="71"/>
    </row>
    <row r="1021">
      <c r="L1021" s="69"/>
      <c r="M1021" s="70"/>
      <c r="N1021" s="69"/>
      <c r="O1021" s="71"/>
    </row>
    <row r="1022">
      <c r="L1022" s="69"/>
      <c r="M1022" s="70"/>
      <c r="N1022" s="69"/>
      <c r="O1022" s="71"/>
    </row>
    <row r="1023">
      <c r="L1023" s="69"/>
      <c r="M1023" s="70"/>
      <c r="N1023" s="69"/>
      <c r="O1023" s="71"/>
    </row>
    <row r="1024">
      <c r="L1024" s="69"/>
      <c r="M1024" s="70"/>
      <c r="N1024" s="69"/>
      <c r="O1024" s="71"/>
    </row>
    <row r="1025">
      <c r="L1025" s="69"/>
      <c r="M1025" s="70"/>
      <c r="N1025" s="69"/>
      <c r="O1025" s="71"/>
    </row>
    <row r="1026">
      <c r="L1026" s="69"/>
      <c r="M1026" s="70"/>
      <c r="N1026" s="69"/>
      <c r="O1026" s="71"/>
    </row>
    <row r="1027">
      <c r="L1027" s="69"/>
      <c r="M1027" s="70"/>
      <c r="N1027" s="69"/>
      <c r="O1027" s="71"/>
    </row>
    <row r="1028">
      <c r="L1028" s="69"/>
      <c r="M1028" s="70"/>
      <c r="N1028" s="69"/>
      <c r="O1028" s="71"/>
    </row>
    <row r="1029">
      <c r="L1029" s="69"/>
      <c r="M1029" s="70"/>
      <c r="N1029" s="69"/>
      <c r="O1029" s="71"/>
    </row>
    <row r="1030">
      <c r="L1030" s="69"/>
      <c r="M1030" s="70"/>
      <c r="N1030" s="69"/>
      <c r="O1030" s="71"/>
    </row>
    <row r="1031">
      <c r="L1031" s="69"/>
      <c r="M1031" s="70"/>
      <c r="N1031" s="69"/>
      <c r="O1031" s="71"/>
    </row>
    <row r="1032">
      <c r="L1032" s="69"/>
      <c r="M1032" s="70"/>
      <c r="N1032" s="69"/>
      <c r="O1032" s="71"/>
    </row>
    <row r="1033">
      <c r="L1033" s="69"/>
      <c r="M1033" s="70"/>
      <c r="N1033" s="69"/>
      <c r="O1033" s="71"/>
    </row>
    <row r="1034">
      <c r="L1034" s="69"/>
      <c r="M1034" s="70"/>
      <c r="N1034" s="69"/>
      <c r="O1034" s="71"/>
    </row>
    <row r="1035">
      <c r="L1035" s="69"/>
      <c r="M1035" s="70"/>
      <c r="N1035" s="69"/>
      <c r="O1035" s="71"/>
    </row>
    <row r="1036">
      <c r="L1036" s="69"/>
      <c r="M1036" s="70"/>
      <c r="N1036" s="69"/>
      <c r="O1036" s="71"/>
    </row>
    <row r="1037">
      <c r="L1037" s="69"/>
      <c r="M1037" s="70"/>
      <c r="N1037" s="69"/>
      <c r="O1037" s="71"/>
    </row>
    <row r="1038">
      <c r="L1038" s="69"/>
      <c r="M1038" s="70"/>
      <c r="N1038" s="69"/>
      <c r="O1038" s="71"/>
    </row>
    <row r="1039">
      <c r="L1039" s="69"/>
      <c r="M1039" s="70"/>
      <c r="N1039" s="69"/>
      <c r="O1039" s="71"/>
    </row>
    <row r="1040">
      <c r="L1040" s="69"/>
      <c r="M1040" s="70"/>
      <c r="N1040" s="69"/>
      <c r="O1040" s="71"/>
    </row>
    <row r="1041">
      <c r="L1041" s="69"/>
      <c r="M1041" s="70"/>
      <c r="N1041" s="69"/>
      <c r="O1041" s="71"/>
    </row>
    <row r="1042">
      <c r="L1042" s="69"/>
      <c r="M1042" s="70"/>
      <c r="N1042" s="69"/>
      <c r="O1042" s="71"/>
    </row>
    <row r="1043">
      <c r="L1043" s="69"/>
      <c r="M1043" s="70"/>
      <c r="N1043" s="69"/>
      <c r="O1043" s="71"/>
    </row>
    <row r="1044">
      <c r="L1044" s="69"/>
      <c r="M1044" s="70"/>
      <c r="N1044" s="69"/>
      <c r="O1044" s="71"/>
    </row>
    <row r="1045">
      <c r="L1045" s="69"/>
      <c r="M1045" s="70"/>
      <c r="N1045" s="69"/>
      <c r="O1045" s="71"/>
    </row>
    <row r="1046">
      <c r="L1046" s="69"/>
      <c r="M1046" s="70"/>
      <c r="N1046" s="69"/>
      <c r="O1046" s="71"/>
    </row>
    <row r="1047">
      <c r="L1047" s="69"/>
      <c r="M1047" s="70"/>
      <c r="N1047" s="69"/>
      <c r="O1047" s="71"/>
    </row>
    <row r="1048">
      <c r="L1048" s="69"/>
      <c r="M1048" s="70"/>
      <c r="N1048" s="69"/>
      <c r="O1048" s="71"/>
    </row>
    <row r="1049">
      <c r="L1049" s="69"/>
      <c r="M1049" s="70"/>
      <c r="N1049" s="69"/>
      <c r="O1049" s="71"/>
    </row>
    <row r="1050">
      <c r="L1050" s="69"/>
      <c r="M1050" s="70"/>
      <c r="N1050" s="69"/>
      <c r="O1050" s="71"/>
    </row>
    <row r="1051">
      <c r="L1051" s="69"/>
      <c r="M1051" s="70"/>
      <c r="N1051" s="69"/>
      <c r="O1051" s="71"/>
    </row>
    <row r="1052">
      <c r="L1052" s="69"/>
      <c r="M1052" s="70"/>
      <c r="N1052" s="69"/>
      <c r="O1052" s="71"/>
    </row>
    <row r="1053">
      <c r="L1053" s="69"/>
      <c r="M1053" s="70"/>
      <c r="N1053" s="69"/>
      <c r="O1053" s="71"/>
    </row>
    <row r="1054">
      <c r="L1054" s="69"/>
      <c r="M1054" s="70"/>
      <c r="N1054" s="69"/>
      <c r="O1054" s="71"/>
    </row>
    <row r="1055">
      <c r="L1055" s="69"/>
      <c r="M1055" s="70"/>
      <c r="N1055" s="69"/>
      <c r="O1055" s="71"/>
    </row>
    <row r="1056">
      <c r="L1056" s="69"/>
      <c r="M1056" s="70"/>
      <c r="N1056" s="69"/>
      <c r="O1056" s="71"/>
    </row>
    <row r="1057">
      <c r="L1057" s="69"/>
      <c r="M1057" s="70"/>
      <c r="N1057" s="69"/>
      <c r="O1057" s="71"/>
    </row>
    <row r="1058">
      <c r="L1058" s="69"/>
      <c r="M1058" s="70"/>
      <c r="N1058" s="69"/>
      <c r="O1058" s="71"/>
    </row>
    <row r="1059">
      <c r="L1059" s="69"/>
      <c r="M1059" s="70"/>
      <c r="N1059" s="69"/>
      <c r="O1059" s="71"/>
    </row>
    <row r="1060">
      <c r="L1060" s="69"/>
      <c r="M1060" s="70"/>
      <c r="N1060" s="69"/>
      <c r="O1060" s="71"/>
    </row>
    <row r="1061">
      <c r="L1061" s="69"/>
      <c r="M1061" s="70"/>
      <c r="N1061" s="69"/>
      <c r="O1061" s="71"/>
    </row>
    <row r="1062">
      <c r="L1062" s="69"/>
      <c r="M1062" s="70"/>
      <c r="N1062" s="69"/>
      <c r="O1062" s="71"/>
    </row>
    <row r="1063">
      <c r="L1063" s="69"/>
      <c r="M1063" s="70"/>
      <c r="N1063" s="69"/>
      <c r="O1063" s="71"/>
    </row>
    <row r="1064">
      <c r="L1064" s="69"/>
      <c r="M1064" s="70"/>
      <c r="N1064" s="69"/>
      <c r="O1064" s="71"/>
    </row>
    <row r="1065">
      <c r="L1065" s="69"/>
      <c r="M1065" s="70"/>
      <c r="N1065" s="69"/>
      <c r="O1065" s="71"/>
    </row>
    <row r="1066">
      <c r="L1066" s="69"/>
      <c r="M1066" s="70"/>
      <c r="N1066" s="69"/>
      <c r="O1066" s="71"/>
    </row>
    <row r="1067">
      <c r="L1067" s="69"/>
      <c r="M1067" s="70"/>
      <c r="N1067" s="69"/>
      <c r="O1067" s="71"/>
    </row>
    <row r="1068">
      <c r="L1068" s="69"/>
      <c r="M1068" s="70"/>
      <c r="N1068" s="69"/>
      <c r="O1068" s="71"/>
    </row>
    <row r="1069">
      <c r="L1069" s="69"/>
      <c r="M1069" s="70"/>
      <c r="N1069" s="69"/>
      <c r="O1069" s="71"/>
    </row>
    <row r="1070">
      <c r="L1070" s="69"/>
      <c r="M1070" s="70"/>
      <c r="N1070" s="69"/>
      <c r="O1070" s="71"/>
    </row>
    <row r="1071">
      <c r="L1071" s="69"/>
      <c r="M1071" s="70"/>
      <c r="N1071" s="69"/>
      <c r="O1071" s="71"/>
    </row>
    <row r="1072">
      <c r="L1072" s="69"/>
      <c r="M1072" s="70"/>
      <c r="N1072" s="69"/>
      <c r="O1072" s="71"/>
    </row>
    <row r="1073">
      <c r="L1073" s="69"/>
      <c r="M1073" s="70"/>
      <c r="N1073" s="69"/>
      <c r="O1073" s="71"/>
    </row>
    <row r="1074">
      <c r="L1074" s="69"/>
      <c r="M1074" s="70"/>
      <c r="N1074" s="69"/>
      <c r="O1074" s="71"/>
    </row>
    <row r="1075">
      <c r="L1075" s="69"/>
      <c r="M1075" s="70"/>
      <c r="N1075" s="69"/>
      <c r="O1075" s="71"/>
    </row>
    <row r="1076">
      <c r="L1076" s="69"/>
      <c r="M1076" s="70"/>
      <c r="N1076" s="69"/>
      <c r="O1076" s="71"/>
    </row>
    <row r="1077">
      <c r="L1077" s="69"/>
      <c r="M1077" s="70"/>
      <c r="N1077" s="69"/>
      <c r="O1077" s="71"/>
    </row>
    <row r="1078">
      <c r="L1078" s="69"/>
      <c r="M1078" s="70"/>
      <c r="N1078" s="69"/>
      <c r="O1078" s="71"/>
    </row>
    <row r="1079">
      <c r="L1079" s="69"/>
      <c r="M1079" s="70"/>
      <c r="N1079" s="69"/>
      <c r="O1079" s="71"/>
    </row>
    <row r="1080">
      <c r="L1080" s="69"/>
      <c r="M1080" s="70"/>
      <c r="N1080" s="69"/>
      <c r="O1080" s="71"/>
    </row>
    <row r="1081">
      <c r="L1081" s="69"/>
      <c r="M1081" s="70"/>
      <c r="N1081" s="69"/>
      <c r="O1081" s="71"/>
    </row>
    <row r="1082">
      <c r="L1082" s="69"/>
      <c r="M1082" s="70"/>
      <c r="N1082" s="69"/>
      <c r="O1082" s="71"/>
    </row>
    <row r="1083">
      <c r="L1083" s="69"/>
      <c r="M1083" s="70"/>
      <c r="N1083" s="69"/>
      <c r="O1083" s="71"/>
    </row>
    <row r="1084">
      <c r="L1084" s="69"/>
      <c r="M1084" s="70"/>
      <c r="N1084" s="69"/>
      <c r="O1084" s="71"/>
    </row>
    <row r="1085">
      <c r="L1085" s="69"/>
      <c r="M1085" s="70"/>
      <c r="N1085" s="69"/>
      <c r="O1085" s="71"/>
    </row>
    <row r="1086">
      <c r="L1086" s="69"/>
      <c r="M1086" s="70"/>
      <c r="N1086" s="69"/>
      <c r="O1086" s="71"/>
    </row>
    <row r="1087">
      <c r="L1087" s="69"/>
      <c r="M1087" s="70"/>
      <c r="N1087" s="69"/>
      <c r="O1087" s="71"/>
    </row>
    <row r="1088">
      <c r="L1088" s="69"/>
      <c r="M1088" s="70"/>
      <c r="N1088" s="69"/>
      <c r="O1088" s="71"/>
    </row>
    <row r="1089">
      <c r="L1089" s="69"/>
      <c r="M1089" s="70"/>
      <c r="N1089" s="69"/>
      <c r="O1089" s="71"/>
    </row>
    <row r="1090">
      <c r="L1090" s="69"/>
      <c r="M1090" s="70"/>
      <c r="N1090" s="69"/>
      <c r="O1090" s="71"/>
    </row>
    <row r="1091">
      <c r="L1091" s="69"/>
      <c r="M1091" s="70"/>
      <c r="N1091" s="69"/>
      <c r="O1091" s="71"/>
    </row>
    <row r="1092">
      <c r="L1092" s="69"/>
      <c r="M1092" s="70"/>
      <c r="N1092" s="69"/>
      <c r="O1092" s="71"/>
    </row>
    <row r="1093">
      <c r="L1093" s="69"/>
      <c r="M1093" s="70"/>
      <c r="N1093" s="69"/>
      <c r="O1093" s="71"/>
    </row>
    <row r="1094">
      <c r="L1094" s="69"/>
      <c r="M1094" s="70"/>
      <c r="N1094" s="69"/>
      <c r="O1094" s="71"/>
    </row>
    <row r="1095">
      <c r="L1095" s="69"/>
      <c r="M1095" s="70"/>
      <c r="N1095" s="69"/>
      <c r="O1095" s="71"/>
    </row>
    <row r="1096">
      <c r="L1096" s="69"/>
      <c r="M1096" s="70"/>
      <c r="N1096" s="69"/>
      <c r="O1096" s="71"/>
    </row>
    <row r="1097">
      <c r="L1097" s="69"/>
      <c r="M1097" s="70"/>
      <c r="N1097" s="69"/>
      <c r="O1097" s="71"/>
    </row>
    <row r="1098">
      <c r="L1098" s="69"/>
      <c r="M1098" s="70"/>
      <c r="N1098" s="69"/>
      <c r="O1098" s="71"/>
    </row>
    <row r="1099">
      <c r="L1099" s="69"/>
      <c r="M1099" s="70"/>
      <c r="N1099" s="69"/>
      <c r="O1099" s="71"/>
    </row>
    <row r="1100">
      <c r="L1100" s="69"/>
      <c r="M1100" s="70"/>
      <c r="N1100" s="69"/>
      <c r="O1100" s="71"/>
    </row>
    <row r="1101">
      <c r="L1101" s="69"/>
      <c r="M1101" s="70"/>
      <c r="N1101" s="69"/>
      <c r="O1101" s="71"/>
    </row>
    <row r="1102">
      <c r="L1102" s="69"/>
      <c r="M1102" s="70"/>
      <c r="N1102" s="69"/>
      <c r="O1102" s="71"/>
    </row>
    <row r="1103">
      <c r="L1103" s="69"/>
      <c r="M1103" s="70"/>
      <c r="N1103" s="69"/>
      <c r="O1103" s="71"/>
    </row>
    <row r="1104">
      <c r="L1104" s="69"/>
      <c r="M1104" s="70"/>
      <c r="N1104" s="69"/>
      <c r="O1104" s="71"/>
    </row>
    <row r="1105">
      <c r="L1105" s="69"/>
      <c r="M1105" s="70"/>
      <c r="N1105" s="69"/>
      <c r="O1105" s="71"/>
    </row>
    <row r="1106">
      <c r="L1106" s="69"/>
      <c r="M1106" s="70"/>
      <c r="N1106" s="69"/>
      <c r="O1106" s="71"/>
    </row>
    <row r="1107">
      <c r="L1107" s="69"/>
      <c r="M1107" s="70"/>
      <c r="N1107" s="69"/>
      <c r="O1107" s="71"/>
    </row>
    <row r="1108">
      <c r="L1108" s="69"/>
      <c r="M1108" s="70"/>
      <c r="N1108" s="69"/>
      <c r="O1108" s="71"/>
    </row>
    <row r="1109">
      <c r="L1109" s="69"/>
      <c r="M1109" s="70"/>
      <c r="N1109" s="69"/>
      <c r="O1109" s="71"/>
    </row>
    <row r="1110">
      <c r="L1110" s="69"/>
      <c r="M1110" s="70"/>
      <c r="N1110" s="69"/>
      <c r="O1110" s="71"/>
    </row>
    <row r="1111">
      <c r="L1111" s="69"/>
      <c r="M1111" s="70"/>
      <c r="N1111" s="69"/>
      <c r="O1111" s="71"/>
    </row>
    <row r="1112">
      <c r="L1112" s="69"/>
      <c r="M1112" s="70"/>
      <c r="N1112" s="69"/>
      <c r="O1112" s="71"/>
    </row>
    <row r="1113">
      <c r="L1113" s="69"/>
      <c r="M1113" s="70"/>
      <c r="N1113" s="69"/>
      <c r="O1113" s="71"/>
    </row>
    <row r="1114">
      <c r="L1114" s="69"/>
      <c r="M1114" s="70"/>
      <c r="N1114" s="69"/>
      <c r="O1114" s="71"/>
    </row>
    <row r="1115">
      <c r="L1115" s="69"/>
      <c r="M1115" s="70"/>
      <c r="N1115" s="69"/>
      <c r="O1115" s="71"/>
    </row>
    <row r="1116">
      <c r="L1116" s="69"/>
      <c r="M1116" s="70"/>
      <c r="N1116" s="69"/>
      <c r="O1116" s="71"/>
    </row>
    <row r="1117">
      <c r="L1117" s="69"/>
      <c r="M1117" s="70"/>
      <c r="N1117" s="69"/>
      <c r="O1117" s="71"/>
    </row>
    <row r="1118">
      <c r="L1118" s="69"/>
      <c r="M1118" s="70"/>
      <c r="N1118" s="69"/>
      <c r="O1118" s="71"/>
    </row>
    <row r="1119">
      <c r="L1119" s="69"/>
      <c r="M1119" s="70"/>
      <c r="N1119" s="69"/>
      <c r="O1119" s="71"/>
    </row>
    <row r="1120">
      <c r="L1120" s="69"/>
      <c r="M1120" s="70"/>
      <c r="N1120" s="69"/>
      <c r="O1120" s="71"/>
    </row>
    <row r="1121">
      <c r="L1121" s="69"/>
      <c r="M1121" s="70"/>
      <c r="N1121" s="69"/>
      <c r="O1121" s="71"/>
    </row>
    <row r="1122">
      <c r="L1122" s="69"/>
      <c r="M1122" s="70"/>
      <c r="N1122" s="69"/>
      <c r="O1122" s="71"/>
    </row>
    <row r="1123">
      <c r="L1123" s="69"/>
      <c r="M1123" s="70"/>
      <c r="N1123" s="69"/>
      <c r="O1123" s="71"/>
    </row>
    <row r="1124">
      <c r="L1124" s="69"/>
      <c r="M1124" s="70"/>
      <c r="N1124" s="69"/>
      <c r="O1124" s="71"/>
    </row>
    <row r="1125">
      <c r="L1125" s="69"/>
      <c r="M1125" s="70"/>
      <c r="N1125" s="69"/>
      <c r="O1125" s="71"/>
    </row>
    <row r="1126">
      <c r="L1126" s="69"/>
      <c r="M1126" s="70"/>
      <c r="N1126" s="69"/>
      <c r="O1126" s="71"/>
    </row>
    <row r="1127">
      <c r="L1127" s="69"/>
      <c r="M1127" s="70"/>
      <c r="N1127" s="69"/>
      <c r="O1127" s="71"/>
    </row>
    <row r="1128">
      <c r="L1128" s="69"/>
      <c r="M1128" s="70"/>
      <c r="N1128" s="69"/>
      <c r="O1128" s="71"/>
    </row>
    <row r="1129">
      <c r="L1129" s="69"/>
      <c r="M1129" s="70"/>
      <c r="N1129" s="69"/>
      <c r="O1129" s="71"/>
    </row>
    <row r="1130">
      <c r="L1130" s="69"/>
      <c r="M1130" s="70"/>
      <c r="N1130" s="69"/>
      <c r="O1130" s="71"/>
    </row>
    <row r="1131">
      <c r="L1131" s="69"/>
      <c r="M1131" s="70"/>
      <c r="N1131" s="69"/>
      <c r="O1131" s="71"/>
    </row>
    <row r="1132">
      <c r="L1132" s="69"/>
      <c r="M1132" s="70"/>
      <c r="N1132" s="69"/>
      <c r="O1132" s="71"/>
    </row>
    <row r="1133">
      <c r="L1133" s="69"/>
      <c r="M1133" s="70"/>
      <c r="N1133" s="69"/>
      <c r="O1133" s="71"/>
    </row>
    <row r="1134">
      <c r="L1134" s="69"/>
      <c r="M1134" s="70"/>
      <c r="N1134" s="69"/>
      <c r="O1134" s="71"/>
    </row>
    <row r="1135">
      <c r="L1135" s="69"/>
      <c r="M1135" s="70"/>
      <c r="N1135" s="69"/>
      <c r="O1135" s="71"/>
    </row>
    <row r="1136">
      <c r="L1136" s="69"/>
      <c r="M1136" s="70"/>
      <c r="N1136" s="69"/>
      <c r="O1136" s="71"/>
    </row>
    <row r="1137">
      <c r="L1137" s="69"/>
      <c r="M1137" s="70"/>
      <c r="N1137" s="69"/>
      <c r="O1137" s="71"/>
    </row>
    <row r="1138">
      <c r="L1138" s="69"/>
      <c r="M1138" s="70"/>
      <c r="N1138" s="69"/>
      <c r="O1138" s="71"/>
    </row>
    <row r="1139">
      <c r="L1139" s="69"/>
      <c r="M1139" s="70"/>
      <c r="N1139" s="69"/>
      <c r="O1139" s="71"/>
    </row>
    <row r="1140">
      <c r="L1140" s="69"/>
      <c r="M1140" s="70"/>
      <c r="N1140" s="69"/>
      <c r="O1140" s="71"/>
    </row>
    <row r="1141">
      <c r="L1141" s="69"/>
      <c r="M1141" s="70"/>
      <c r="N1141" s="69"/>
      <c r="O1141" s="71"/>
    </row>
    <row r="1142">
      <c r="L1142" s="69"/>
      <c r="M1142" s="70"/>
      <c r="N1142" s="69"/>
      <c r="O1142" s="71"/>
    </row>
    <row r="1143">
      <c r="L1143" s="69"/>
      <c r="M1143" s="70"/>
      <c r="N1143" s="69"/>
      <c r="O1143" s="71"/>
    </row>
    <row r="1144">
      <c r="L1144" s="69"/>
      <c r="M1144" s="70"/>
      <c r="N1144" s="69"/>
      <c r="O1144" s="71"/>
    </row>
    <row r="1145">
      <c r="L1145" s="69"/>
      <c r="M1145" s="70"/>
      <c r="N1145" s="69"/>
      <c r="O1145" s="71"/>
    </row>
    <row r="1146">
      <c r="L1146" s="69"/>
      <c r="M1146" s="70"/>
      <c r="N1146" s="69"/>
      <c r="O1146" s="71"/>
    </row>
    <row r="1147">
      <c r="L1147" s="69"/>
      <c r="M1147" s="70"/>
      <c r="N1147" s="69"/>
      <c r="O1147" s="71"/>
    </row>
    <row r="1148">
      <c r="L1148" s="69"/>
      <c r="M1148" s="70"/>
      <c r="N1148" s="69"/>
      <c r="O1148" s="71"/>
    </row>
    <row r="1149">
      <c r="L1149" s="69"/>
      <c r="M1149" s="70"/>
      <c r="N1149" s="69"/>
      <c r="O1149" s="71"/>
    </row>
    <row r="1150">
      <c r="L1150" s="69"/>
      <c r="M1150" s="70"/>
      <c r="N1150" s="69"/>
      <c r="O1150" s="71"/>
    </row>
    <row r="1151">
      <c r="L1151" s="69"/>
      <c r="M1151" s="70"/>
      <c r="N1151" s="69"/>
      <c r="O1151" s="71"/>
    </row>
    <row r="1152">
      <c r="L1152" s="69"/>
      <c r="M1152" s="70"/>
      <c r="N1152" s="69"/>
      <c r="O1152" s="71"/>
    </row>
    <row r="1153">
      <c r="L1153" s="69"/>
      <c r="M1153" s="70"/>
      <c r="N1153" s="69"/>
      <c r="O1153" s="71"/>
    </row>
    <row r="1154">
      <c r="L1154" s="69"/>
      <c r="M1154" s="70"/>
      <c r="N1154" s="69"/>
      <c r="O1154" s="71"/>
    </row>
    <row r="1155">
      <c r="L1155" s="69"/>
      <c r="M1155" s="70"/>
      <c r="N1155" s="69"/>
      <c r="O1155" s="71"/>
    </row>
    <row r="1156">
      <c r="L1156" s="69"/>
      <c r="M1156" s="70"/>
      <c r="N1156" s="69"/>
      <c r="O1156" s="71"/>
    </row>
    <row r="1157">
      <c r="L1157" s="69"/>
      <c r="M1157" s="70"/>
      <c r="N1157" s="69"/>
      <c r="O1157" s="71"/>
    </row>
    <row r="1158">
      <c r="L1158" s="69"/>
      <c r="M1158" s="70"/>
      <c r="N1158" s="69"/>
      <c r="O1158" s="71"/>
    </row>
    <row r="1159">
      <c r="L1159" s="69"/>
      <c r="M1159" s="70"/>
      <c r="N1159" s="69"/>
      <c r="O1159" s="71"/>
    </row>
    <row r="1160">
      <c r="L1160" s="69"/>
      <c r="M1160" s="70"/>
      <c r="N1160" s="69"/>
      <c r="O1160" s="71"/>
    </row>
    <row r="1161">
      <c r="L1161" s="69"/>
      <c r="M1161" s="70"/>
      <c r="N1161" s="69"/>
      <c r="O1161" s="71"/>
    </row>
    <row r="1162">
      <c r="L1162" s="69"/>
      <c r="M1162" s="70"/>
      <c r="N1162" s="69"/>
      <c r="O1162" s="71"/>
    </row>
    <row r="1163">
      <c r="L1163" s="69"/>
      <c r="M1163" s="70"/>
      <c r="N1163" s="69"/>
      <c r="O1163" s="71"/>
    </row>
    <row r="1164">
      <c r="L1164" s="69"/>
      <c r="M1164" s="70"/>
      <c r="N1164" s="69"/>
      <c r="O1164" s="71"/>
    </row>
    <row r="1165">
      <c r="L1165" s="69"/>
      <c r="M1165" s="70"/>
      <c r="N1165" s="69"/>
      <c r="O1165" s="71"/>
    </row>
    <row r="1166">
      <c r="L1166" s="69"/>
      <c r="M1166" s="70"/>
      <c r="N1166" s="69"/>
      <c r="O1166" s="71"/>
    </row>
    <row r="1167">
      <c r="L1167" s="69"/>
      <c r="M1167" s="70"/>
      <c r="N1167" s="69"/>
      <c r="O1167" s="71"/>
    </row>
    <row r="1168">
      <c r="L1168" s="69"/>
      <c r="M1168" s="70"/>
      <c r="N1168" s="69"/>
      <c r="O1168" s="71"/>
    </row>
    <row r="1169">
      <c r="L1169" s="69"/>
      <c r="M1169" s="70"/>
      <c r="N1169" s="69"/>
      <c r="O1169" s="71"/>
    </row>
    <row r="1170">
      <c r="L1170" s="69"/>
      <c r="M1170" s="70"/>
      <c r="N1170" s="69"/>
      <c r="O1170" s="71"/>
    </row>
    <row r="1171">
      <c r="L1171" s="69"/>
      <c r="M1171" s="70"/>
      <c r="N1171" s="69"/>
      <c r="O1171" s="71"/>
    </row>
    <row r="1172">
      <c r="L1172" s="69"/>
      <c r="M1172" s="70"/>
      <c r="N1172" s="69"/>
      <c r="O1172" s="71"/>
    </row>
    <row r="1173">
      <c r="L1173" s="69"/>
      <c r="M1173" s="70"/>
      <c r="N1173" s="69"/>
      <c r="O1173" s="71"/>
    </row>
    <row r="1174">
      <c r="L1174" s="69"/>
      <c r="M1174" s="70"/>
      <c r="N1174" s="69"/>
      <c r="O1174" s="71"/>
    </row>
    <row r="1175">
      <c r="L1175" s="69"/>
      <c r="M1175" s="70"/>
      <c r="N1175" s="69"/>
      <c r="O1175" s="71"/>
    </row>
    <row r="1176">
      <c r="L1176" s="69"/>
      <c r="M1176" s="70"/>
      <c r="N1176" s="69"/>
      <c r="O1176" s="71"/>
    </row>
    <row r="1177">
      <c r="L1177" s="69"/>
      <c r="M1177" s="70"/>
      <c r="N1177" s="69"/>
      <c r="O1177" s="71"/>
    </row>
    <row r="1178">
      <c r="L1178" s="69"/>
      <c r="M1178" s="70"/>
      <c r="N1178" s="69"/>
      <c r="O1178" s="71"/>
    </row>
    <row r="1179">
      <c r="L1179" s="69"/>
      <c r="M1179" s="70"/>
      <c r="N1179" s="69"/>
      <c r="O1179" s="71"/>
    </row>
    <row r="1180">
      <c r="L1180" s="69"/>
      <c r="M1180" s="70"/>
      <c r="N1180" s="69"/>
      <c r="O1180" s="71"/>
    </row>
    <row r="1181">
      <c r="L1181" s="69"/>
      <c r="M1181" s="70"/>
      <c r="N1181" s="69"/>
      <c r="O1181" s="71"/>
    </row>
    <row r="1182">
      <c r="L1182" s="69"/>
      <c r="M1182" s="70"/>
      <c r="N1182" s="69"/>
      <c r="O1182" s="71"/>
    </row>
    <row r="1183">
      <c r="L1183" s="69"/>
      <c r="M1183" s="70"/>
      <c r="N1183" s="69"/>
      <c r="O1183" s="71"/>
    </row>
    <row r="1184">
      <c r="L1184" s="69"/>
      <c r="M1184" s="70"/>
      <c r="N1184" s="69"/>
      <c r="O1184" s="71"/>
    </row>
    <row r="1185">
      <c r="L1185" s="69"/>
      <c r="M1185" s="70"/>
      <c r="N1185" s="69"/>
      <c r="O1185" s="71"/>
    </row>
    <row r="1186">
      <c r="L1186" s="69"/>
      <c r="M1186" s="70"/>
      <c r="N1186" s="69"/>
      <c r="O1186" s="71"/>
    </row>
    <row r="1187">
      <c r="L1187" s="69"/>
      <c r="M1187" s="70"/>
      <c r="N1187" s="69"/>
      <c r="O1187" s="71"/>
    </row>
    <row r="1188">
      <c r="L1188" s="69"/>
      <c r="M1188" s="70"/>
      <c r="N1188" s="69"/>
      <c r="O1188" s="71"/>
    </row>
    <row r="1189">
      <c r="L1189" s="69"/>
      <c r="M1189" s="70"/>
      <c r="N1189" s="69"/>
      <c r="O1189" s="71"/>
    </row>
    <row r="1190">
      <c r="L1190" s="69"/>
      <c r="M1190" s="70"/>
      <c r="N1190" s="69"/>
      <c r="O1190" s="71"/>
    </row>
    <row r="1191">
      <c r="L1191" s="69"/>
      <c r="M1191" s="70"/>
      <c r="N1191" s="69"/>
      <c r="O1191" s="71"/>
    </row>
    <row r="1192">
      <c r="L1192" s="69"/>
      <c r="M1192" s="70"/>
      <c r="N1192" s="69"/>
      <c r="O1192" s="71"/>
    </row>
    <row r="1193">
      <c r="L1193" s="69"/>
      <c r="M1193" s="70"/>
      <c r="N1193" s="69"/>
      <c r="O1193" s="71"/>
    </row>
    <row r="1194">
      <c r="L1194" s="69"/>
      <c r="M1194" s="70"/>
      <c r="N1194" s="69"/>
      <c r="O1194" s="71"/>
    </row>
    <row r="1195">
      <c r="L1195" s="69"/>
      <c r="M1195" s="70"/>
      <c r="N1195" s="69"/>
      <c r="O1195" s="71"/>
    </row>
    <row r="1196">
      <c r="L1196" s="69"/>
      <c r="M1196" s="70"/>
      <c r="N1196" s="69"/>
      <c r="O1196" s="71"/>
    </row>
    <row r="1197">
      <c r="L1197" s="69"/>
      <c r="M1197" s="70"/>
      <c r="N1197" s="69"/>
      <c r="O1197" s="71"/>
    </row>
    <row r="1198">
      <c r="L1198" s="69"/>
      <c r="M1198" s="70"/>
      <c r="N1198" s="69"/>
      <c r="O1198" s="71"/>
    </row>
    <row r="1199">
      <c r="L1199" s="69"/>
      <c r="M1199" s="70"/>
      <c r="N1199" s="69"/>
      <c r="O1199" s="71"/>
    </row>
    <row r="1200">
      <c r="L1200" s="69"/>
      <c r="M1200" s="70"/>
      <c r="N1200" s="69"/>
      <c r="O1200" s="71"/>
    </row>
    <row r="1201">
      <c r="L1201" s="69"/>
      <c r="M1201" s="70"/>
      <c r="N1201" s="69"/>
      <c r="O1201" s="71"/>
    </row>
    <row r="1202">
      <c r="L1202" s="69"/>
      <c r="M1202" s="70"/>
      <c r="N1202" s="69"/>
      <c r="O1202" s="71"/>
    </row>
    <row r="1203">
      <c r="L1203" s="69"/>
      <c r="M1203" s="70"/>
      <c r="N1203" s="69"/>
      <c r="O1203" s="71"/>
    </row>
    <row r="1204">
      <c r="L1204" s="69"/>
      <c r="M1204" s="70"/>
      <c r="N1204" s="69"/>
      <c r="O1204" s="71"/>
    </row>
    <row r="1205">
      <c r="L1205" s="69"/>
      <c r="M1205" s="70"/>
      <c r="N1205" s="69"/>
      <c r="O1205" s="71"/>
    </row>
    <row r="1206">
      <c r="L1206" s="69"/>
      <c r="M1206" s="70"/>
      <c r="N1206" s="69"/>
      <c r="O1206" s="71"/>
    </row>
    <row r="1207">
      <c r="L1207" s="69"/>
      <c r="M1207" s="70"/>
      <c r="N1207" s="69"/>
      <c r="O1207" s="71"/>
    </row>
    <row r="1208">
      <c r="L1208" s="69"/>
      <c r="M1208" s="70"/>
      <c r="N1208" s="69"/>
      <c r="O1208" s="71"/>
    </row>
    <row r="1209">
      <c r="L1209" s="69"/>
      <c r="M1209" s="70"/>
      <c r="N1209" s="69"/>
      <c r="O1209" s="71"/>
    </row>
    <row r="1210">
      <c r="L1210" s="69"/>
      <c r="M1210" s="70"/>
      <c r="N1210" s="69"/>
      <c r="O1210" s="71"/>
    </row>
    <row r="1211">
      <c r="L1211" s="69"/>
      <c r="M1211" s="70"/>
      <c r="N1211" s="69"/>
      <c r="O1211" s="71"/>
    </row>
    <row r="1212">
      <c r="L1212" s="69"/>
      <c r="M1212" s="70"/>
      <c r="N1212" s="69"/>
      <c r="O1212" s="71"/>
    </row>
    <row r="1213">
      <c r="L1213" s="69"/>
      <c r="M1213" s="70"/>
      <c r="N1213" s="69"/>
      <c r="O1213" s="71"/>
    </row>
    <row r="1214">
      <c r="L1214" s="69"/>
      <c r="M1214" s="70"/>
      <c r="N1214" s="69"/>
      <c r="O1214" s="71"/>
    </row>
    <row r="1215">
      <c r="L1215" s="69"/>
      <c r="M1215" s="70"/>
      <c r="N1215" s="69"/>
      <c r="O1215" s="71"/>
    </row>
    <row r="1216">
      <c r="L1216" s="69"/>
      <c r="M1216" s="70"/>
      <c r="N1216" s="69"/>
      <c r="O1216" s="71"/>
    </row>
    <row r="1217">
      <c r="L1217" s="69"/>
      <c r="M1217" s="70"/>
      <c r="N1217" s="69"/>
      <c r="O1217" s="71"/>
    </row>
    <row r="1218">
      <c r="L1218" s="69"/>
      <c r="M1218" s="70"/>
      <c r="N1218" s="69"/>
      <c r="O1218" s="71"/>
    </row>
    <row r="1219">
      <c r="L1219" s="69"/>
      <c r="M1219" s="70"/>
      <c r="N1219" s="69"/>
      <c r="O1219" s="71"/>
    </row>
    <row r="1220">
      <c r="L1220" s="69"/>
      <c r="M1220" s="70"/>
      <c r="N1220" s="69"/>
      <c r="O1220" s="71"/>
    </row>
    <row r="1221">
      <c r="L1221" s="69"/>
      <c r="M1221" s="70"/>
      <c r="N1221" s="69"/>
      <c r="O1221" s="71"/>
    </row>
    <row r="1222">
      <c r="L1222" s="69"/>
      <c r="M1222" s="70"/>
      <c r="N1222" s="69"/>
      <c r="O1222" s="71"/>
    </row>
    <row r="1223">
      <c r="L1223" s="69"/>
      <c r="M1223" s="70"/>
      <c r="N1223" s="69"/>
      <c r="O1223" s="71"/>
    </row>
    <row r="1224">
      <c r="L1224" s="69"/>
      <c r="M1224" s="70"/>
      <c r="N1224" s="69"/>
      <c r="O1224" s="71"/>
    </row>
    <row r="1225">
      <c r="L1225" s="69"/>
      <c r="M1225" s="70"/>
      <c r="N1225" s="69"/>
      <c r="O1225" s="71"/>
    </row>
    <row r="1226">
      <c r="L1226" s="69"/>
      <c r="M1226" s="70"/>
      <c r="N1226" s="69"/>
      <c r="O1226" s="71"/>
    </row>
    <row r="1227">
      <c r="L1227" s="69"/>
      <c r="M1227" s="70"/>
      <c r="N1227" s="69"/>
      <c r="O1227" s="71"/>
    </row>
    <row r="1228">
      <c r="L1228" s="69"/>
      <c r="M1228" s="70"/>
      <c r="N1228" s="69"/>
      <c r="O1228" s="71"/>
    </row>
    <row r="1229">
      <c r="L1229" s="69"/>
      <c r="M1229" s="70"/>
      <c r="N1229" s="69"/>
      <c r="O1229" s="71"/>
    </row>
    <row r="1230">
      <c r="L1230" s="69"/>
      <c r="M1230" s="70"/>
      <c r="N1230" s="69"/>
      <c r="O1230" s="71"/>
    </row>
    <row r="1231">
      <c r="L1231" s="69"/>
      <c r="M1231" s="70"/>
      <c r="N1231" s="69"/>
      <c r="O1231" s="71"/>
    </row>
    <row r="1232">
      <c r="L1232" s="69"/>
      <c r="M1232" s="70"/>
      <c r="N1232" s="69"/>
      <c r="O1232" s="71"/>
    </row>
    <row r="1233">
      <c r="L1233" s="69"/>
      <c r="M1233" s="70"/>
      <c r="N1233" s="69"/>
      <c r="O1233" s="71"/>
    </row>
    <row r="1234">
      <c r="L1234" s="69"/>
      <c r="M1234" s="70"/>
      <c r="N1234" s="69"/>
      <c r="O1234" s="71"/>
    </row>
    <row r="1235">
      <c r="L1235" s="69"/>
      <c r="M1235" s="70"/>
      <c r="N1235" s="69"/>
      <c r="O1235" s="71"/>
    </row>
    <row r="1236">
      <c r="L1236" s="69"/>
      <c r="M1236" s="70"/>
      <c r="N1236" s="69"/>
      <c r="O1236" s="71"/>
    </row>
    <row r="1237">
      <c r="L1237" s="69"/>
      <c r="M1237" s="70"/>
      <c r="N1237" s="69"/>
      <c r="O1237" s="71"/>
    </row>
    <row r="1238">
      <c r="L1238" s="69"/>
      <c r="M1238" s="70"/>
      <c r="N1238" s="69"/>
      <c r="O1238" s="71"/>
    </row>
    <row r="1239">
      <c r="L1239" s="69"/>
      <c r="M1239" s="70"/>
      <c r="N1239" s="69"/>
      <c r="O1239" s="71"/>
    </row>
    <row r="1240">
      <c r="L1240" s="69"/>
      <c r="M1240" s="70"/>
      <c r="N1240" s="69"/>
      <c r="O1240" s="71"/>
    </row>
    <row r="1241">
      <c r="L1241" s="69"/>
      <c r="M1241" s="70"/>
      <c r="N1241" s="69"/>
      <c r="O1241" s="71"/>
    </row>
    <row r="1242">
      <c r="L1242" s="69"/>
      <c r="M1242" s="70"/>
      <c r="N1242" s="69"/>
      <c r="O1242" s="71"/>
    </row>
    <row r="1243">
      <c r="L1243" s="69"/>
      <c r="M1243" s="70"/>
      <c r="N1243" s="69"/>
      <c r="O1243" s="71"/>
    </row>
    <row r="1244">
      <c r="L1244" s="69"/>
      <c r="M1244" s="70"/>
      <c r="N1244" s="69"/>
      <c r="O1244" s="71"/>
    </row>
    <row r="1245">
      <c r="L1245" s="69"/>
      <c r="M1245" s="70"/>
      <c r="N1245" s="69"/>
      <c r="O1245" s="71"/>
    </row>
    <row r="1246">
      <c r="L1246" s="69"/>
      <c r="M1246" s="70"/>
      <c r="N1246" s="69"/>
      <c r="O1246" s="71"/>
    </row>
    <row r="1247">
      <c r="L1247" s="69"/>
      <c r="M1247" s="70"/>
      <c r="N1247" s="69"/>
      <c r="O1247" s="71"/>
    </row>
    <row r="1248">
      <c r="L1248" s="69"/>
      <c r="M1248" s="70"/>
      <c r="N1248" s="69"/>
      <c r="O1248" s="71"/>
    </row>
    <row r="1249">
      <c r="L1249" s="69"/>
      <c r="M1249" s="70"/>
      <c r="N1249" s="69"/>
      <c r="O1249" s="71"/>
    </row>
    <row r="1250">
      <c r="L1250" s="69"/>
      <c r="M1250" s="70"/>
      <c r="N1250" s="69"/>
      <c r="O1250" s="71"/>
    </row>
    <row r="1251">
      <c r="L1251" s="69"/>
      <c r="M1251" s="70"/>
      <c r="N1251" s="69"/>
      <c r="O1251" s="71"/>
    </row>
    <row r="1252">
      <c r="L1252" s="69"/>
      <c r="M1252" s="70"/>
      <c r="N1252" s="69"/>
      <c r="O1252" s="71"/>
    </row>
    <row r="1253">
      <c r="L1253" s="69"/>
      <c r="M1253" s="70"/>
      <c r="N1253" s="69"/>
      <c r="O1253" s="71"/>
    </row>
    <row r="1254">
      <c r="L1254" s="69"/>
      <c r="M1254" s="70"/>
      <c r="N1254" s="69"/>
      <c r="O1254" s="71"/>
    </row>
    <row r="1255">
      <c r="L1255" s="69"/>
      <c r="M1255" s="70"/>
      <c r="N1255" s="69"/>
      <c r="O1255" s="71"/>
    </row>
    <row r="1256">
      <c r="L1256" s="69"/>
      <c r="M1256" s="70"/>
      <c r="N1256" s="69"/>
      <c r="O1256" s="71"/>
    </row>
    <row r="1257">
      <c r="L1257" s="69"/>
      <c r="M1257" s="70"/>
      <c r="N1257" s="69"/>
      <c r="O1257" s="71"/>
    </row>
    <row r="1258">
      <c r="L1258" s="69"/>
      <c r="M1258" s="70"/>
      <c r="N1258" s="69"/>
      <c r="O1258" s="71"/>
    </row>
    <row r="1259">
      <c r="L1259" s="69"/>
      <c r="M1259" s="70"/>
      <c r="N1259" s="69"/>
      <c r="O1259" s="71"/>
    </row>
    <row r="1260">
      <c r="L1260" s="69"/>
      <c r="M1260" s="70"/>
      <c r="N1260" s="69"/>
      <c r="O1260" s="71"/>
    </row>
    <row r="1261">
      <c r="L1261" s="69"/>
      <c r="M1261" s="70"/>
      <c r="N1261" s="69"/>
      <c r="O1261" s="71"/>
    </row>
    <row r="1262">
      <c r="L1262" s="69"/>
      <c r="M1262" s="70"/>
      <c r="N1262" s="69"/>
      <c r="O1262" s="71"/>
    </row>
    <row r="1263">
      <c r="L1263" s="69"/>
      <c r="M1263" s="70"/>
      <c r="N1263" s="69"/>
      <c r="O1263" s="71"/>
    </row>
    <row r="1264">
      <c r="L1264" s="69"/>
      <c r="M1264" s="70"/>
      <c r="N1264" s="69"/>
      <c r="O1264" s="71"/>
    </row>
    <row r="1265">
      <c r="L1265" s="69"/>
      <c r="M1265" s="70"/>
      <c r="N1265" s="69"/>
      <c r="O1265" s="71"/>
    </row>
    <row r="1266">
      <c r="L1266" s="69"/>
      <c r="M1266" s="70"/>
      <c r="N1266" s="69"/>
      <c r="O1266" s="71"/>
    </row>
    <row r="1267">
      <c r="L1267" s="69"/>
      <c r="M1267" s="70"/>
      <c r="N1267" s="69"/>
      <c r="O1267" s="71"/>
    </row>
    <row r="1268">
      <c r="L1268" s="69"/>
      <c r="M1268" s="70"/>
      <c r="N1268" s="69"/>
      <c r="O1268" s="71"/>
    </row>
    <row r="1269">
      <c r="L1269" s="69"/>
      <c r="M1269" s="70"/>
      <c r="N1269" s="69"/>
      <c r="O1269" s="71"/>
    </row>
    <row r="1270">
      <c r="L1270" s="69"/>
      <c r="M1270" s="70"/>
      <c r="N1270" s="69"/>
      <c r="O1270" s="71"/>
    </row>
    <row r="1271">
      <c r="L1271" s="69"/>
      <c r="M1271" s="70"/>
      <c r="N1271" s="69"/>
      <c r="O1271" s="71"/>
    </row>
    <row r="1272">
      <c r="L1272" s="69"/>
      <c r="M1272" s="70"/>
      <c r="N1272" s="69"/>
      <c r="O1272" s="71"/>
    </row>
    <row r="1273">
      <c r="L1273" s="69"/>
      <c r="M1273" s="70"/>
      <c r="N1273" s="69"/>
      <c r="O1273" s="71"/>
    </row>
    <row r="1274">
      <c r="L1274" s="69"/>
      <c r="M1274" s="70"/>
      <c r="N1274" s="69"/>
      <c r="O1274" s="71"/>
    </row>
    <row r="1275">
      <c r="L1275" s="69"/>
      <c r="M1275" s="70"/>
      <c r="N1275" s="69"/>
      <c r="O1275" s="71"/>
    </row>
    <row r="1276">
      <c r="L1276" s="69"/>
      <c r="M1276" s="70"/>
      <c r="N1276" s="69"/>
      <c r="O1276" s="71"/>
    </row>
    <row r="1277">
      <c r="L1277" s="69"/>
      <c r="M1277" s="70"/>
      <c r="N1277" s="69"/>
      <c r="O1277" s="71"/>
    </row>
    <row r="1278">
      <c r="L1278" s="69"/>
      <c r="M1278" s="70"/>
      <c r="N1278" s="69"/>
      <c r="O1278" s="71"/>
    </row>
    <row r="1279">
      <c r="L1279" s="69"/>
      <c r="M1279" s="70"/>
      <c r="N1279" s="69"/>
      <c r="O1279" s="71"/>
    </row>
    <row r="1280">
      <c r="L1280" s="69"/>
      <c r="M1280" s="70"/>
      <c r="N1280" s="69"/>
      <c r="O1280" s="71"/>
    </row>
    <row r="1281">
      <c r="L1281" s="69"/>
      <c r="M1281" s="70"/>
      <c r="N1281" s="69"/>
      <c r="O1281" s="71"/>
    </row>
    <row r="1282">
      <c r="L1282" s="69"/>
      <c r="M1282" s="70"/>
      <c r="N1282" s="69"/>
      <c r="O1282" s="71"/>
    </row>
    <row r="1283">
      <c r="L1283" s="69"/>
      <c r="M1283" s="70"/>
      <c r="N1283" s="69"/>
      <c r="O1283" s="71"/>
    </row>
    <row r="1284">
      <c r="L1284" s="69"/>
      <c r="M1284" s="70"/>
      <c r="N1284" s="69"/>
      <c r="O1284" s="71"/>
    </row>
    <row r="1285">
      <c r="L1285" s="69"/>
      <c r="M1285" s="70"/>
      <c r="N1285" s="69"/>
      <c r="O1285" s="71"/>
    </row>
    <row r="1286">
      <c r="L1286" s="69"/>
      <c r="M1286" s="70"/>
      <c r="N1286" s="69"/>
      <c r="O1286" s="71"/>
    </row>
    <row r="1287">
      <c r="L1287" s="69"/>
      <c r="M1287" s="70"/>
      <c r="N1287" s="69"/>
      <c r="O1287" s="71"/>
    </row>
    <row r="1288">
      <c r="L1288" s="69"/>
      <c r="M1288" s="70"/>
      <c r="N1288" s="69"/>
      <c r="O1288" s="71"/>
    </row>
    <row r="1289">
      <c r="L1289" s="69"/>
      <c r="M1289" s="70"/>
      <c r="N1289" s="69"/>
      <c r="O1289" s="71"/>
    </row>
    <row r="1290">
      <c r="L1290" s="69"/>
      <c r="M1290" s="70"/>
      <c r="N1290" s="69"/>
      <c r="O1290" s="71"/>
    </row>
    <row r="1291">
      <c r="L1291" s="69"/>
      <c r="M1291" s="70"/>
      <c r="N1291" s="69"/>
      <c r="O1291" s="71"/>
    </row>
    <row r="1292">
      <c r="L1292" s="69"/>
      <c r="M1292" s="70"/>
      <c r="N1292" s="69"/>
      <c r="O1292" s="71"/>
    </row>
    <row r="1293">
      <c r="L1293" s="69"/>
      <c r="M1293" s="70"/>
      <c r="N1293" s="69"/>
      <c r="O1293" s="71"/>
    </row>
    <row r="1294">
      <c r="L1294" s="69"/>
      <c r="M1294" s="70"/>
      <c r="N1294" s="69"/>
      <c r="O1294" s="71"/>
    </row>
    <row r="1295">
      <c r="L1295" s="69"/>
      <c r="M1295" s="70"/>
      <c r="N1295" s="69"/>
      <c r="O1295" s="71"/>
    </row>
    <row r="1296">
      <c r="L1296" s="69"/>
      <c r="M1296" s="70"/>
      <c r="N1296" s="69"/>
      <c r="O1296" s="71"/>
    </row>
    <row r="1297">
      <c r="L1297" s="69"/>
      <c r="M1297" s="70"/>
      <c r="N1297" s="69"/>
      <c r="O1297" s="71"/>
    </row>
    <row r="1298">
      <c r="L1298" s="69"/>
      <c r="M1298" s="70"/>
      <c r="N1298" s="69"/>
      <c r="O1298" s="71"/>
    </row>
    <row r="1299">
      <c r="L1299" s="69"/>
      <c r="M1299" s="70"/>
      <c r="N1299" s="69"/>
      <c r="O1299" s="71"/>
    </row>
    <row r="1300">
      <c r="L1300" s="69"/>
      <c r="M1300" s="70"/>
      <c r="N1300" s="69"/>
      <c r="O1300" s="71"/>
    </row>
    <row r="1301">
      <c r="L1301" s="69"/>
      <c r="M1301" s="70"/>
      <c r="N1301" s="69"/>
      <c r="O1301" s="71"/>
    </row>
    <row r="1302">
      <c r="L1302" s="69"/>
      <c r="M1302" s="70"/>
      <c r="N1302" s="69"/>
      <c r="O1302" s="71"/>
    </row>
    <row r="1303">
      <c r="L1303" s="69"/>
      <c r="M1303" s="70"/>
      <c r="N1303" s="69"/>
      <c r="O1303" s="71"/>
    </row>
    <row r="1304">
      <c r="L1304" s="69"/>
      <c r="M1304" s="70"/>
      <c r="N1304" s="69"/>
      <c r="O1304" s="71"/>
    </row>
    <row r="1305">
      <c r="L1305" s="69"/>
      <c r="M1305" s="70"/>
      <c r="N1305" s="69"/>
      <c r="O1305" s="71"/>
    </row>
    <row r="1306">
      <c r="L1306" s="69"/>
      <c r="M1306" s="70"/>
      <c r="N1306" s="69"/>
      <c r="O1306" s="71"/>
    </row>
    <row r="1307">
      <c r="L1307" s="69"/>
      <c r="M1307" s="70"/>
      <c r="N1307" s="69"/>
      <c r="O1307" s="71"/>
    </row>
    <row r="1308">
      <c r="L1308" s="69"/>
      <c r="M1308" s="70"/>
      <c r="N1308" s="69"/>
      <c r="O1308" s="71"/>
    </row>
    <row r="1309">
      <c r="L1309" s="69"/>
      <c r="M1309" s="70"/>
      <c r="N1309" s="69"/>
      <c r="O1309" s="71"/>
    </row>
    <row r="1310">
      <c r="L1310" s="69"/>
      <c r="M1310" s="70"/>
      <c r="N1310" s="69"/>
      <c r="O1310" s="71"/>
    </row>
    <row r="1311">
      <c r="L1311" s="69"/>
      <c r="M1311" s="70"/>
      <c r="N1311" s="69"/>
      <c r="O1311" s="71"/>
    </row>
    <row r="1312">
      <c r="L1312" s="69"/>
      <c r="M1312" s="70"/>
      <c r="N1312" s="69"/>
      <c r="O1312" s="71"/>
    </row>
    <row r="1313">
      <c r="L1313" s="69"/>
      <c r="M1313" s="70"/>
      <c r="N1313" s="69"/>
      <c r="O1313" s="71"/>
    </row>
    <row r="1314">
      <c r="L1314" s="69"/>
      <c r="M1314" s="70"/>
      <c r="N1314" s="69"/>
      <c r="O1314" s="71"/>
    </row>
    <row r="1315">
      <c r="L1315" s="69"/>
      <c r="M1315" s="70"/>
      <c r="N1315" s="69"/>
      <c r="O1315" s="71"/>
    </row>
    <row r="1316">
      <c r="L1316" s="69"/>
      <c r="M1316" s="70"/>
      <c r="N1316" s="69"/>
      <c r="O1316" s="71"/>
    </row>
    <row r="1317">
      <c r="L1317" s="69"/>
      <c r="M1317" s="70"/>
      <c r="N1317" s="69"/>
      <c r="O1317" s="71"/>
    </row>
    <row r="1318">
      <c r="L1318" s="69"/>
      <c r="M1318" s="70"/>
      <c r="N1318" s="69"/>
      <c r="O1318" s="71"/>
    </row>
    <row r="1319">
      <c r="L1319" s="69"/>
      <c r="M1319" s="70"/>
      <c r="N1319" s="69"/>
      <c r="O1319" s="71"/>
    </row>
    <row r="1320">
      <c r="L1320" s="69"/>
      <c r="M1320" s="70"/>
      <c r="N1320" s="69"/>
      <c r="O1320" s="71"/>
    </row>
    <row r="1321">
      <c r="L1321" s="69"/>
      <c r="M1321" s="70"/>
      <c r="N1321" s="69"/>
      <c r="O1321" s="71"/>
    </row>
    <row r="1322">
      <c r="L1322" s="69"/>
      <c r="M1322" s="70"/>
      <c r="N1322" s="69"/>
      <c r="O1322" s="71"/>
    </row>
    <row r="1323">
      <c r="L1323" s="69"/>
      <c r="M1323" s="70"/>
      <c r="N1323" s="69"/>
      <c r="O1323" s="71"/>
    </row>
    <row r="1324">
      <c r="L1324" s="69"/>
      <c r="M1324" s="70"/>
      <c r="N1324" s="69"/>
      <c r="O1324" s="71"/>
    </row>
    <row r="1325">
      <c r="L1325" s="69"/>
      <c r="M1325" s="70"/>
      <c r="N1325" s="69"/>
      <c r="O1325" s="71"/>
    </row>
    <row r="1326">
      <c r="L1326" s="69"/>
      <c r="M1326" s="70"/>
      <c r="N1326" s="69"/>
      <c r="O1326" s="71"/>
    </row>
    <row r="1327">
      <c r="L1327" s="69"/>
      <c r="M1327" s="70"/>
      <c r="N1327" s="69"/>
      <c r="O1327" s="71"/>
    </row>
    <row r="1328">
      <c r="L1328" s="69"/>
      <c r="M1328" s="70"/>
      <c r="N1328" s="69"/>
      <c r="O1328" s="71"/>
    </row>
    <row r="1329">
      <c r="L1329" s="69"/>
      <c r="M1329" s="70"/>
      <c r="N1329" s="69"/>
      <c r="O1329" s="71"/>
    </row>
    <row r="1330">
      <c r="L1330" s="69"/>
      <c r="M1330" s="70"/>
      <c r="N1330" s="69"/>
      <c r="O1330" s="71"/>
    </row>
    <row r="1331">
      <c r="L1331" s="69"/>
      <c r="M1331" s="70"/>
      <c r="N1331" s="69"/>
      <c r="O1331" s="71"/>
    </row>
    <row r="1332">
      <c r="L1332" s="69"/>
      <c r="M1332" s="70"/>
      <c r="N1332" s="69"/>
      <c r="O1332" s="71"/>
    </row>
    <row r="1333">
      <c r="L1333" s="69"/>
      <c r="M1333" s="70"/>
      <c r="N1333" s="69"/>
      <c r="O1333" s="71"/>
    </row>
    <row r="1334">
      <c r="L1334" s="69"/>
      <c r="M1334" s="70"/>
      <c r="N1334" s="69"/>
      <c r="O1334" s="71"/>
    </row>
    <row r="1335">
      <c r="L1335" s="69"/>
      <c r="M1335" s="70"/>
      <c r="N1335" s="69"/>
      <c r="O1335" s="71"/>
    </row>
    <row r="1336">
      <c r="L1336" s="69"/>
      <c r="M1336" s="70"/>
      <c r="N1336" s="69"/>
      <c r="O1336" s="71"/>
    </row>
    <row r="1337">
      <c r="L1337" s="69"/>
      <c r="M1337" s="70"/>
      <c r="N1337" s="69"/>
      <c r="O1337" s="71"/>
    </row>
    <row r="1338">
      <c r="L1338" s="69"/>
      <c r="M1338" s="70"/>
      <c r="N1338" s="69"/>
      <c r="O1338" s="71"/>
    </row>
    <row r="1339">
      <c r="L1339" s="69"/>
      <c r="M1339" s="70"/>
      <c r="N1339" s="69"/>
      <c r="O1339" s="71"/>
    </row>
    <row r="1340">
      <c r="L1340" s="69"/>
      <c r="M1340" s="70"/>
      <c r="N1340" s="69"/>
      <c r="O1340" s="71"/>
    </row>
    <row r="1341">
      <c r="L1341" s="69"/>
      <c r="M1341" s="70"/>
      <c r="N1341" s="69"/>
      <c r="O1341" s="71"/>
    </row>
    <row r="1342">
      <c r="L1342" s="69"/>
      <c r="M1342" s="70"/>
      <c r="N1342" s="69"/>
      <c r="O1342" s="71"/>
    </row>
    <row r="1343">
      <c r="L1343" s="69"/>
      <c r="M1343" s="70"/>
      <c r="N1343" s="69"/>
      <c r="O1343" s="71"/>
    </row>
    <row r="1344">
      <c r="L1344" s="69"/>
      <c r="M1344" s="83"/>
      <c r="N1344" s="84"/>
      <c r="O1344" s="85"/>
    </row>
    <row r="1345">
      <c r="L1345" s="69"/>
      <c r="M1345" s="83"/>
      <c r="N1345" s="84"/>
      <c r="O1345" s="85"/>
    </row>
    <row r="1346">
      <c r="L1346" s="69"/>
      <c r="M1346" s="70"/>
      <c r="N1346" s="71"/>
    </row>
    <row r="1347">
      <c r="L1347" s="69"/>
      <c r="M1347" s="70"/>
      <c r="N1347" s="71"/>
    </row>
    <row r="1348">
      <c r="L1348" s="85"/>
      <c r="M1348" s="83"/>
      <c r="N1348" s="85"/>
    </row>
    <row r="1349">
      <c r="L1349" s="85"/>
      <c r="M1349" s="83"/>
      <c r="N1349" s="85"/>
    </row>
    <row r="1350">
      <c r="L1350" s="85"/>
      <c r="M1350" s="83"/>
      <c r="N1350" s="85"/>
    </row>
    <row r="1351">
      <c r="L1351" s="85"/>
      <c r="M1351" s="83"/>
      <c r="N1351" s="85"/>
    </row>
    <row r="1352">
      <c r="L1352" s="85"/>
      <c r="M1352" s="83"/>
      <c r="N1352" s="85"/>
    </row>
    <row r="1353">
      <c r="L1353" s="85"/>
      <c r="M1353" s="83"/>
      <c r="N1353" s="85"/>
    </row>
    <row r="1354">
      <c r="L1354" s="85"/>
      <c r="M1354" s="83"/>
      <c r="N1354" s="85"/>
    </row>
    <row r="1355">
      <c r="L1355" s="85"/>
      <c r="M1355" s="83"/>
      <c r="N1355" s="85"/>
    </row>
    <row r="1356">
      <c r="L1356" s="85"/>
      <c r="M1356" s="83"/>
      <c r="N1356" s="85"/>
    </row>
    <row r="1357">
      <c r="L1357" s="85"/>
      <c r="M1357" s="83"/>
      <c r="N1357" s="85"/>
    </row>
    <row r="1358">
      <c r="L1358" s="85"/>
      <c r="M1358" s="83"/>
      <c r="N1358" s="85"/>
    </row>
    <row r="1359">
      <c r="L1359" s="85"/>
      <c r="M1359" s="83"/>
      <c r="N1359" s="85"/>
    </row>
    <row r="1360">
      <c r="L1360" s="85"/>
      <c r="M1360" s="83"/>
      <c r="N1360" s="85"/>
    </row>
    <row r="1361">
      <c r="L1361" s="85"/>
      <c r="M1361" s="83"/>
      <c r="N1361" s="85"/>
    </row>
    <row r="1362">
      <c r="L1362" s="85"/>
      <c r="M1362" s="83"/>
      <c r="N1362" s="85"/>
    </row>
    <row r="1363">
      <c r="L1363" s="85"/>
      <c r="M1363" s="83"/>
      <c r="N1363" s="85"/>
    </row>
    <row r="1364">
      <c r="L1364" s="85"/>
      <c r="M1364" s="83"/>
      <c r="N1364" s="85"/>
    </row>
    <row r="1365">
      <c r="L1365" s="85"/>
      <c r="M1365" s="83"/>
      <c r="N1365" s="85"/>
    </row>
    <row r="1366">
      <c r="L1366" s="85"/>
      <c r="M1366" s="83"/>
      <c r="N1366" s="85"/>
    </row>
    <row r="1367">
      <c r="L1367" s="85"/>
      <c r="M1367" s="83"/>
      <c r="N1367" s="85"/>
    </row>
    <row r="1368">
      <c r="L1368" s="85"/>
      <c r="M1368" s="83"/>
      <c r="N1368" s="85"/>
    </row>
    <row r="1369">
      <c r="L1369" s="85"/>
      <c r="M1369" s="83"/>
      <c r="N1369" s="85"/>
    </row>
    <row r="1370">
      <c r="L1370" s="85"/>
      <c r="M1370" s="83"/>
      <c r="N1370" s="85"/>
    </row>
    <row r="1371">
      <c r="L1371" s="85"/>
      <c r="M1371" s="83"/>
      <c r="N1371" s="85"/>
    </row>
    <row r="1372">
      <c r="L1372" s="85"/>
      <c r="M1372" s="83"/>
      <c r="N1372" s="85"/>
    </row>
    <row r="1373">
      <c r="L1373" s="85"/>
      <c r="M1373" s="83"/>
      <c r="N1373" s="85"/>
    </row>
    <row r="1374">
      <c r="L1374" s="85"/>
      <c r="M1374" s="83"/>
      <c r="N1374" s="85"/>
    </row>
    <row r="1375">
      <c r="L1375" s="85"/>
      <c r="M1375" s="83"/>
      <c r="N1375" s="85"/>
    </row>
    <row r="1376">
      <c r="L1376" s="85"/>
      <c r="M1376" s="83"/>
      <c r="N1376" s="85"/>
    </row>
    <row r="1377">
      <c r="L1377" s="85"/>
      <c r="M1377" s="83"/>
      <c r="N1377" s="85"/>
    </row>
    <row r="1378">
      <c r="L1378" s="85"/>
      <c r="M1378" s="83"/>
      <c r="N1378" s="85"/>
    </row>
    <row r="1379">
      <c r="L1379" s="85"/>
      <c r="M1379" s="83"/>
      <c r="N1379" s="85"/>
    </row>
    <row r="1380">
      <c r="L1380" s="85"/>
      <c r="M1380" s="83"/>
      <c r="N1380" s="85"/>
    </row>
    <row r="1381">
      <c r="L1381" s="85"/>
      <c r="M1381" s="83"/>
      <c r="N1381" s="85"/>
    </row>
    <row r="1382">
      <c r="L1382" s="85"/>
      <c r="M1382" s="83"/>
      <c r="N1382" s="85"/>
    </row>
    <row r="1383">
      <c r="L1383" s="85"/>
      <c r="M1383" s="83"/>
      <c r="N1383" s="85"/>
    </row>
    <row r="1384">
      <c r="L1384" s="85"/>
      <c r="M1384" s="83"/>
      <c r="N1384" s="85"/>
    </row>
    <row r="1385">
      <c r="L1385" s="85"/>
      <c r="M1385" s="83"/>
      <c r="N1385" s="85"/>
    </row>
    <row r="1386">
      <c r="L1386" s="85"/>
      <c r="M1386" s="83"/>
      <c r="N1386" s="85"/>
    </row>
    <row r="1387">
      <c r="L1387" s="85"/>
      <c r="M1387" s="83"/>
      <c r="N1387" s="85"/>
    </row>
    <row r="1388">
      <c r="L1388" s="85"/>
      <c r="M1388" s="83"/>
      <c r="N1388" s="85"/>
    </row>
    <row r="1389">
      <c r="L1389" s="85"/>
      <c r="M1389" s="83"/>
      <c r="N1389" s="85"/>
    </row>
    <row r="1390">
      <c r="L1390" s="85"/>
      <c r="M1390" s="83"/>
      <c r="N1390" s="85"/>
    </row>
    <row r="1391">
      <c r="L1391" s="85"/>
      <c r="M1391" s="83"/>
      <c r="N1391" s="85"/>
    </row>
    <row r="1392">
      <c r="L1392" s="85"/>
      <c r="M1392" s="83"/>
      <c r="N1392" s="85"/>
    </row>
    <row r="1393">
      <c r="L1393" s="85"/>
      <c r="M1393" s="83"/>
      <c r="N1393" s="85"/>
    </row>
    <row r="1394">
      <c r="L1394" s="85"/>
      <c r="M1394" s="83"/>
      <c r="N1394" s="85"/>
    </row>
    <row r="1395">
      <c r="L1395" s="85"/>
      <c r="M1395" s="83"/>
      <c r="N1395" s="85"/>
    </row>
    <row r="1396">
      <c r="L1396" s="85"/>
      <c r="M1396" s="83"/>
      <c r="N1396" s="85"/>
    </row>
    <row r="1397">
      <c r="L1397" s="85"/>
      <c r="M1397" s="83"/>
      <c r="N1397" s="85"/>
    </row>
    <row r="1398">
      <c r="L1398" s="85"/>
      <c r="M1398" s="83"/>
      <c r="N1398" s="85"/>
    </row>
    <row r="1399">
      <c r="L1399" s="85"/>
      <c r="M1399" s="83"/>
      <c r="N1399" s="85"/>
    </row>
    <row r="1400">
      <c r="L1400" s="85"/>
      <c r="M1400" s="83"/>
      <c r="N1400" s="85"/>
    </row>
    <row r="1401">
      <c r="L1401" s="85"/>
      <c r="M1401" s="83"/>
      <c r="N1401" s="85"/>
    </row>
    <row r="1402">
      <c r="L1402" s="85"/>
      <c r="M1402" s="83"/>
      <c r="N1402" s="85"/>
    </row>
    <row r="1403">
      <c r="L1403" s="85"/>
      <c r="M1403" s="83"/>
      <c r="N1403" s="85"/>
    </row>
    <row r="1404">
      <c r="L1404" s="85"/>
      <c r="M1404" s="83"/>
      <c r="N1404" s="85"/>
    </row>
    <row r="1405">
      <c r="L1405" s="85"/>
      <c r="M1405" s="83"/>
      <c r="N1405" s="85"/>
    </row>
    <row r="1406">
      <c r="L1406" s="85"/>
      <c r="M1406" s="83"/>
      <c r="N1406" s="85"/>
    </row>
    <row r="1407">
      <c r="L1407" s="85"/>
      <c r="M1407" s="83"/>
      <c r="N1407" s="85"/>
    </row>
    <row r="1408">
      <c r="L1408" s="85"/>
      <c r="M1408" s="83"/>
      <c r="N1408" s="85"/>
    </row>
    <row r="1409">
      <c r="L1409" s="85"/>
      <c r="M1409" s="83"/>
      <c r="N1409" s="85"/>
    </row>
    <row r="1410">
      <c r="L1410" s="85"/>
      <c r="M1410" s="83"/>
      <c r="N1410" s="85"/>
    </row>
    <row r="1411">
      <c r="L1411" s="85"/>
      <c r="M1411" s="83"/>
      <c r="N1411" s="85"/>
    </row>
    <row r="1412">
      <c r="L1412" s="85"/>
      <c r="M1412" s="83"/>
      <c r="N1412" s="85"/>
    </row>
    <row r="1413">
      <c r="L1413" s="85"/>
      <c r="M1413" s="83"/>
      <c r="N1413" s="85"/>
    </row>
    <row r="1414">
      <c r="L1414" s="85"/>
      <c r="M1414" s="83"/>
      <c r="N1414" s="85"/>
    </row>
    <row r="1415">
      <c r="L1415" s="85"/>
      <c r="M1415" s="83"/>
      <c r="N1415" s="85"/>
    </row>
    <row r="1416">
      <c r="L1416" s="85"/>
      <c r="M1416" s="83"/>
      <c r="N1416" s="85"/>
    </row>
    <row r="1417">
      <c r="L1417" s="85"/>
      <c r="M1417" s="83"/>
      <c r="N1417" s="85"/>
    </row>
    <row r="1418">
      <c r="L1418" s="85"/>
      <c r="M1418" s="83"/>
      <c r="N1418" s="85"/>
    </row>
    <row r="1419">
      <c r="L1419" s="85"/>
      <c r="M1419" s="83"/>
      <c r="N1419" s="85"/>
    </row>
    <row r="1420">
      <c r="L1420" s="85"/>
      <c r="M1420" s="83"/>
      <c r="N1420" s="85"/>
    </row>
    <row r="1421">
      <c r="L1421" s="85"/>
      <c r="M1421" s="83"/>
      <c r="N1421" s="85"/>
    </row>
    <row r="1422">
      <c r="L1422" s="85"/>
      <c r="M1422" s="83"/>
      <c r="N1422" s="85"/>
    </row>
    <row r="1423">
      <c r="L1423" s="85"/>
      <c r="M1423" s="83"/>
      <c r="N1423" s="85"/>
    </row>
    <row r="1424">
      <c r="L1424" s="85"/>
      <c r="M1424" s="83"/>
      <c r="N1424" s="85"/>
    </row>
    <row r="1425">
      <c r="L1425" s="85"/>
      <c r="M1425" s="83"/>
      <c r="N1425" s="85"/>
    </row>
    <row r="1426">
      <c r="L1426" s="85"/>
      <c r="M1426" s="83"/>
      <c r="N1426" s="85"/>
    </row>
    <row r="1427">
      <c r="L1427" s="85"/>
      <c r="M1427" s="83"/>
      <c r="N1427" s="85"/>
    </row>
    <row r="1428">
      <c r="L1428" s="85"/>
      <c r="M1428" s="83"/>
      <c r="N1428" s="85"/>
    </row>
    <row r="1429">
      <c r="L1429" s="85"/>
      <c r="M1429" s="83"/>
      <c r="N1429" s="85"/>
    </row>
    <row r="1430">
      <c r="L1430" s="85"/>
      <c r="M1430" s="83"/>
      <c r="N1430" s="85"/>
    </row>
    <row r="1431">
      <c r="L1431" s="85"/>
      <c r="M1431" s="83"/>
      <c r="N1431" s="85"/>
    </row>
    <row r="1432">
      <c r="L1432" s="85"/>
      <c r="M1432" s="83"/>
      <c r="N1432" s="85"/>
    </row>
    <row r="1433">
      <c r="L1433" s="85"/>
      <c r="M1433" s="83"/>
      <c r="N1433" s="85"/>
    </row>
    <row r="1434">
      <c r="L1434" s="85"/>
      <c r="M1434" s="83"/>
      <c r="N1434" s="85"/>
    </row>
    <row r="1435">
      <c r="L1435" s="85"/>
      <c r="M1435" s="83"/>
      <c r="N1435" s="85"/>
    </row>
    <row r="1436">
      <c r="L1436" s="85"/>
      <c r="M1436" s="83"/>
      <c r="N1436" s="85"/>
    </row>
    <row r="1437">
      <c r="L1437" s="85"/>
      <c r="M1437" s="83"/>
      <c r="N1437" s="85"/>
    </row>
    <row r="1438">
      <c r="L1438" s="85"/>
      <c r="M1438" s="83"/>
      <c r="N1438" s="85"/>
    </row>
    <row r="1439">
      <c r="L1439" s="85"/>
      <c r="M1439" s="83"/>
      <c r="N1439" s="85"/>
    </row>
    <row r="1440">
      <c r="L1440" s="85"/>
      <c r="M1440" s="83"/>
      <c r="N1440" s="85"/>
    </row>
    <row r="1441">
      <c r="L1441" s="85"/>
      <c r="M1441" s="83"/>
      <c r="N1441" s="85"/>
    </row>
    <row r="1442">
      <c r="L1442" s="85"/>
      <c r="M1442" s="83"/>
      <c r="N1442" s="85"/>
    </row>
    <row r="1443">
      <c r="L1443" s="85"/>
      <c r="M1443" s="83"/>
      <c r="N1443" s="85"/>
    </row>
    <row r="1444">
      <c r="L1444" s="85"/>
      <c r="M1444" s="83"/>
      <c r="N1444" s="85"/>
    </row>
    <row r="1445">
      <c r="L1445" s="85"/>
      <c r="M1445" s="83"/>
      <c r="N1445" s="85"/>
    </row>
    <row r="1446">
      <c r="L1446" s="85"/>
      <c r="M1446" s="83"/>
      <c r="N1446" s="85"/>
    </row>
    <row r="1447">
      <c r="L1447" s="85"/>
      <c r="M1447" s="83"/>
      <c r="N1447" s="85"/>
    </row>
    <row r="1448">
      <c r="L1448" s="85"/>
      <c r="M1448" s="83"/>
      <c r="N1448" s="85"/>
    </row>
    <row r="1449">
      <c r="L1449" s="85"/>
      <c r="M1449" s="83"/>
      <c r="N1449" s="85"/>
    </row>
    <row r="1450">
      <c r="L1450" s="85"/>
      <c r="M1450" s="83"/>
      <c r="N1450" s="85"/>
    </row>
    <row r="1451">
      <c r="L1451" s="85"/>
      <c r="M1451" s="83"/>
      <c r="N1451" s="85"/>
    </row>
    <row r="1452">
      <c r="L1452" s="85"/>
      <c r="M1452" s="83"/>
      <c r="N1452" s="85"/>
    </row>
    <row r="1453">
      <c r="L1453" s="85"/>
      <c r="M1453" s="83"/>
      <c r="N1453" s="85"/>
    </row>
    <row r="1454">
      <c r="L1454" s="85"/>
      <c r="M1454" s="83"/>
      <c r="N1454" s="85"/>
    </row>
    <row r="1455">
      <c r="L1455" s="85"/>
      <c r="M1455" s="83"/>
      <c r="N1455" s="85"/>
    </row>
    <row r="1456">
      <c r="L1456" s="85"/>
      <c r="M1456" s="83"/>
      <c r="N1456" s="85"/>
    </row>
    <row r="1457">
      <c r="L1457" s="85"/>
      <c r="M1457" s="83"/>
      <c r="N1457" s="85"/>
    </row>
    <row r="1458">
      <c r="L1458" s="85"/>
      <c r="M1458" s="83"/>
      <c r="N1458" s="85"/>
    </row>
    <row r="1459">
      <c r="L1459" s="85"/>
      <c r="M1459" s="83"/>
      <c r="N1459" s="85"/>
    </row>
    <row r="1460">
      <c r="L1460" s="85"/>
      <c r="M1460" s="83"/>
      <c r="N1460" s="85"/>
    </row>
    <row r="1461">
      <c r="L1461" s="85"/>
      <c r="M1461" s="83"/>
      <c r="N1461" s="85"/>
    </row>
    <row r="1462">
      <c r="L1462" s="85"/>
      <c r="M1462" s="83"/>
      <c r="N1462" s="85"/>
    </row>
    <row r="1463">
      <c r="L1463" s="85"/>
      <c r="M1463" s="83"/>
      <c r="N1463" s="85"/>
    </row>
    <row r="1464">
      <c r="L1464" s="85"/>
      <c r="M1464" s="83"/>
      <c r="N1464" s="85"/>
    </row>
    <row r="1465">
      <c r="L1465" s="85"/>
      <c r="M1465" s="83"/>
      <c r="N1465" s="85"/>
    </row>
    <row r="1466">
      <c r="L1466" s="85"/>
      <c r="M1466" s="83"/>
      <c r="N1466" s="85"/>
    </row>
    <row r="1467">
      <c r="L1467" s="85"/>
      <c r="M1467" s="83"/>
      <c r="N1467" s="85"/>
    </row>
    <row r="1468">
      <c r="L1468" s="85"/>
      <c r="M1468" s="83"/>
      <c r="N1468" s="85"/>
    </row>
    <row r="1469">
      <c r="L1469" s="85"/>
      <c r="M1469" s="83"/>
      <c r="N1469" s="85"/>
    </row>
    <row r="1470">
      <c r="L1470" s="85"/>
      <c r="M1470" s="83"/>
      <c r="N1470" s="85"/>
    </row>
    <row r="1471">
      <c r="L1471" s="85"/>
      <c r="M1471" s="83"/>
      <c r="N1471" s="85"/>
    </row>
    <row r="1472">
      <c r="L1472" s="85"/>
      <c r="M1472" s="83"/>
      <c r="N1472" s="85"/>
    </row>
    <row r="1473">
      <c r="L1473" s="85"/>
      <c r="M1473" s="83"/>
      <c r="N1473" s="85"/>
    </row>
    <row r="1474">
      <c r="L1474" s="85"/>
      <c r="M1474" s="83"/>
      <c r="N1474" s="85"/>
    </row>
    <row r="1475">
      <c r="L1475" s="85"/>
      <c r="M1475" s="83"/>
      <c r="N1475" s="85"/>
    </row>
    <row r="1476">
      <c r="L1476" s="85"/>
      <c r="M1476" s="83"/>
      <c r="N1476" s="85"/>
    </row>
    <row r="1477">
      <c r="L1477" s="85"/>
      <c r="M1477" s="83"/>
      <c r="N1477" s="85"/>
    </row>
    <row r="1478">
      <c r="L1478" s="85"/>
      <c r="M1478" s="83"/>
      <c r="N1478" s="85"/>
    </row>
    <row r="1479">
      <c r="L1479" s="85"/>
      <c r="M1479" s="83"/>
      <c r="N1479" s="85"/>
    </row>
    <row r="1480">
      <c r="L1480" s="85"/>
      <c r="M1480" s="83"/>
      <c r="N1480" s="85"/>
    </row>
    <row r="1481">
      <c r="L1481" s="85"/>
      <c r="M1481" s="83"/>
      <c r="N1481" s="85"/>
    </row>
    <row r="1482">
      <c r="L1482" s="85"/>
      <c r="M1482" s="83"/>
      <c r="N1482" s="85"/>
    </row>
    <row r="1483">
      <c r="L1483" s="85"/>
      <c r="M1483" s="83"/>
      <c r="N1483" s="85"/>
    </row>
    <row r="1484">
      <c r="L1484" s="85"/>
      <c r="M1484" s="83"/>
      <c r="N1484" s="85"/>
    </row>
    <row r="1485">
      <c r="L1485" s="85"/>
      <c r="M1485" s="83"/>
      <c r="N1485" s="85"/>
    </row>
    <row r="1486">
      <c r="L1486" s="85"/>
      <c r="M1486" s="83"/>
      <c r="N1486" s="85"/>
    </row>
    <row r="1487">
      <c r="L1487" s="85"/>
      <c r="M1487" s="83"/>
      <c r="N1487" s="85"/>
    </row>
    <row r="1488">
      <c r="L1488" s="85"/>
      <c r="M1488" s="83"/>
      <c r="N1488" s="85"/>
    </row>
    <row r="1489">
      <c r="L1489" s="85"/>
      <c r="M1489" s="83"/>
      <c r="N1489" s="85"/>
    </row>
    <row r="1490">
      <c r="L1490" s="85"/>
      <c r="M1490" s="83"/>
      <c r="N1490" s="85"/>
    </row>
    <row r="1491">
      <c r="L1491" s="85"/>
      <c r="M1491" s="83"/>
      <c r="N1491" s="85"/>
    </row>
    <row r="1492">
      <c r="L1492" s="85"/>
      <c r="M1492" s="83"/>
      <c r="N1492" s="85"/>
    </row>
    <row r="1493">
      <c r="L1493" s="85"/>
      <c r="M1493" s="83"/>
      <c r="N1493" s="85"/>
    </row>
    <row r="1494">
      <c r="L1494" s="85"/>
      <c r="M1494" s="83"/>
      <c r="N1494" s="85"/>
    </row>
    <row r="1495">
      <c r="L1495" s="85"/>
      <c r="M1495" s="83"/>
      <c r="N1495" s="85"/>
    </row>
    <row r="1496">
      <c r="L1496" s="85"/>
      <c r="M1496" s="83"/>
      <c r="N1496" s="85"/>
    </row>
    <row r="1497">
      <c r="L1497" s="85"/>
      <c r="M1497" s="83"/>
      <c r="N1497" s="85"/>
    </row>
    <row r="1498">
      <c r="L1498" s="85"/>
      <c r="M1498" s="83"/>
      <c r="N1498" s="85"/>
    </row>
    <row r="1499">
      <c r="L1499" s="85"/>
      <c r="M1499" s="83"/>
      <c r="N1499" s="85"/>
    </row>
    <row r="1500">
      <c r="L1500" s="85"/>
      <c r="M1500" s="83"/>
      <c r="N1500" s="85"/>
    </row>
    <row r="1501">
      <c r="L1501" s="85"/>
      <c r="M1501" s="83"/>
      <c r="N1501" s="85"/>
    </row>
    <row r="1502">
      <c r="L1502" s="85"/>
      <c r="M1502" s="83"/>
      <c r="N1502" s="85"/>
    </row>
    <row r="1503">
      <c r="L1503" s="85"/>
      <c r="M1503" s="83"/>
      <c r="N1503" s="85"/>
    </row>
    <row r="1504">
      <c r="L1504" s="85"/>
      <c r="M1504" s="83"/>
      <c r="N1504" s="85"/>
    </row>
    <row r="1505">
      <c r="L1505" s="85"/>
      <c r="M1505" s="83"/>
      <c r="N1505" s="85"/>
    </row>
    <row r="1506">
      <c r="L1506" s="85"/>
      <c r="M1506" s="83"/>
      <c r="N1506" s="85"/>
    </row>
    <row r="1507">
      <c r="L1507" s="85"/>
      <c r="M1507" s="83"/>
      <c r="N1507" s="85"/>
    </row>
    <row r="1508">
      <c r="L1508" s="85"/>
      <c r="M1508" s="83"/>
      <c r="N1508" s="85"/>
    </row>
    <row r="1509">
      <c r="L1509" s="85"/>
      <c r="M1509" s="83"/>
      <c r="N1509" s="85"/>
    </row>
    <row r="1510">
      <c r="L1510" s="85"/>
      <c r="M1510" s="83"/>
      <c r="N1510" s="85"/>
    </row>
    <row r="1511">
      <c r="L1511" s="85"/>
      <c r="M1511" s="83"/>
      <c r="N1511" s="85"/>
    </row>
    <row r="1512">
      <c r="L1512" s="85"/>
      <c r="M1512" s="83"/>
      <c r="N1512" s="85"/>
    </row>
    <row r="1513">
      <c r="L1513" s="85"/>
      <c r="M1513" s="83"/>
      <c r="N1513" s="85"/>
    </row>
    <row r="1514">
      <c r="L1514" s="85"/>
      <c r="M1514" s="83"/>
      <c r="N1514" s="85"/>
    </row>
    <row r="1515">
      <c r="L1515" s="85"/>
      <c r="M1515" s="83"/>
      <c r="N1515" s="85"/>
    </row>
    <row r="1516">
      <c r="L1516" s="85"/>
      <c r="M1516" s="83"/>
      <c r="N1516" s="85"/>
    </row>
    <row r="1517">
      <c r="L1517" s="85"/>
      <c r="M1517" s="83"/>
      <c r="N1517" s="85"/>
    </row>
    <row r="1518">
      <c r="L1518" s="85"/>
      <c r="M1518" s="83"/>
      <c r="N1518" s="85"/>
    </row>
    <row r="1519">
      <c r="L1519" s="85"/>
      <c r="M1519" s="83"/>
      <c r="N1519" s="85"/>
    </row>
    <row r="1520">
      <c r="L1520" s="85"/>
      <c r="M1520" s="83"/>
      <c r="N1520" s="85"/>
    </row>
    <row r="1521">
      <c r="L1521" s="85"/>
      <c r="M1521" s="83"/>
      <c r="N1521" s="85"/>
    </row>
    <row r="1522">
      <c r="L1522" s="85"/>
      <c r="M1522" s="83"/>
      <c r="N1522" s="85"/>
    </row>
    <row r="1523">
      <c r="L1523" s="85"/>
      <c r="M1523" s="83"/>
      <c r="N1523" s="85"/>
    </row>
    <row r="1524">
      <c r="L1524" s="85"/>
      <c r="M1524" s="83"/>
      <c r="N1524" s="85"/>
    </row>
    <row r="1525">
      <c r="L1525" s="85"/>
      <c r="M1525" s="83"/>
      <c r="N1525" s="85"/>
    </row>
    <row r="1526">
      <c r="L1526" s="85"/>
      <c r="M1526" s="83"/>
      <c r="N1526" s="85"/>
    </row>
    <row r="1527">
      <c r="L1527" s="85"/>
      <c r="M1527" s="83"/>
      <c r="N1527" s="85"/>
    </row>
    <row r="1528">
      <c r="L1528" s="85"/>
      <c r="M1528" s="83"/>
      <c r="N1528" s="85"/>
    </row>
    <row r="1529">
      <c r="L1529" s="85"/>
      <c r="M1529" s="83"/>
      <c r="N1529" s="85"/>
    </row>
    <row r="1530">
      <c r="L1530" s="85"/>
      <c r="M1530" s="83"/>
      <c r="N1530" s="85"/>
    </row>
    <row r="1531">
      <c r="L1531" s="85"/>
      <c r="M1531" s="83"/>
      <c r="N1531" s="85"/>
    </row>
    <row r="1532">
      <c r="L1532" s="85"/>
      <c r="M1532" s="83"/>
      <c r="N1532" s="85"/>
    </row>
    <row r="1533">
      <c r="L1533" s="85"/>
      <c r="M1533" s="83"/>
      <c r="N1533" s="85"/>
    </row>
    <row r="1534">
      <c r="L1534" s="85"/>
      <c r="M1534" s="83"/>
      <c r="N1534" s="85"/>
    </row>
    <row r="1535">
      <c r="L1535" s="85"/>
      <c r="M1535" s="83"/>
      <c r="N1535" s="85"/>
    </row>
    <row r="1536">
      <c r="L1536" s="85"/>
      <c r="M1536" s="83"/>
      <c r="N1536" s="85"/>
    </row>
    <row r="1537">
      <c r="L1537" s="85"/>
      <c r="M1537" s="83"/>
      <c r="N1537" s="85"/>
    </row>
    <row r="1538">
      <c r="L1538" s="85"/>
      <c r="M1538" s="83"/>
      <c r="N1538" s="85"/>
    </row>
    <row r="1539">
      <c r="L1539" s="85"/>
      <c r="M1539" s="83"/>
      <c r="N1539" s="85"/>
    </row>
    <row r="1540">
      <c r="L1540" s="85"/>
      <c r="M1540" s="83"/>
      <c r="N1540" s="85"/>
    </row>
    <row r="1541">
      <c r="L1541" s="85"/>
      <c r="M1541" s="83"/>
      <c r="N1541" s="85"/>
    </row>
    <row r="1542">
      <c r="L1542" s="85"/>
      <c r="M1542" s="83"/>
      <c r="N1542" s="85"/>
    </row>
    <row r="1543">
      <c r="L1543" s="85"/>
      <c r="M1543" s="83"/>
      <c r="N1543" s="85"/>
    </row>
    <row r="1544">
      <c r="L1544" s="85"/>
      <c r="M1544" s="83"/>
      <c r="N1544" s="85"/>
    </row>
    <row r="1545">
      <c r="L1545" s="85"/>
      <c r="M1545" s="83"/>
      <c r="N1545" s="85"/>
    </row>
    <row r="1546">
      <c r="L1546" s="85"/>
      <c r="M1546" s="83"/>
      <c r="N1546" s="85"/>
    </row>
    <row r="1547">
      <c r="L1547" s="85"/>
      <c r="M1547" s="83"/>
      <c r="N1547" s="85"/>
    </row>
    <row r="1548">
      <c r="L1548" s="85"/>
      <c r="M1548" s="83"/>
      <c r="N1548" s="85"/>
    </row>
    <row r="1549">
      <c r="L1549" s="85"/>
      <c r="M1549" s="83"/>
      <c r="N1549" s="85"/>
    </row>
    <row r="1550">
      <c r="L1550" s="85"/>
      <c r="M1550" s="83"/>
      <c r="N1550" s="85"/>
    </row>
    <row r="1551">
      <c r="L1551" s="85"/>
      <c r="M1551" s="83"/>
      <c r="N1551" s="85"/>
    </row>
    <row r="1552">
      <c r="L1552" s="85"/>
      <c r="M1552" s="83"/>
      <c r="N1552" s="85"/>
    </row>
    <row r="1553">
      <c r="L1553" s="85"/>
      <c r="M1553" s="83"/>
      <c r="N1553" s="85"/>
    </row>
    <row r="1554">
      <c r="L1554" s="85"/>
      <c r="M1554" s="83"/>
      <c r="N1554" s="85"/>
    </row>
    <row r="1555">
      <c r="L1555" s="85"/>
      <c r="M1555" s="83"/>
      <c r="N1555" s="85"/>
    </row>
    <row r="1556">
      <c r="L1556" s="85"/>
      <c r="M1556" s="83"/>
      <c r="N1556" s="85"/>
    </row>
    <row r="1557">
      <c r="L1557" s="85"/>
      <c r="M1557" s="83"/>
      <c r="N1557" s="85"/>
    </row>
    <row r="1558">
      <c r="L1558" s="85"/>
      <c r="M1558" s="83"/>
      <c r="N1558" s="85"/>
    </row>
    <row r="1559">
      <c r="L1559" s="85"/>
      <c r="M1559" s="83"/>
      <c r="N1559" s="85"/>
    </row>
    <row r="1560">
      <c r="L1560" s="85"/>
      <c r="M1560" s="83"/>
      <c r="N1560" s="85"/>
    </row>
    <row r="1561">
      <c r="L1561" s="85"/>
      <c r="M1561" s="83"/>
      <c r="N1561" s="85"/>
    </row>
    <row r="1562">
      <c r="L1562" s="85"/>
      <c r="M1562" s="83"/>
      <c r="N1562" s="85"/>
    </row>
    <row r="1563">
      <c r="L1563" s="85"/>
      <c r="M1563" s="83"/>
      <c r="N1563" s="85"/>
    </row>
    <row r="1564">
      <c r="L1564" s="85"/>
      <c r="M1564" s="83"/>
      <c r="N1564" s="85"/>
    </row>
    <row r="1565">
      <c r="L1565" s="85"/>
      <c r="M1565" s="83"/>
      <c r="N1565" s="85"/>
    </row>
    <row r="1566">
      <c r="L1566" s="85"/>
      <c r="M1566" s="83"/>
      <c r="N1566" s="85"/>
    </row>
    <row r="1567">
      <c r="L1567" s="85"/>
      <c r="M1567" s="83"/>
      <c r="N1567" s="85"/>
    </row>
    <row r="1568">
      <c r="L1568" s="85"/>
      <c r="M1568" s="83"/>
      <c r="N1568" s="85"/>
    </row>
    <row r="1569">
      <c r="L1569" s="85"/>
      <c r="M1569" s="83"/>
      <c r="N1569" s="85"/>
    </row>
    <row r="1570">
      <c r="L1570" s="85"/>
      <c r="M1570" s="83"/>
      <c r="N1570" s="85"/>
    </row>
    <row r="1571">
      <c r="L1571" s="85"/>
      <c r="M1571" s="83"/>
      <c r="N1571" s="85"/>
    </row>
    <row r="1572">
      <c r="L1572" s="85"/>
      <c r="M1572" s="83"/>
      <c r="N1572" s="85"/>
    </row>
    <row r="1573">
      <c r="L1573" s="85"/>
      <c r="M1573" s="83"/>
      <c r="N1573" s="85"/>
    </row>
    <row r="1574">
      <c r="L1574" s="85"/>
      <c r="M1574" s="83"/>
      <c r="N1574" s="85"/>
    </row>
    <row r="1575">
      <c r="L1575" s="85"/>
      <c r="M1575" s="83"/>
      <c r="N1575" s="85"/>
    </row>
    <row r="1576">
      <c r="L1576" s="85"/>
      <c r="M1576" s="83"/>
      <c r="N1576" s="85"/>
    </row>
    <row r="1577">
      <c r="L1577" s="85"/>
      <c r="M1577" s="83"/>
      <c r="N1577" s="85"/>
    </row>
    <row r="1578">
      <c r="L1578" s="85"/>
      <c r="M1578" s="83"/>
      <c r="N1578" s="85"/>
    </row>
    <row r="1579">
      <c r="L1579" s="85"/>
      <c r="M1579" s="83"/>
      <c r="N1579" s="85"/>
    </row>
    <row r="1580">
      <c r="L1580" s="85"/>
      <c r="M1580" s="83"/>
      <c r="N1580" s="85"/>
    </row>
    <row r="1581">
      <c r="L1581" s="85"/>
      <c r="M1581" s="83"/>
      <c r="N1581" s="85"/>
    </row>
    <row r="1582">
      <c r="L1582" s="85"/>
      <c r="M1582" s="83"/>
      <c r="N1582" s="85"/>
    </row>
    <row r="1583">
      <c r="L1583" s="85"/>
      <c r="M1583" s="83"/>
      <c r="N1583" s="85"/>
    </row>
    <row r="1584">
      <c r="L1584" s="85"/>
      <c r="M1584" s="83"/>
      <c r="N1584" s="85"/>
    </row>
    <row r="1585">
      <c r="L1585" s="85"/>
      <c r="M1585" s="83"/>
      <c r="N1585" s="85"/>
    </row>
    <row r="1586">
      <c r="L1586" s="85"/>
      <c r="M1586" s="83"/>
      <c r="N1586" s="85"/>
    </row>
    <row r="1587">
      <c r="L1587" s="85"/>
      <c r="M1587" s="83"/>
      <c r="N1587" s="85"/>
    </row>
    <row r="1588">
      <c r="L1588" s="85"/>
      <c r="M1588" s="83"/>
      <c r="N1588" s="85"/>
    </row>
    <row r="1589">
      <c r="L1589" s="85"/>
      <c r="M1589" s="83"/>
      <c r="N1589" s="85"/>
    </row>
    <row r="1590">
      <c r="L1590" s="85"/>
      <c r="M1590" s="83"/>
      <c r="N1590" s="85"/>
    </row>
    <row r="1591">
      <c r="L1591" s="85"/>
      <c r="M1591" s="83"/>
      <c r="N1591" s="85"/>
    </row>
    <row r="1592">
      <c r="L1592" s="85"/>
      <c r="M1592" s="83"/>
      <c r="N1592" s="85"/>
    </row>
    <row r="1593">
      <c r="L1593" s="85"/>
      <c r="M1593" s="83"/>
      <c r="N1593" s="85"/>
    </row>
    <row r="1594">
      <c r="L1594" s="85"/>
      <c r="M1594" s="83"/>
      <c r="N1594" s="85"/>
    </row>
    <row r="1595">
      <c r="L1595" s="85"/>
      <c r="M1595" s="83"/>
      <c r="N1595" s="85"/>
    </row>
    <row r="1596">
      <c r="L1596" s="85"/>
      <c r="M1596" s="83"/>
      <c r="N1596" s="85"/>
    </row>
    <row r="1597">
      <c r="L1597" s="85"/>
      <c r="M1597" s="83"/>
      <c r="N1597" s="85"/>
    </row>
    <row r="1598">
      <c r="L1598" s="85"/>
      <c r="M1598" s="83"/>
      <c r="N1598" s="85"/>
    </row>
    <row r="1599">
      <c r="L1599" s="85"/>
      <c r="M1599" s="83"/>
      <c r="N1599" s="85"/>
    </row>
    <row r="1600">
      <c r="L1600" s="85"/>
      <c r="M1600" s="83"/>
      <c r="N1600" s="85"/>
    </row>
    <row r="1601">
      <c r="L1601" s="85"/>
      <c r="M1601" s="83"/>
      <c r="N1601" s="85"/>
    </row>
    <row r="1602">
      <c r="L1602" s="85"/>
      <c r="M1602" s="83"/>
      <c r="N1602" s="85"/>
    </row>
    <row r="1603">
      <c r="L1603" s="85"/>
      <c r="M1603" s="83"/>
      <c r="N1603" s="85"/>
    </row>
    <row r="1604">
      <c r="L1604" s="85"/>
      <c r="M1604" s="83"/>
      <c r="N1604" s="85"/>
    </row>
    <row r="1605">
      <c r="L1605" s="85"/>
      <c r="M1605" s="83"/>
      <c r="N1605" s="85"/>
    </row>
    <row r="1606">
      <c r="L1606" s="85"/>
      <c r="M1606" s="83"/>
      <c r="N1606" s="85"/>
    </row>
    <row r="1607">
      <c r="L1607" s="85"/>
      <c r="M1607" s="83"/>
      <c r="N1607" s="85"/>
    </row>
    <row r="1608">
      <c r="L1608" s="85"/>
      <c r="M1608" s="83"/>
      <c r="N1608" s="85"/>
    </row>
    <row r="1609">
      <c r="L1609" s="85"/>
      <c r="M1609" s="83"/>
      <c r="N1609" s="85"/>
    </row>
    <row r="1610">
      <c r="L1610" s="85"/>
      <c r="M1610" s="83"/>
      <c r="N1610" s="85"/>
    </row>
    <row r="1611">
      <c r="L1611" s="85"/>
      <c r="M1611" s="83"/>
      <c r="N1611" s="85"/>
    </row>
    <row r="1612">
      <c r="L1612" s="85"/>
      <c r="M1612" s="83"/>
      <c r="N1612" s="85"/>
    </row>
    <row r="1613">
      <c r="L1613" s="85"/>
      <c r="M1613" s="83"/>
      <c r="N1613" s="85"/>
    </row>
    <row r="1614">
      <c r="L1614" s="85"/>
      <c r="M1614" s="83"/>
      <c r="N1614" s="85"/>
    </row>
    <row r="1615">
      <c r="L1615" s="85"/>
      <c r="M1615" s="83"/>
      <c r="N1615" s="85"/>
    </row>
    <row r="1616">
      <c r="L1616" s="85"/>
      <c r="M1616" s="83"/>
      <c r="N1616" s="85"/>
    </row>
    <row r="1617">
      <c r="L1617" s="85"/>
      <c r="M1617" s="83"/>
      <c r="N1617" s="85"/>
    </row>
    <row r="1618">
      <c r="L1618" s="85"/>
      <c r="M1618" s="83"/>
      <c r="N1618" s="85"/>
    </row>
    <row r="1619">
      <c r="L1619" s="85"/>
      <c r="M1619" s="83"/>
      <c r="N1619" s="85"/>
    </row>
    <row r="1620">
      <c r="L1620" s="85"/>
      <c r="M1620" s="83"/>
      <c r="N1620" s="85"/>
    </row>
    <row r="1621">
      <c r="L1621" s="85"/>
      <c r="M1621" s="83"/>
      <c r="N1621" s="85"/>
    </row>
    <row r="1622">
      <c r="L1622" s="85"/>
      <c r="M1622" s="83"/>
      <c r="N1622" s="85"/>
    </row>
    <row r="1623">
      <c r="L1623" s="85"/>
      <c r="M1623" s="83"/>
      <c r="N1623" s="85"/>
    </row>
    <row r="1624">
      <c r="L1624" s="85"/>
      <c r="M1624" s="83"/>
      <c r="N1624" s="85"/>
    </row>
    <row r="1625">
      <c r="L1625" s="85"/>
      <c r="M1625" s="83"/>
      <c r="N1625" s="85"/>
    </row>
    <row r="1626">
      <c r="L1626" s="85"/>
      <c r="M1626" s="83"/>
      <c r="N1626" s="85"/>
    </row>
    <row r="1627">
      <c r="L1627" s="85"/>
      <c r="M1627" s="83"/>
      <c r="N1627" s="85"/>
    </row>
    <row r="1628">
      <c r="L1628" s="85"/>
      <c r="M1628" s="83"/>
      <c r="N1628" s="85"/>
    </row>
    <row r="1629">
      <c r="L1629" s="85"/>
      <c r="M1629" s="83"/>
      <c r="N1629" s="85"/>
    </row>
    <row r="1630">
      <c r="L1630" s="85"/>
      <c r="M1630" s="83"/>
      <c r="N1630" s="85"/>
    </row>
    <row r="1631">
      <c r="L1631" s="85"/>
      <c r="M1631" s="83"/>
      <c r="N1631" s="85"/>
    </row>
    <row r="1632">
      <c r="L1632" s="85"/>
      <c r="M1632" s="83"/>
      <c r="N1632" s="85"/>
    </row>
    <row r="1633">
      <c r="L1633" s="85"/>
      <c r="M1633" s="83"/>
      <c r="N1633" s="85"/>
    </row>
    <row r="1634">
      <c r="L1634" s="85"/>
      <c r="M1634" s="83"/>
      <c r="N1634" s="85"/>
    </row>
    <row r="1635">
      <c r="L1635" s="85"/>
      <c r="M1635" s="83"/>
      <c r="N1635" s="85"/>
    </row>
    <row r="1636">
      <c r="L1636" s="85"/>
      <c r="M1636" s="83"/>
      <c r="N1636" s="85"/>
    </row>
    <row r="1637">
      <c r="L1637" s="85"/>
      <c r="M1637" s="83"/>
      <c r="N1637" s="85"/>
    </row>
    <row r="1638">
      <c r="L1638" s="85"/>
      <c r="M1638" s="83"/>
      <c r="N1638" s="85"/>
    </row>
    <row r="1639">
      <c r="L1639" s="85"/>
      <c r="M1639" s="83"/>
      <c r="N1639" s="85"/>
    </row>
    <row r="1640">
      <c r="L1640" s="85"/>
      <c r="M1640" s="83"/>
      <c r="N1640" s="85"/>
    </row>
    <row r="1641">
      <c r="L1641" s="85"/>
      <c r="M1641" s="83"/>
      <c r="N1641" s="85"/>
    </row>
    <row r="1642">
      <c r="L1642" s="85"/>
      <c r="M1642" s="83"/>
      <c r="N1642" s="85"/>
    </row>
    <row r="1643">
      <c r="L1643" s="85"/>
      <c r="M1643" s="83"/>
      <c r="N1643" s="85"/>
    </row>
    <row r="1644">
      <c r="L1644" s="85"/>
      <c r="M1644" s="83"/>
      <c r="N1644" s="85"/>
    </row>
    <row r="1645">
      <c r="L1645" s="85"/>
      <c r="M1645" s="83"/>
      <c r="N1645" s="85"/>
    </row>
    <row r="1646">
      <c r="L1646" s="85"/>
      <c r="M1646" s="83"/>
      <c r="N1646" s="85"/>
    </row>
    <row r="1647">
      <c r="L1647" s="85"/>
      <c r="M1647" s="83"/>
      <c r="N1647" s="85"/>
    </row>
    <row r="1648">
      <c r="L1648" s="85"/>
      <c r="M1648" s="83"/>
      <c r="N1648" s="85"/>
    </row>
    <row r="1649">
      <c r="L1649" s="85"/>
      <c r="M1649" s="83"/>
      <c r="N1649" s="85"/>
    </row>
    <row r="1650">
      <c r="L1650" s="85"/>
      <c r="M1650" s="83"/>
      <c r="N1650" s="85"/>
    </row>
    <row r="1651">
      <c r="L1651" s="85"/>
      <c r="M1651" s="83"/>
      <c r="N1651" s="85"/>
    </row>
    <row r="1652">
      <c r="L1652" s="85"/>
      <c r="M1652" s="83"/>
      <c r="N1652" s="85"/>
    </row>
    <row r="1653">
      <c r="L1653" s="85"/>
      <c r="M1653" s="83"/>
      <c r="N1653" s="85"/>
    </row>
    <row r="1654">
      <c r="L1654" s="85"/>
      <c r="M1654" s="83"/>
      <c r="N1654" s="85"/>
    </row>
    <row r="1655">
      <c r="L1655" s="85"/>
      <c r="M1655" s="83"/>
      <c r="N1655" s="85"/>
    </row>
    <row r="1656">
      <c r="L1656" s="85"/>
      <c r="M1656" s="83"/>
      <c r="N1656" s="85"/>
    </row>
    <row r="1657">
      <c r="L1657" s="85"/>
      <c r="M1657" s="83"/>
      <c r="N1657" s="85"/>
    </row>
    <row r="1658">
      <c r="L1658" s="85"/>
      <c r="M1658" s="83"/>
      <c r="N1658" s="85"/>
    </row>
    <row r="1659">
      <c r="L1659" s="85"/>
      <c r="M1659" s="83"/>
      <c r="N1659" s="85"/>
    </row>
    <row r="1660">
      <c r="L1660" s="85"/>
      <c r="M1660" s="83"/>
      <c r="N1660" s="85"/>
    </row>
    <row r="1661">
      <c r="L1661" s="85"/>
      <c r="M1661" s="83"/>
      <c r="N1661" s="85"/>
    </row>
    <row r="1662">
      <c r="L1662" s="85"/>
      <c r="M1662" s="83"/>
      <c r="N1662" s="85"/>
    </row>
    <row r="1663">
      <c r="L1663" s="85"/>
      <c r="M1663" s="83"/>
      <c r="N1663" s="85"/>
    </row>
    <row r="1664">
      <c r="L1664" s="85"/>
      <c r="M1664" s="83"/>
      <c r="N1664" s="85"/>
    </row>
    <row r="1665">
      <c r="L1665" s="85"/>
      <c r="M1665" s="83"/>
      <c r="N1665" s="85"/>
    </row>
    <row r="1666">
      <c r="L1666" s="85"/>
      <c r="M1666" s="83"/>
      <c r="N1666" s="85"/>
    </row>
    <row r="1667">
      <c r="L1667" s="85"/>
      <c r="M1667" s="83"/>
      <c r="N1667" s="85"/>
    </row>
    <row r="1668">
      <c r="L1668" s="85"/>
      <c r="M1668" s="83"/>
      <c r="N1668" s="85"/>
    </row>
    <row r="1669">
      <c r="L1669" s="85"/>
      <c r="M1669" s="83"/>
      <c r="N1669" s="85"/>
    </row>
    <row r="1670">
      <c r="L1670" s="85"/>
      <c r="M1670" s="83"/>
      <c r="N1670" s="85"/>
    </row>
    <row r="1671">
      <c r="L1671" s="85"/>
      <c r="M1671" s="83"/>
      <c r="N1671" s="85"/>
    </row>
    <row r="1672">
      <c r="L1672" s="85"/>
      <c r="M1672" s="83"/>
      <c r="N1672" s="85"/>
    </row>
    <row r="1673">
      <c r="L1673" s="85"/>
      <c r="M1673" s="83"/>
      <c r="N1673" s="85"/>
    </row>
    <row r="1674">
      <c r="L1674" s="85"/>
      <c r="M1674" s="83"/>
      <c r="N1674" s="85"/>
    </row>
    <row r="1675">
      <c r="L1675" s="85"/>
      <c r="M1675" s="83"/>
      <c r="N1675" s="85"/>
    </row>
    <row r="1676">
      <c r="L1676" s="85"/>
      <c r="M1676" s="83"/>
      <c r="N1676" s="85"/>
    </row>
    <row r="1677">
      <c r="L1677" s="85"/>
      <c r="M1677" s="83"/>
      <c r="N1677" s="85"/>
    </row>
    <row r="1678">
      <c r="L1678" s="85"/>
      <c r="M1678" s="83"/>
      <c r="N1678" s="85"/>
    </row>
    <row r="1679">
      <c r="L1679" s="85"/>
      <c r="M1679" s="83"/>
      <c r="N1679" s="85"/>
    </row>
    <row r="1680">
      <c r="L1680" s="85"/>
      <c r="M1680" s="83"/>
      <c r="N1680" s="85"/>
    </row>
    <row r="1681">
      <c r="L1681" s="85"/>
      <c r="M1681" s="83"/>
      <c r="N1681" s="85"/>
    </row>
    <row r="1682">
      <c r="L1682" s="85"/>
      <c r="M1682" s="83"/>
      <c r="N1682" s="85"/>
    </row>
    <row r="1683">
      <c r="L1683" s="85"/>
      <c r="M1683" s="83"/>
      <c r="N1683" s="85"/>
    </row>
    <row r="1684">
      <c r="L1684" s="85"/>
      <c r="M1684" s="83"/>
      <c r="N1684" s="85"/>
    </row>
    <row r="1685">
      <c r="L1685" s="85"/>
      <c r="M1685" s="83"/>
      <c r="N1685" s="85"/>
    </row>
    <row r="1686">
      <c r="L1686" s="85"/>
      <c r="M1686" s="83"/>
      <c r="N1686" s="85"/>
    </row>
    <row r="1687">
      <c r="L1687" s="85"/>
      <c r="M1687" s="83"/>
      <c r="N1687" s="85"/>
    </row>
    <row r="1688">
      <c r="L1688" s="85"/>
      <c r="M1688" s="83"/>
      <c r="N1688" s="85"/>
    </row>
    <row r="1689">
      <c r="L1689" s="85"/>
      <c r="M1689" s="83"/>
      <c r="N1689" s="85"/>
    </row>
    <row r="1690">
      <c r="L1690" s="85"/>
      <c r="M1690" s="83"/>
      <c r="N1690" s="85"/>
    </row>
    <row r="1691">
      <c r="L1691" s="85"/>
      <c r="M1691" s="83"/>
      <c r="N1691" s="85"/>
    </row>
    <row r="1692">
      <c r="L1692" s="85"/>
      <c r="M1692" s="83"/>
      <c r="N1692" s="85"/>
    </row>
    <row r="1693">
      <c r="L1693" s="85"/>
      <c r="M1693" s="83"/>
      <c r="N1693" s="85"/>
    </row>
    <row r="1694">
      <c r="L1694" s="85"/>
      <c r="M1694" s="83"/>
      <c r="N1694" s="85"/>
    </row>
    <row r="1695">
      <c r="L1695" s="85"/>
      <c r="M1695" s="83"/>
      <c r="N1695" s="85"/>
    </row>
    <row r="1696">
      <c r="L1696" s="85"/>
      <c r="M1696" s="83"/>
      <c r="N1696" s="85"/>
    </row>
    <row r="1697">
      <c r="L1697" s="85"/>
      <c r="M1697" s="83"/>
      <c r="N1697" s="85"/>
    </row>
    <row r="1698">
      <c r="L1698" s="85"/>
      <c r="M1698" s="83"/>
      <c r="N1698" s="85"/>
    </row>
    <row r="1699">
      <c r="L1699" s="85"/>
      <c r="M1699" s="83"/>
      <c r="N1699" s="85"/>
    </row>
    <row r="1700">
      <c r="L1700" s="85"/>
      <c r="M1700" s="83"/>
      <c r="N1700" s="85"/>
    </row>
    <row r="1701">
      <c r="L1701" s="85"/>
      <c r="M1701" s="83"/>
      <c r="N1701" s="85"/>
    </row>
    <row r="1702">
      <c r="L1702" s="85"/>
      <c r="M1702" s="83"/>
      <c r="N1702" s="85"/>
    </row>
    <row r="1703">
      <c r="L1703" s="85"/>
      <c r="M1703" s="83"/>
      <c r="N1703" s="85"/>
    </row>
    <row r="1704">
      <c r="L1704" s="85"/>
      <c r="M1704" s="83"/>
      <c r="N1704" s="85"/>
    </row>
    <row r="1705">
      <c r="L1705" s="85"/>
      <c r="M1705" s="83"/>
      <c r="N1705" s="85"/>
    </row>
    <row r="1706">
      <c r="L1706" s="85"/>
      <c r="M1706" s="83"/>
      <c r="N1706" s="85"/>
    </row>
    <row r="1707">
      <c r="L1707" s="85"/>
      <c r="M1707" s="83"/>
      <c r="N1707" s="85"/>
    </row>
    <row r="1708">
      <c r="L1708" s="85"/>
      <c r="M1708" s="83"/>
      <c r="N1708" s="85"/>
    </row>
    <row r="1709">
      <c r="L1709" s="85"/>
      <c r="M1709" s="83"/>
      <c r="N1709" s="85"/>
    </row>
    <row r="1710">
      <c r="L1710" s="85"/>
      <c r="M1710" s="83"/>
      <c r="N1710" s="85"/>
    </row>
    <row r="1711">
      <c r="L1711" s="85"/>
      <c r="M1711" s="83"/>
      <c r="N1711" s="85"/>
    </row>
    <row r="1712">
      <c r="L1712" s="85"/>
      <c r="M1712" s="83"/>
      <c r="N1712" s="85"/>
    </row>
    <row r="1713">
      <c r="L1713" s="85"/>
      <c r="M1713" s="83"/>
      <c r="N1713" s="85"/>
    </row>
    <row r="1714">
      <c r="L1714" s="85"/>
      <c r="M1714" s="83"/>
      <c r="N1714" s="85"/>
    </row>
    <row r="1715">
      <c r="L1715" s="85"/>
      <c r="M1715" s="83"/>
      <c r="N1715" s="85"/>
    </row>
    <row r="1716">
      <c r="L1716" s="85"/>
      <c r="M1716" s="83"/>
      <c r="N1716" s="85"/>
    </row>
    <row r="1717">
      <c r="L1717" s="85"/>
      <c r="M1717" s="83"/>
      <c r="N1717" s="85"/>
    </row>
    <row r="1718">
      <c r="L1718" s="85"/>
      <c r="M1718" s="83"/>
      <c r="N1718" s="85"/>
    </row>
    <row r="1719">
      <c r="L1719" s="85"/>
      <c r="M1719" s="83"/>
      <c r="N1719" s="85"/>
    </row>
    <row r="1720">
      <c r="L1720" s="85"/>
      <c r="M1720" s="83"/>
      <c r="N1720" s="85"/>
    </row>
    <row r="1721">
      <c r="L1721" s="85"/>
      <c r="M1721" s="83"/>
      <c r="N1721" s="85"/>
    </row>
    <row r="1722">
      <c r="L1722" s="85"/>
      <c r="M1722" s="83"/>
      <c r="N1722" s="85"/>
    </row>
    <row r="1723">
      <c r="L1723" s="85"/>
      <c r="M1723" s="83"/>
      <c r="N1723" s="85"/>
    </row>
    <row r="1724">
      <c r="L1724" s="85"/>
      <c r="M1724" s="83"/>
      <c r="N1724" s="85"/>
    </row>
    <row r="1725">
      <c r="L1725" s="85"/>
      <c r="M1725" s="83"/>
      <c r="N1725" s="85"/>
    </row>
    <row r="1726">
      <c r="L1726" s="85"/>
      <c r="M1726" s="83"/>
      <c r="N1726" s="85"/>
    </row>
    <row r="1727">
      <c r="L1727" s="85"/>
      <c r="M1727" s="83"/>
      <c r="N1727" s="85"/>
    </row>
    <row r="1728">
      <c r="L1728" s="85"/>
      <c r="M1728" s="83"/>
      <c r="N1728" s="85"/>
    </row>
    <row r="1729">
      <c r="L1729" s="85"/>
      <c r="M1729" s="83"/>
      <c r="N1729" s="85"/>
    </row>
    <row r="1730">
      <c r="L1730" s="85"/>
      <c r="M1730" s="83"/>
      <c r="N1730" s="85"/>
    </row>
    <row r="1731">
      <c r="L1731" s="85"/>
      <c r="M1731" s="83"/>
      <c r="N1731" s="85"/>
    </row>
    <row r="1732">
      <c r="L1732" s="85"/>
      <c r="M1732" s="83"/>
      <c r="N1732" s="85"/>
    </row>
    <row r="1733">
      <c r="L1733" s="85"/>
      <c r="M1733" s="83"/>
      <c r="N1733" s="85"/>
    </row>
    <row r="1734">
      <c r="L1734" s="85"/>
      <c r="M1734" s="83"/>
      <c r="N1734" s="85"/>
    </row>
    <row r="1735">
      <c r="L1735" s="85"/>
      <c r="M1735" s="83"/>
      <c r="N1735" s="85"/>
    </row>
    <row r="1736">
      <c r="L1736" s="85"/>
      <c r="M1736" s="83"/>
      <c r="N1736" s="85"/>
    </row>
    <row r="1737">
      <c r="L1737" s="85"/>
      <c r="M1737" s="83"/>
      <c r="N1737" s="85"/>
    </row>
    <row r="1738">
      <c r="L1738" s="85"/>
      <c r="M1738" s="83"/>
      <c r="N1738" s="85"/>
    </row>
    <row r="1739">
      <c r="L1739" s="85"/>
      <c r="M1739" s="83"/>
      <c r="N1739" s="85"/>
    </row>
    <row r="1740">
      <c r="L1740" s="85"/>
      <c r="M1740" s="83"/>
      <c r="N1740" s="85"/>
    </row>
    <row r="1741">
      <c r="L1741" s="85"/>
      <c r="M1741" s="83"/>
      <c r="N1741" s="85"/>
    </row>
    <row r="1742">
      <c r="L1742" s="85"/>
      <c r="M1742" s="83"/>
      <c r="N1742" s="85"/>
    </row>
    <row r="1743">
      <c r="L1743" s="85"/>
      <c r="M1743" s="83"/>
      <c r="N1743" s="85"/>
    </row>
    <row r="1744">
      <c r="L1744" s="85"/>
      <c r="M1744" s="83"/>
      <c r="N1744" s="85"/>
    </row>
    <row r="1745">
      <c r="L1745" s="85"/>
      <c r="M1745" s="83"/>
      <c r="N1745" s="85"/>
    </row>
    <row r="1746">
      <c r="L1746" s="85"/>
      <c r="M1746" s="83"/>
      <c r="N1746" s="85"/>
    </row>
    <row r="1747">
      <c r="L1747" s="85"/>
      <c r="M1747" s="83"/>
      <c r="N1747" s="85"/>
    </row>
    <row r="1748">
      <c r="L1748" s="85"/>
      <c r="M1748" s="83"/>
      <c r="N1748" s="85"/>
    </row>
    <row r="1749">
      <c r="L1749" s="85"/>
      <c r="M1749" s="83"/>
      <c r="N1749" s="85"/>
    </row>
    <row r="1750">
      <c r="L1750" s="85"/>
      <c r="M1750" s="83"/>
      <c r="N1750" s="85"/>
    </row>
    <row r="1751">
      <c r="L1751" s="85"/>
      <c r="M1751" s="83"/>
      <c r="N1751" s="85"/>
    </row>
    <row r="1752">
      <c r="L1752" s="85"/>
      <c r="M1752" s="83"/>
      <c r="N1752" s="85"/>
    </row>
    <row r="1753">
      <c r="L1753" s="85"/>
      <c r="M1753" s="83"/>
      <c r="N1753" s="85"/>
    </row>
    <row r="1754">
      <c r="L1754" s="85"/>
      <c r="M1754" s="83"/>
      <c r="N1754" s="85"/>
    </row>
    <row r="1755">
      <c r="L1755" s="85"/>
      <c r="M1755" s="83"/>
      <c r="N1755" s="85"/>
    </row>
    <row r="1756">
      <c r="L1756" s="85"/>
      <c r="M1756" s="83"/>
      <c r="N1756" s="85"/>
    </row>
    <row r="1757">
      <c r="L1757" s="85"/>
      <c r="M1757" s="83"/>
      <c r="N1757" s="85"/>
    </row>
    <row r="1758">
      <c r="L1758" s="85"/>
      <c r="M1758" s="83"/>
      <c r="N1758" s="85"/>
    </row>
    <row r="1759">
      <c r="L1759" s="85"/>
      <c r="M1759" s="83"/>
      <c r="N1759" s="85"/>
    </row>
    <row r="1760">
      <c r="L1760" s="85"/>
      <c r="M1760" s="83"/>
      <c r="N1760" s="85"/>
    </row>
    <row r="1761">
      <c r="L1761" s="85"/>
      <c r="M1761" s="83"/>
      <c r="N1761" s="85"/>
    </row>
    <row r="1762">
      <c r="L1762" s="85"/>
      <c r="M1762" s="83"/>
      <c r="N1762" s="85"/>
    </row>
    <row r="1763">
      <c r="L1763" s="85"/>
      <c r="M1763" s="83"/>
      <c r="N1763" s="85"/>
    </row>
    <row r="1764">
      <c r="L1764" s="85"/>
      <c r="M1764" s="83"/>
      <c r="N1764" s="85"/>
    </row>
    <row r="1765">
      <c r="L1765" s="85"/>
      <c r="M1765" s="83"/>
      <c r="N1765" s="85"/>
    </row>
    <row r="1766">
      <c r="L1766" s="85"/>
      <c r="M1766" s="83"/>
      <c r="N1766" s="85"/>
    </row>
    <row r="1767">
      <c r="L1767" s="85"/>
      <c r="M1767" s="83"/>
      <c r="N1767" s="85"/>
    </row>
    <row r="1768">
      <c r="L1768" s="85"/>
      <c r="M1768" s="83"/>
      <c r="N1768" s="85"/>
    </row>
    <row r="1769">
      <c r="L1769" s="85"/>
      <c r="M1769" s="83"/>
      <c r="N1769" s="85"/>
    </row>
    <row r="1770">
      <c r="L1770" s="85"/>
      <c r="M1770" s="83"/>
      <c r="N1770" s="85"/>
    </row>
    <row r="1771">
      <c r="L1771" s="85"/>
      <c r="M1771" s="83"/>
      <c r="N1771" s="85"/>
    </row>
    <row r="1772">
      <c r="L1772" s="85"/>
      <c r="M1772" s="83"/>
      <c r="N1772" s="85"/>
    </row>
    <row r="1773">
      <c r="L1773" s="85"/>
      <c r="M1773" s="83"/>
      <c r="N1773" s="85"/>
    </row>
    <row r="1774">
      <c r="L1774" s="85"/>
      <c r="M1774" s="83"/>
      <c r="N1774" s="85"/>
    </row>
    <row r="1775">
      <c r="L1775" s="85"/>
      <c r="M1775" s="83"/>
      <c r="N1775" s="85"/>
    </row>
    <row r="1776">
      <c r="L1776" s="85"/>
      <c r="M1776" s="83"/>
      <c r="N1776" s="85"/>
    </row>
    <row r="1777">
      <c r="L1777" s="85"/>
      <c r="M1777" s="83"/>
      <c r="N1777" s="85"/>
    </row>
    <row r="1778">
      <c r="L1778" s="85"/>
      <c r="M1778" s="83"/>
      <c r="N1778" s="85"/>
    </row>
    <row r="1779">
      <c r="L1779" s="85"/>
      <c r="M1779" s="83"/>
      <c r="N1779" s="85"/>
    </row>
    <row r="1780">
      <c r="L1780" s="85"/>
      <c r="M1780" s="83"/>
      <c r="N1780" s="85"/>
    </row>
    <row r="1781">
      <c r="L1781" s="85"/>
      <c r="M1781" s="83"/>
      <c r="N1781" s="85"/>
    </row>
    <row r="1782">
      <c r="L1782" s="85"/>
      <c r="M1782" s="83"/>
      <c r="N1782" s="85"/>
    </row>
    <row r="1783">
      <c r="L1783" s="85"/>
      <c r="M1783" s="83"/>
      <c r="N1783" s="85"/>
    </row>
    <row r="1784">
      <c r="L1784" s="85"/>
      <c r="M1784" s="83"/>
      <c r="N1784" s="85"/>
    </row>
    <row r="1785">
      <c r="L1785" s="85"/>
      <c r="M1785" s="83"/>
      <c r="N1785" s="85"/>
    </row>
    <row r="1786">
      <c r="L1786" s="85"/>
      <c r="M1786" s="83"/>
      <c r="N1786" s="85"/>
    </row>
    <row r="1787">
      <c r="L1787" s="85"/>
      <c r="M1787" s="83"/>
      <c r="N1787" s="85"/>
    </row>
    <row r="1788">
      <c r="L1788" s="85"/>
      <c r="M1788" s="83"/>
      <c r="N1788" s="85"/>
    </row>
    <row r="1789">
      <c r="L1789" s="85"/>
      <c r="M1789" s="83"/>
      <c r="N1789" s="85"/>
    </row>
    <row r="1790">
      <c r="L1790" s="85"/>
      <c r="M1790" s="83"/>
      <c r="N1790" s="85"/>
    </row>
    <row r="1791">
      <c r="L1791" s="85"/>
      <c r="M1791" s="83"/>
      <c r="N1791" s="85"/>
    </row>
    <row r="1792">
      <c r="L1792" s="85"/>
      <c r="M1792" s="83"/>
      <c r="N1792" s="85"/>
    </row>
    <row r="1793">
      <c r="L1793" s="85"/>
      <c r="M1793" s="83"/>
      <c r="N1793" s="85"/>
    </row>
    <row r="1794">
      <c r="L1794" s="85"/>
      <c r="M1794" s="83"/>
      <c r="N1794" s="85"/>
    </row>
    <row r="1795">
      <c r="L1795" s="85"/>
      <c r="M1795" s="83"/>
      <c r="N1795" s="85"/>
    </row>
    <row r="1796">
      <c r="L1796" s="85"/>
      <c r="M1796" s="83"/>
      <c r="N1796" s="85"/>
    </row>
    <row r="1797">
      <c r="L1797" s="85"/>
      <c r="M1797" s="83"/>
      <c r="N1797" s="85"/>
    </row>
    <row r="1798">
      <c r="L1798" s="85"/>
      <c r="M1798" s="83"/>
      <c r="N1798" s="85"/>
    </row>
    <row r="1799">
      <c r="L1799" s="85"/>
      <c r="M1799" s="83"/>
      <c r="N1799" s="85"/>
    </row>
    <row r="1800">
      <c r="L1800" s="85"/>
      <c r="M1800" s="83"/>
      <c r="N1800" s="85"/>
    </row>
    <row r="1801">
      <c r="L1801" s="85"/>
      <c r="M1801" s="83"/>
      <c r="N1801" s="85"/>
    </row>
    <row r="1802">
      <c r="L1802" s="85"/>
      <c r="M1802" s="83"/>
      <c r="N1802" s="85"/>
    </row>
    <row r="1803">
      <c r="L1803" s="85"/>
      <c r="M1803" s="83"/>
      <c r="N1803" s="85"/>
    </row>
    <row r="1804">
      <c r="L1804" s="85"/>
      <c r="M1804" s="83"/>
      <c r="N1804" s="85"/>
    </row>
    <row r="1805">
      <c r="L1805" s="85"/>
      <c r="M1805" s="83"/>
      <c r="N1805" s="85"/>
    </row>
    <row r="1806">
      <c r="L1806" s="85"/>
      <c r="M1806" s="83"/>
      <c r="N1806" s="85"/>
    </row>
    <row r="1807">
      <c r="L1807" s="85"/>
      <c r="M1807" s="83"/>
      <c r="N1807" s="85"/>
    </row>
    <row r="1808">
      <c r="L1808" s="85"/>
      <c r="M1808" s="83"/>
      <c r="N1808" s="85"/>
    </row>
    <row r="1809">
      <c r="L1809" s="85"/>
      <c r="M1809" s="83"/>
      <c r="N1809" s="85"/>
    </row>
    <row r="1810">
      <c r="L1810" s="85"/>
      <c r="M1810" s="83"/>
      <c r="N1810" s="85"/>
    </row>
    <row r="1811">
      <c r="L1811" s="85"/>
      <c r="M1811" s="83"/>
      <c r="N1811" s="85"/>
    </row>
    <row r="1812">
      <c r="L1812" s="85"/>
      <c r="M1812" s="83"/>
      <c r="N1812" s="85"/>
    </row>
    <row r="1813">
      <c r="L1813" s="85"/>
      <c r="M1813" s="83"/>
      <c r="N1813" s="85"/>
    </row>
    <row r="1814">
      <c r="L1814" s="85"/>
      <c r="M1814" s="83"/>
      <c r="N1814" s="85"/>
    </row>
    <row r="1815">
      <c r="L1815" s="85"/>
      <c r="M1815" s="83"/>
      <c r="N1815" s="85"/>
    </row>
    <row r="1816">
      <c r="L1816" s="85"/>
      <c r="M1816" s="83"/>
      <c r="N1816" s="85"/>
    </row>
    <row r="1817">
      <c r="L1817" s="85"/>
      <c r="M1817" s="83"/>
      <c r="N1817" s="85"/>
    </row>
    <row r="1818">
      <c r="L1818" s="85"/>
      <c r="M1818" s="83"/>
      <c r="N1818" s="85"/>
    </row>
    <row r="1819">
      <c r="L1819" s="85"/>
      <c r="M1819" s="83"/>
      <c r="N1819" s="85"/>
    </row>
    <row r="1820">
      <c r="L1820" s="85"/>
      <c r="M1820" s="83"/>
      <c r="N1820" s="85"/>
    </row>
    <row r="1821">
      <c r="L1821" s="85"/>
      <c r="M1821" s="83"/>
      <c r="N1821" s="85"/>
    </row>
    <row r="1822">
      <c r="L1822" s="85"/>
      <c r="M1822" s="83"/>
      <c r="N1822" s="85"/>
    </row>
    <row r="1823">
      <c r="L1823" s="85"/>
      <c r="M1823" s="83"/>
      <c r="N1823" s="85"/>
    </row>
    <row r="1824">
      <c r="L1824" s="85"/>
      <c r="M1824" s="83"/>
      <c r="N1824" s="85"/>
    </row>
    <row r="1825">
      <c r="L1825" s="85"/>
      <c r="M1825" s="83"/>
      <c r="N1825" s="85"/>
    </row>
    <row r="1826">
      <c r="L1826" s="85"/>
      <c r="M1826" s="83"/>
      <c r="N1826" s="85"/>
    </row>
    <row r="1827">
      <c r="L1827" s="85"/>
      <c r="M1827" s="83"/>
      <c r="N1827" s="85"/>
    </row>
    <row r="1828">
      <c r="L1828" s="85"/>
      <c r="M1828" s="83"/>
      <c r="N1828" s="85"/>
    </row>
    <row r="1829">
      <c r="L1829" s="85"/>
      <c r="M1829" s="83"/>
      <c r="N1829" s="85"/>
    </row>
    <row r="1830">
      <c r="L1830" s="85"/>
      <c r="M1830" s="83"/>
      <c r="N1830" s="85"/>
    </row>
    <row r="1831">
      <c r="L1831" s="85"/>
      <c r="M1831" s="83"/>
      <c r="N1831" s="85"/>
    </row>
    <row r="1832">
      <c r="L1832" s="85"/>
      <c r="M1832" s="83"/>
      <c r="N1832" s="85"/>
    </row>
    <row r="1833">
      <c r="L1833" s="85"/>
      <c r="M1833" s="83"/>
      <c r="N1833" s="85"/>
    </row>
    <row r="1834">
      <c r="L1834" s="85"/>
      <c r="M1834" s="83"/>
      <c r="N1834" s="85"/>
    </row>
    <row r="1835">
      <c r="L1835" s="85"/>
      <c r="M1835" s="83"/>
      <c r="N1835" s="85"/>
    </row>
    <row r="1836">
      <c r="L1836" s="85"/>
      <c r="M1836" s="83"/>
      <c r="N1836" s="85"/>
    </row>
    <row r="1837">
      <c r="L1837" s="85"/>
      <c r="M1837" s="83"/>
      <c r="N1837" s="85"/>
    </row>
    <row r="1838">
      <c r="L1838" s="85"/>
      <c r="M1838" s="83"/>
      <c r="N1838" s="85"/>
    </row>
    <row r="1839">
      <c r="L1839" s="85"/>
      <c r="M1839" s="83"/>
      <c r="N1839" s="85"/>
    </row>
    <row r="1840">
      <c r="L1840" s="85"/>
      <c r="M1840" s="83"/>
      <c r="N1840" s="85"/>
    </row>
    <row r="1841">
      <c r="L1841" s="85"/>
      <c r="M1841" s="83"/>
      <c r="N1841" s="85"/>
    </row>
    <row r="1842">
      <c r="L1842" s="85"/>
      <c r="M1842" s="83"/>
      <c r="N1842" s="85"/>
    </row>
    <row r="1843">
      <c r="L1843" s="85"/>
      <c r="M1843" s="83"/>
      <c r="N1843" s="85"/>
    </row>
    <row r="1844">
      <c r="L1844" s="85"/>
      <c r="M1844" s="83"/>
      <c r="N1844" s="85"/>
    </row>
    <row r="1845">
      <c r="L1845" s="85"/>
      <c r="M1845" s="83"/>
      <c r="N1845" s="85"/>
    </row>
    <row r="1846">
      <c r="L1846" s="85"/>
      <c r="M1846" s="83"/>
      <c r="N1846" s="85"/>
    </row>
    <row r="1847">
      <c r="L1847" s="85"/>
      <c r="M1847" s="83"/>
      <c r="N1847" s="85"/>
    </row>
    <row r="1848">
      <c r="L1848" s="85"/>
      <c r="M1848" s="83"/>
      <c r="N1848" s="85"/>
    </row>
    <row r="1849">
      <c r="L1849" s="85"/>
      <c r="M1849" s="83"/>
      <c r="N1849" s="85"/>
    </row>
    <row r="1850">
      <c r="L1850" s="85"/>
      <c r="M1850" s="83"/>
      <c r="N1850" s="85"/>
    </row>
    <row r="1851">
      <c r="L1851" s="85"/>
      <c r="M1851" s="83"/>
      <c r="N1851" s="85"/>
    </row>
    <row r="1852">
      <c r="L1852" s="85"/>
      <c r="M1852" s="83"/>
      <c r="N1852" s="85"/>
    </row>
    <row r="1853">
      <c r="L1853" s="85"/>
      <c r="M1853" s="83"/>
      <c r="N1853" s="85"/>
    </row>
    <row r="1854">
      <c r="L1854" s="85"/>
      <c r="M1854" s="83"/>
      <c r="N1854" s="85"/>
    </row>
    <row r="1855">
      <c r="L1855" s="85"/>
      <c r="M1855" s="83"/>
      <c r="N1855" s="85"/>
    </row>
    <row r="1856">
      <c r="L1856" s="85"/>
      <c r="M1856" s="83"/>
      <c r="N1856" s="85"/>
    </row>
  </sheetData>
  <customSheetViews>
    <customSheetView guid="{4CAFF1BB-9BF7-4C12-A6E8-1A9D37B0A9C7}" filter="1" showAutoFilter="1">
      <autoFilter ref="$L$3:$O$1343">
        <filterColumn colId="3">
          <customFilters>
            <customFilter operator="greaterThan" val="50000"/>
          </customFilters>
        </filterColumn>
      </autoFilter>
    </customSheetView>
  </customSheetViews>
  <mergeCells count="15">
    <mergeCell ref="B49:C49"/>
    <mergeCell ref="B50:C50"/>
    <mergeCell ref="B63:D63"/>
    <mergeCell ref="B64:D64"/>
    <mergeCell ref="B65:D65"/>
    <mergeCell ref="B66:D66"/>
    <mergeCell ref="B68:D68"/>
    <mergeCell ref="B69:D69"/>
    <mergeCell ref="A1:J1"/>
    <mergeCell ref="C10:D10"/>
    <mergeCell ref="C15:D15"/>
    <mergeCell ref="C26:D26"/>
    <mergeCell ref="C27:D27"/>
    <mergeCell ref="C36:D36"/>
    <mergeCell ref="C37:D3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7.0"/>
  </cols>
  <sheetData>
    <row r="1" ht="32.25" customHeight="1">
      <c r="A1" s="9" t="s">
        <v>161</v>
      </c>
    </row>
    <row r="4">
      <c r="B4" s="42" t="s">
        <v>162</v>
      </c>
      <c r="L4" s="66"/>
      <c r="M4" s="66"/>
    </row>
    <row r="5">
      <c r="D5" s="65"/>
      <c r="L5" s="69"/>
      <c r="M5" s="69"/>
    </row>
    <row r="6">
      <c r="L6" s="69"/>
      <c r="M6" s="69"/>
    </row>
    <row r="7">
      <c r="L7" s="69"/>
      <c r="M7" s="69"/>
    </row>
    <row r="8">
      <c r="L8" s="69"/>
      <c r="M8" s="69"/>
    </row>
    <row r="9">
      <c r="H9" s="86"/>
      <c r="L9" s="69"/>
      <c r="M9" s="69"/>
    </row>
    <row r="10">
      <c r="L10" s="69"/>
      <c r="M10" s="69"/>
    </row>
    <row r="11">
      <c r="C11" s="87" t="s">
        <v>163</v>
      </c>
      <c r="H11" s="88" t="s">
        <v>164</v>
      </c>
      <c r="L11" s="69"/>
      <c r="M11" s="69"/>
    </row>
    <row r="12">
      <c r="B12" s="42" t="s">
        <v>165</v>
      </c>
      <c r="C12" s="54">
        <f>COUNT(DATASET!A2:A1342)</f>
        <v>1338</v>
      </c>
      <c r="L12" s="69"/>
      <c r="M12" s="69"/>
    </row>
    <row r="13">
      <c r="L13" s="69"/>
      <c r="M13" s="69"/>
    </row>
    <row r="14">
      <c r="A14" s="89" t="s">
        <v>20</v>
      </c>
      <c r="B14" s="89" t="s">
        <v>166</v>
      </c>
      <c r="C14" s="90"/>
      <c r="D14" s="90"/>
      <c r="L14" s="69"/>
      <c r="M14" s="69"/>
    </row>
    <row r="15">
      <c r="B15" s="42" t="s">
        <v>167</v>
      </c>
      <c r="C15" s="91">
        <f>AVERAGE(DATASET!A2:A1342)</f>
        <v>39.20702541</v>
      </c>
      <c r="L15" s="69"/>
      <c r="M15" s="69"/>
    </row>
    <row r="16">
      <c r="B16" s="42" t="s">
        <v>168</v>
      </c>
      <c r="C16" s="13">
        <f>AVERAGE(DATASET!C2:C1342)</f>
        <v>30.66339686</v>
      </c>
      <c r="L16" s="69"/>
      <c r="M16" s="69"/>
    </row>
    <row r="17">
      <c r="B17" s="42" t="s">
        <v>169</v>
      </c>
      <c r="C17" s="60">
        <f>STDEVP(DATASET!A2:A1342)</f>
        <v>14.04470904</v>
      </c>
      <c r="L17" s="69"/>
      <c r="M17" s="69"/>
    </row>
    <row r="18">
      <c r="B18" s="42" t="s">
        <v>170</v>
      </c>
      <c r="C18" s="60">
        <f>STDEVP(DATASET!C2:C1342)</f>
        <v>6.095907642</v>
      </c>
      <c r="L18" s="69"/>
      <c r="M18" s="69"/>
    </row>
    <row r="19">
      <c r="L19" s="69"/>
      <c r="M19" s="69"/>
    </row>
    <row r="20">
      <c r="B20" s="42" t="s">
        <v>171</v>
      </c>
      <c r="C20" s="82">
        <f t="array" ref="C20">sum((DATASET!A2:A1342-C15)*(DATASET!C2:C1342-C16))/(C12-1)</f>
        <v>11.16072194</v>
      </c>
      <c r="L20" s="69"/>
      <c r="M20" s="69"/>
    </row>
    <row r="21">
      <c r="B21" s="42" t="s">
        <v>172</v>
      </c>
      <c r="C21" s="92">
        <f>C20/(C17*C18)</f>
        <v>0.1303590429</v>
      </c>
      <c r="L21" s="69"/>
      <c r="M21" s="69"/>
    </row>
    <row r="22">
      <c r="L22" s="69"/>
      <c r="M22" s="69"/>
    </row>
    <row r="23">
      <c r="L23" s="69"/>
      <c r="M23" s="69"/>
    </row>
    <row r="24" ht="21.75" customHeight="1">
      <c r="B24" s="50" t="s">
        <v>173</v>
      </c>
      <c r="C24" s="91"/>
      <c r="L24" s="69"/>
      <c r="M24" s="69"/>
    </row>
    <row r="25" ht="19.5" customHeight="1">
      <c r="B25" s="42" t="s">
        <v>174</v>
      </c>
      <c r="L25" s="93"/>
      <c r="M25" s="69"/>
    </row>
    <row r="26">
      <c r="B26" s="94" t="s">
        <v>175</v>
      </c>
      <c r="L26" s="93"/>
      <c r="M26" s="69"/>
    </row>
    <row r="27">
      <c r="L27" s="93"/>
      <c r="M27" s="69"/>
    </row>
    <row r="28">
      <c r="A28" s="89" t="s">
        <v>176</v>
      </c>
      <c r="B28" s="89" t="s">
        <v>177</v>
      </c>
      <c r="C28" s="89"/>
      <c r="D28" s="89"/>
      <c r="L28" s="93"/>
      <c r="M28" s="69"/>
    </row>
    <row r="29">
      <c r="L29" s="69"/>
      <c r="M29" s="69"/>
    </row>
    <row r="30">
      <c r="B30" s="42" t="s">
        <v>167</v>
      </c>
      <c r="C30" s="91">
        <f>AVERAGE(DATASET!A$2:A1342)</f>
        <v>39.20702541</v>
      </c>
      <c r="L30" s="69"/>
      <c r="M30" s="69"/>
    </row>
    <row r="31">
      <c r="B31" s="42" t="s">
        <v>178</v>
      </c>
      <c r="C31" s="95">
        <f>AVERAGE(DATASET!D$2:D1342)</f>
        <v>1.094917788</v>
      </c>
      <c r="L31" s="69"/>
      <c r="M31" s="69"/>
    </row>
    <row r="32">
      <c r="B32" s="42" t="s">
        <v>169</v>
      </c>
      <c r="C32" s="60">
        <f>STDEV(DATASET!A$2:A1342)</f>
        <v>14.04996038</v>
      </c>
      <c r="L32" s="69"/>
      <c r="M32" s="69"/>
    </row>
    <row r="33">
      <c r="B33" s="42" t="s">
        <v>179</v>
      </c>
      <c r="C33" s="60">
        <f>STDEV(DATASET!D$2:D1342)</f>
        <v>1.20549274</v>
      </c>
      <c r="L33" s="69"/>
      <c r="M33" s="69"/>
    </row>
    <row r="34">
      <c r="L34" s="69"/>
      <c r="M34" s="69"/>
    </row>
    <row r="35">
      <c r="B35" s="42" t="s">
        <v>180</v>
      </c>
      <c r="C35" s="82">
        <f t="array" ref="C35">sum((DATASET!A$2:A1342-C30)*(DATASET!D$2:D1342-C31))/($C$12-1)</f>
        <v>0.783518857</v>
      </c>
      <c r="L35" s="69"/>
      <c r="M35" s="69"/>
    </row>
    <row r="36">
      <c r="B36" s="42" t="s">
        <v>181</v>
      </c>
      <c r="C36" s="92">
        <f>C35/(C32*C33)</f>
        <v>0.0462604395</v>
      </c>
      <c r="L36" s="69"/>
      <c r="M36" s="69"/>
    </row>
    <row r="37">
      <c r="L37" s="69"/>
      <c r="M37" s="69"/>
    </row>
    <row r="38">
      <c r="L38" s="69"/>
      <c r="M38" s="69"/>
    </row>
    <row r="39">
      <c r="B39" s="50" t="s">
        <v>173</v>
      </c>
      <c r="C39" s="91"/>
      <c r="L39" s="69"/>
      <c r="M39" s="69"/>
    </row>
    <row r="40">
      <c r="B40" s="42" t="s">
        <v>182</v>
      </c>
      <c r="L40" s="69"/>
      <c r="M40" s="69"/>
    </row>
    <row r="41">
      <c r="B41" s="94" t="s">
        <v>183</v>
      </c>
      <c r="L41" s="69"/>
      <c r="M41" s="69"/>
    </row>
    <row r="42">
      <c r="L42" s="69"/>
      <c r="M42" s="69"/>
    </row>
    <row r="43">
      <c r="A43" s="89" t="s">
        <v>184</v>
      </c>
      <c r="B43" s="89" t="s">
        <v>185</v>
      </c>
      <c r="C43" s="89"/>
      <c r="D43" s="89"/>
      <c r="L43" s="69"/>
      <c r="M43" s="69"/>
    </row>
    <row r="44">
      <c r="L44" s="69"/>
      <c r="M44" s="69"/>
    </row>
    <row r="45">
      <c r="B45" s="42" t="s">
        <v>168</v>
      </c>
      <c r="C45" s="13">
        <f>AVERAGE(DATASET!C2:C1342)</f>
        <v>30.66339686</v>
      </c>
      <c r="L45" s="69"/>
      <c r="M45" s="69"/>
    </row>
    <row r="46">
      <c r="B46" s="42" t="s">
        <v>178</v>
      </c>
      <c r="C46" s="95">
        <f>AVERAGE(DATASET!D$2:D1342)</f>
        <v>1.094917788</v>
      </c>
      <c r="L46" s="69"/>
      <c r="M46" s="69"/>
    </row>
    <row r="47">
      <c r="B47" s="42" t="s">
        <v>170</v>
      </c>
      <c r="C47" s="60">
        <f>STDEVP(DATASET!C$2:C1342)</f>
        <v>6.095907642</v>
      </c>
      <c r="L47" s="69"/>
      <c r="M47" s="69"/>
    </row>
    <row r="48">
      <c r="B48" s="42" t="s">
        <v>179</v>
      </c>
      <c r="C48" s="60">
        <f>STDEVP(DATASET!D$2:D1342)</f>
        <v>1.205042172</v>
      </c>
      <c r="L48" s="69"/>
      <c r="M48" s="69"/>
    </row>
    <row r="49">
      <c r="L49" s="69"/>
      <c r="M49" s="69"/>
    </row>
    <row r="50">
      <c r="B50" s="42" t="s">
        <v>186</v>
      </c>
      <c r="C50" s="82">
        <f t="array" ref="C50">sum((DATASET!C$2:C1342-C45)*(DATASET!D$2:D1342-C46))/($C$12-1)</f>
        <v>0.1440174989</v>
      </c>
      <c r="L50" s="69"/>
      <c r="M50" s="69"/>
    </row>
    <row r="51">
      <c r="B51" s="42" t="s">
        <v>187</v>
      </c>
      <c r="C51" s="92">
        <f>C50/(C47*C48)</f>
        <v>0.0196053518</v>
      </c>
      <c r="L51" s="69"/>
      <c r="M51" s="69"/>
    </row>
    <row r="52">
      <c r="L52" s="69"/>
      <c r="M52" s="69"/>
    </row>
    <row r="53">
      <c r="L53" s="69"/>
      <c r="M53" s="69"/>
    </row>
    <row r="54">
      <c r="B54" s="50" t="s">
        <v>173</v>
      </c>
      <c r="C54" s="91"/>
      <c r="L54" s="69"/>
      <c r="M54" s="69"/>
    </row>
    <row r="55">
      <c r="B55" s="42" t="s">
        <v>188</v>
      </c>
      <c r="L55" s="69"/>
      <c r="M55" s="69"/>
    </row>
    <row r="56">
      <c r="B56" s="94" t="s">
        <v>189</v>
      </c>
      <c r="L56" s="69"/>
      <c r="M56" s="69"/>
    </row>
    <row r="57">
      <c r="L57" s="69"/>
      <c r="M57" s="69"/>
    </row>
    <row r="58">
      <c r="A58" s="89" t="s">
        <v>190</v>
      </c>
      <c r="B58" s="89" t="s">
        <v>191</v>
      </c>
      <c r="C58" s="89"/>
      <c r="D58" s="89"/>
      <c r="L58" s="69"/>
      <c r="M58" s="69"/>
    </row>
    <row r="59">
      <c r="L59" s="69"/>
      <c r="M59" s="69"/>
    </row>
    <row r="60">
      <c r="B60" s="42" t="s">
        <v>178</v>
      </c>
      <c r="C60" s="95">
        <f>AVERAGE(DATASET!D$2:D1342)</f>
        <v>1.094917788</v>
      </c>
      <c r="L60" s="69"/>
      <c r="M60" s="69"/>
    </row>
    <row r="61">
      <c r="B61" s="42" t="s">
        <v>192</v>
      </c>
      <c r="C61" s="96">
        <f>AVERAGE(DATASET!G$2:G1342)</f>
        <v>13270.42227</v>
      </c>
      <c r="L61" s="69"/>
      <c r="M61" s="69"/>
    </row>
    <row r="62">
      <c r="B62" s="42" t="s">
        <v>179</v>
      </c>
      <c r="C62" s="60">
        <f>STDEVP(DATASET!D$2:D1342)</f>
        <v>1.205042172</v>
      </c>
      <c r="L62" s="69"/>
      <c r="M62" s="69"/>
    </row>
    <row r="63">
      <c r="B63" s="42" t="s">
        <v>193</v>
      </c>
      <c r="C63" s="60">
        <f>STDEVP(DATASET!G$2:G1342)</f>
        <v>12105.48498</v>
      </c>
      <c r="L63" s="69"/>
      <c r="M63" s="69"/>
    </row>
    <row r="64">
      <c r="L64" s="69"/>
      <c r="M64" s="69"/>
    </row>
    <row r="65">
      <c r="B65" s="42" t="s">
        <v>194</v>
      </c>
      <c r="C65" s="82">
        <f t="array" ref="C65">sum((DATASET!D$2:D1342-C60)*(DATASET!G$2:G1342-C61))/($C$12-1)</f>
        <v>1014.409457</v>
      </c>
      <c r="L65" s="69"/>
      <c r="M65" s="69"/>
    </row>
    <row r="66">
      <c r="B66" s="42" t="s">
        <v>195</v>
      </c>
      <c r="C66" s="92">
        <f>C65/(C62*C63)</f>
        <v>0.06953906553</v>
      </c>
      <c r="L66" s="69"/>
      <c r="M66" s="69"/>
    </row>
    <row r="67">
      <c r="L67" s="69"/>
      <c r="M67" s="69"/>
    </row>
    <row r="68">
      <c r="L68" s="69"/>
      <c r="M68" s="69"/>
    </row>
    <row r="69">
      <c r="B69" s="50" t="s">
        <v>173</v>
      </c>
      <c r="C69" s="91"/>
      <c r="L69" s="69"/>
      <c r="M69" s="69"/>
    </row>
    <row r="70">
      <c r="B70" s="42" t="s">
        <v>196</v>
      </c>
      <c r="L70" s="69"/>
      <c r="M70" s="69"/>
    </row>
    <row r="71">
      <c r="B71" s="94" t="s">
        <v>197</v>
      </c>
      <c r="L71" s="69"/>
      <c r="M71" s="69"/>
    </row>
    <row r="72">
      <c r="L72" s="69"/>
      <c r="M72" s="69"/>
    </row>
    <row r="73">
      <c r="A73" s="89" t="s">
        <v>198</v>
      </c>
      <c r="B73" s="89" t="s">
        <v>199</v>
      </c>
      <c r="C73" s="89"/>
      <c r="D73" s="89"/>
      <c r="L73" s="69"/>
      <c r="M73" s="69"/>
    </row>
    <row r="74">
      <c r="L74" s="69"/>
      <c r="M74" s="69"/>
    </row>
    <row r="75">
      <c r="B75" s="42" t="s">
        <v>168</v>
      </c>
      <c r="C75" s="13">
        <f>AVERAGE(DATASET!C$2:C1342)</f>
        <v>30.66339686</v>
      </c>
      <c r="L75" s="69"/>
      <c r="M75" s="69"/>
    </row>
    <row r="76">
      <c r="B76" s="42" t="s">
        <v>192</v>
      </c>
      <c r="C76" s="96">
        <f>AVERAGE(DATASET!G$2:G1342)</f>
        <v>13270.42227</v>
      </c>
      <c r="L76" s="69"/>
      <c r="M76" s="69"/>
    </row>
    <row r="77">
      <c r="B77" s="42" t="s">
        <v>170</v>
      </c>
      <c r="C77" s="60">
        <f>STDEVP(DATASET!C$2:C1342)</f>
        <v>6.095907642</v>
      </c>
      <c r="L77" s="69"/>
      <c r="M77" s="69"/>
    </row>
    <row r="78">
      <c r="B78" s="42" t="s">
        <v>193</v>
      </c>
      <c r="C78" s="60">
        <f>STDEVP(DATASET!G$2:G1342)</f>
        <v>12105.48498</v>
      </c>
      <c r="L78" s="69"/>
      <c r="M78" s="69"/>
    </row>
    <row r="79">
      <c r="L79" s="69"/>
      <c r="M79" s="69"/>
    </row>
    <row r="80">
      <c r="B80" s="42" t="s">
        <v>200</v>
      </c>
      <c r="C80" s="82">
        <f t="array" ref="C80">sum((DATASET!C$2:C1342-C75)*(DATASET!G$2:G1342-C76))/($C$12-1)</f>
        <v>15256.00484</v>
      </c>
      <c r="L80" s="69"/>
      <c r="M80" s="69"/>
    </row>
    <row r="81">
      <c r="B81" s="42" t="s">
        <v>201</v>
      </c>
      <c r="C81" s="92">
        <f>C80/(C77*C78)</f>
        <v>0.2067379694</v>
      </c>
      <c r="L81" s="69"/>
      <c r="M81" s="69"/>
    </row>
    <row r="82">
      <c r="L82" s="69"/>
      <c r="M82" s="69"/>
    </row>
    <row r="83">
      <c r="L83" s="69"/>
      <c r="M83" s="69"/>
    </row>
    <row r="84">
      <c r="B84" s="50" t="s">
        <v>173</v>
      </c>
      <c r="C84" s="91"/>
      <c r="L84" s="69"/>
      <c r="M84" s="69"/>
    </row>
    <row r="85">
      <c r="B85" s="42" t="s">
        <v>202</v>
      </c>
      <c r="L85" s="69"/>
      <c r="M85" s="69"/>
    </row>
    <row r="86">
      <c r="B86" s="94" t="s">
        <v>203</v>
      </c>
      <c r="L86" s="69"/>
      <c r="M86" s="69"/>
    </row>
    <row r="87">
      <c r="L87" s="69"/>
      <c r="M87" s="69"/>
    </row>
    <row r="88">
      <c r="A88" s="89" t="s">
        <v>204</v>
      </c>
      <c r="B88" s="89" t="s">
        <v>205</v>
      </c>
      <c r="C88" s="89"/>
      <c r="D88" s="89"/>
      <c r="L88" s="69"/>
      <c r="M88" s="69"/>
    </row>
    <row r="89">
      <c r="L89" s="69"/>
      <c r="M89" s="69"/>
    </row>
    <row r="90">
      <c r="B90" s="42" t="s">
        <v>167</v>
      </c>
      <c r="C90" s="91">
        <f>AVERAGE(DATASET!A$2:A1342)</f>
        <v>39.20702541</v>
      </c>
      <c r="L90" s="69"/>
      <c r="M90" s="69"/>
    </row>
    <row r="91">
      <c r="B91" s="42" t="s">
        <v>192</v>
      </c>
      <c r="C91" s="96">
        <f>AVERAGE(DATASET!G$2:G1342)</f>
        <v>13270.42227</v>
      </c>
      <c r="L91" s="69"/>
      <c r="M91" s="69"/>
    </row>
    <row r="92">
      <c r="B92" s="42" t="s">
        <v>169</v>
      </c>
      <c r="C92" s="60">
        <f>STDEVP(DATASET!A$2:A1342)</f>
        <v>14.04470904</v>
      </c>
      <c r="L92" s="69"/>
      <c r="M92" s="69"/>
    </row>
    <row r="93">
      <c r="B93" s="42" t="s">
        <v>193</v>
      </c>
      <c r="C93" s="60">
        <f>STDEVP(DATASET!G$2:G1342)</f>
        <v>12105.48498</v>
      </c>
      <c r="L93" s="69"/>
      <c r="M93" s="69"/>
    </row>
    <row r="94">
      <c r="L94" s="69"/>
      <c r="M94" s="69"/>
    </row>
    <row r="95">
      <c r="B95" s="42" t="s">
        <v>206</v>
      </c>
      <c r="C95" s="82">
        <f t="array" ref="C95">sum((DATASET!A$2:A1342-C90)*(DATASET!G$2:G1342-C91))/($C$12-1)</f>
        <v>51653.10265</v>
      </c>
      <c r="L95" s="69"/>
      <c r="M95" s="69"/>
    </row>
    <row r="96">
      <c r="B96" s="42" t="s">
        <v>207</v>
      </c>
      <c r="C96" s="92">
        <f>C95/(C92*C93)</f>
        <v>0.3038095867</v>
      </c>
      <c r="L96" s="69"/>
      <c r="M96" s="69"/>
    </row>
    <row r="97">
      <c r="L97" s="69"/>
      <c r="M97" s="69"/>
    </row>
    <row r="98">
      <c r="L98" s="69"/>
      <c r="M98" s="69"/>
    </row>
    <row r="99">
      <c r="B99" s="50" t="s">
        <v>173</v>
      </c>
      <c r="C99" s="91"/>
      <c r="L99" s="69"/>
      <c r="M99" s="69"/>
    </row>
    <row r="100">
      <c r="B100" s="42" t="s">
        <v>208</v>
      </c>
      <c r="L100" s="69"/>
      <c r="M100" s="69"/>
    </row>
    <row r="101">
      <c r="B101" s="94" t="s">
        <v>209</v>
      </c>
      <c r="L101" s="69"/>
      <c r="M101" s="69"/>
    </row>
    <row r="102">
      <c r="L102" s="69"/>
      <c r="M102" s="69"/>
    </row>
    <row r="103">
      <c r="L103" s="69"/>
      <c r="M103" s="69"/>
    </row>
    <row r="104">
      <c r="A104" s="90"/>
      <c r="B104" s="90"/>
      <c r="C104" s="90"/>
      <c r="D104" s="90"/>
      <c r="E104" s="90"/>
      <c r="F104" s="90"/>
      <c r="G104" s="90"/>
      <c r="L104" s="69"/>
      <c r="M104" s="69"/>
    </row>
    <row r="105">
      <c r="L105" s="69"/>
      <c r="M105" s="69"/>
    </row>
    <row r="106">
      <c r="B106" s="42" t="s">
        <v>210</v>
      </c>
      <c r="L106" s="69"/>
      <c r="M106" s="69"/>
    </row>
    <row r="107">
      <c r="B107" s="42" t="s">
        <v>211</v>
      </c>
      <c r="L107" s="69"/>
      <c r="M107" s="69"/>
    </row>
    <row r="108">
      <c r="L108" s="69"/>
      <c r="M108" s="69"/>
    </row>
    <row r="109">
      <c r="L109" s="69"/>
      <c r="M109" s="69"/>
    </row>
    <row r="110">
      <c r="L110" s="69"/>
      <c r="M110" s="69"/>
    </row>
    <row r="111">
      <c r="L111" s="69"/>
      <c r="M111" s="69"/>
    </row>
    <row r="112">
      <c r="L112" s="69"/>
      <c r="M112" s="69"/>
    </row>
    <row r="113">
      <c r="L113" s="69"/>
      <c r="M113" s="69"/>
    </row>
    <row r="114">
      <c r="L114" s="69"/>
      <c r="M114" s="69"/>
    </row>
    <row r="115">
      <c r="L115" s="69"/>
      <c r="M115" s="69"/>
    </row>
    <row r="116">
      <c r="L116" s="69"/>
      <c r="M116" s="69"/>
    </row>
    <row r="117">
      <c r="L117" s="69"/>
      <c r="M117" s="69"/>
    </row>
    <row r="118">
      <c r="L118" s="69"/>
      <c r="M118" s="69"/>
    </row>
    <row r="119">
      <c r="L119" s="69"/>
      <c r="M119" s="69"/>
    </row>
    <row r="120">
      <c r="L120" s="69"/>
      <c r="M120" s="69"/>
    </row>
    <row r="121">
      <c r="L121" s="69"/>
      <c r="M121" s="69"/>
    </row>
    <row r="122">
      <c r="L122" s="69"/>
      <c r="M122" s="69"/>
    </row>
    <row r="123">
      <c r="L123" s="69"/>
      <c r="M123" s="69"/>
    </row>
    <row r="124">
      <c r="L124" s="69"/>
      <c r="M124" s="69"/>
    </row>
    <row r="125">
      <c r="L125" s="69"/>
      <c r="M125" s="69"/>
    </row>
    <row r="126">
      <c r="L126" s="69"/>
      <c r="M126" s="69"/>
    </row>
    <row r="127">
      <c r="L127" s="69"/>
      <c r="M127" s="69"/>
    </row>
    <row r="128">
      <c r="L128" s="69"/>
      <c r="M128" s="69"/>
    </row>
    <row r="129">
      <c r="L129" s="69"/>
      <c r="M129" s="69"/>
    </row>
    <row r="130">
      <c r="L130" s="69"/>
      <c r="M130" s="69"/>
    </row>
    <row r="131">
      <c r="L131" s="69"/>
      <c r="M131" s="69"/>
    </row>
    <row r="132">
      <c r="L132" s="69"/>
      <c r="M132" s="69"/>
    </row>
    <row r="133">
      <c r="L133" s="69"/>
      <c r="M133" s="69"/>
    </row>
    <row r="134">
      <c r="L134" s="69"/>
      <c r="M134" s="69"/>
    </row>
    <row r="135">
      <c r="L135" s="69"/>
      <c r="M135" s="69"/>
    </row>
    <row r="136">
      <c r="L136" s="69"/>
      <c r="M136" s="69"/>
    </row>
    <row r="137">
      <c r="L137" s="69"/>
      <c r="M137" s="69"/>
    </row>
    <row r="138">
      <c r="L138" s="69"/>
      <c r="M138" s="69"/>
    </row>
    <row r="139">
      <c r="L139" s="69"/>
      <c r="M139" s="69"/>
    </row>
    <row r="140">
      <c r="L140" s="69"/>
      <c r="M140" s="69"/>
    </row>
    <row r="141">
      <c r="L141" s="69"/>
      <c r="M141" s="69"/>
    </row>
    <row r="142">
      <c r="L142" s="69"/>
      <c r="M142" s="69"/>
    </row>
    <row r="143">
      <c r="L143" s="69"/>
      <c r="M143" s="69"/>
    </row>
    <row r="144">
      <c r="L144" s="69"/>
      <c r="M144" s="69"/>
    </row>
    <row r="145">
      <c r="L145" s="69"/>
      <c r="M145" s="69"/>
    </row>
    <row r="146">
      <c r="L146" s="69"/>
      <c r="M146" s="69"/>
    </row>
    <row r="147">
      <c r="L147" s="69"/>
      <c r="M147" s="69"/>
    </row>
    <row r="148">
      <c r="L148" s="69"/>
      <c r="M148" s="69"/>
    </row>
    <row r="149">
      <c r="L149" s="69"/>
      <c r="M149" s="69"/>
    </row>
    <row r="150">
      <c r="L150" s="69"/>
      <c r="M150" s="69"/>
    </row>
    <row r="151">
      <c r="L151" s="69"/>
      <c r="M151" s="69"/>
    </row>
    <row r="152">
      <c r="L152" s="69"/>
      <c r="M152" s="69"/>
    </row>
    <row r="153">
      <c r="L153" s="69"/>
      <c r="M153" s="69"/>
    </row>
    <row r="154">
      <c r="L154" s="69"/>
      <c r="M154" s="69"/>
    </row>
    <row r="155">
      <c r="L155" s="69"/>
      <c r="M155" s="69"/>
    </row>
    <row r="156">
      <c r="L156" s="69"/>
      <c r="M156" s="69"/>
    </row>
    <row r="157">
      <c r="L157" s="69"/>
      <c r="M157" s="69"/>
    </row>
    <row r="158">
      <c r="L158" s="69"/>
      <c r="M158" s="69"/>
    </row>
    <row r="159">
      <c r="L159" s="69"/>
      <c r="M159" s="69"/>
    </row>
    <row r="160">
      <c r="L160" s="69"/>
      <c r="M160" s="69"/>
    </row>
    <row r="161">
      <c r="L161" s="69"/>
      <c r="M161" s="69"/>
    </row>
    <row r="162">
      <c r="L162" s="69"/>
      <c r="M162" s="69"/>
    </row>
    <row r="163">
      <c r="L163" s="69"/>
      <c r="M163" s="69"/>
    </row>
    <row r="164">
      <c r="L164" s="69"/>
      <c r="M164" s="69"/>
    </row>
    <row r="165">
      <c r="L165" s="69"/>
      <c r="M165" s="69"/>
    </row>
    <row r="166">
      <c r="L166" s="69"/>
      <c r="M166" s="69"/>
    </row>
    <row r="167">
      <c r="L167" s="69"/>
      <c r="M167" s="69"/>
    </row>
    <row r="168">
      <c r="L168" s="69"/>
      <c r="M168" s="69"/>
    </row>
    <row r="169">
      <c r="L169" s="69"/>
      <c r="M169" s="69"/>
    </row>
    <row r="170">
      <c r="L170" s="69"/>
      <c r="M170" s="69"/>
    </row>
    <row r="171">
      <c r="L171" s="69"/>
      <c r="M171" s="69"/>
    </row>
    <row r="172">
      <c r="L172" s="69"/>
      <c r="M172" s="69"/>
    </row>
    <row r="173">
      <c r="L173" s="69"/>
      <c r="M173" s="69"/>
    </row>
    <row r="174">
      <c r="L174" s="69"/>
      <c r="M174" s="69"/>
    </row>
    <row r="175">
      <c r="L175" s="69"/>
      <c r="M175" s="69"/>
    </row>
    <row r="176">
      <c r="L176" s="69"/>
      <c r="M176" s="69"/>
    </row>
    <row r="177">
      <c r="L177" s="69"/>
      <c r="M177" s="69"/>
    </row>
    <row r="178">
      <c r="L178" s="69"/>
      <c r="M178" s="69"/>
    </row>
    <row r="179">
      <c r="L179" s="69"/>
      <c r="M179" s="69"/>
    </row>
    <row r="180">
      <c r="L180" s="69"/>
      <c r="M180" s="69"/>
    </row>
    <row r="181">
      <c r="L181" s="69"/>
      <c r="M181" s="69"/>
    </row>
    <row r="182">
      <c r="L182" s="69"/>
      <c r="M182" s="69"/>
    </row>
    <row r="183">
      <c r="L183" s="69"/>
      <c r="M183" s="69"/>
    </row>
    <row r="184">
      <c r="L184" s="69"/>
      <c r="M184" s="69"/>
    </row>
    <row r="185">
      <c r="L185" s="69"/>
      <c r="M185" s="69"/>
    </row>
    <row r="186">
      <c r="L186" s="69"/>
      <c r="M186" s="69"/>
    </row>
    <row r="187">
      <c r="L187" s="69"/>
      <c r="M187" s="69"/>
    </row>
    <row r="188">
      <c r="L188" s="69"/>
      <c r="M188" s="69"/>
    </row>
    <row r="189">
      <c r="L189" s="69"/>
      <c r="M189" s="69"/>
    </row>
    <row r="190">
      <c r="L190" s="69"/>
      <c r="M190" s="69"/>
    </row>
    <row r="191">
      <c r="L191" s="69"/>
      <c r="M191" s="69"/>
    </row>
    <row r="192">
      <c r="L192" s="69"/>
      <c r="M192" s="69"/>
    </row>
    <row r="193">
      <c r="L193" s="69"/>
      <c r="M193" s="69"/>
    </row>
    <row r="194">
      <c r="L194" s="69"/>
      <c r="M194" s="69"/>
    </row>
    <row r="195">
      <c r="L195" s="69"/>
      <c r="M195" s="69"/>
    </row>
    <row r="196">
      <c r="L196" s="69"/>
      <c r="M196" s="69"/>
    </row>
    <row r="197">
      <c r="L197" s="69"/>
      <c r="M197" s="69"/>
    </row>
    <row r="198">
      <c r="L198" s="69"/>
      <c r="M198" s="69"/>
    </row>
    <row r="199">
      <c r="L199" s="69"/>
      <c r="M199" s="69"/>
    </row>
    <row r="200">
      <c r="L200" s="69"/>
      <c r="M200" s="69"/>
    </row>
    <row r="201">
      <c r="L201" s="69"/>
      <c r="M201" s="69"/>
    </row>
    <row r="202">
      <c r="L202" s="69"/>
      <c r="M202" s="69"/>
    </row>
    <row r="203">
      <c r="L203" s="69"/>
      <c r="M203" s="69"/>
    </row>
    <row r="204">
      <c r="L204" s="69"/>
      <c r="M204" s="69"/>
    </row>
    <row r="205">
      <c r="L205" s="69"/>
      <c r="M205" s="69"/>
    </row>
    <row r="206">
      <c r="L206" s="69"/>
      <c r="M206" s="69"/>
    </row>
    <row r="207">
      <c r="L207" s="69"/>
      <c r="M207" s="69"/>
    </row>
    <row r="208">
      <c r="L208" s="69"/>
      <c r="M208" s="69"/>
    </row>
    <row r="209">
      <c r="L209" s="69"/>
      <c r="M209" s="69"/>
    </row>
    <row r="210">
      <c r="L210" s="69"/>
      <c r="M210" s="69"/>
    </row>
    <row r="211">
      <c r="L211" s="69"/>
      <c r="M211" s="69"/>
    </row>
    <row r="212">
      <c r="L212" s="69"/>
      <c r="M212" s="69"/>
    </row>
    <row r="213">
      <c r="L213" s="69"/>
      <c r="M213" s="69"/>
    </row>
    <row r="214">
      <c r="L214" s="69"/>
      <c r="M214" s="69"/>
    </row>
    <row r="215">
      <c r="L215" s="69"/>
      <c r="M215" s="69"/>
    </row>
    <row r="216">
      <c r="L216" s="69"/>
      <c r="M216" s="69"/>
    </row>
    <row r="217">
      <c r="L217" s="69"/>
      <c r="M217" s="69"/>
    </row>
    <row r="218">
      <c r="L218" s="69"/>
      <c r="M218" s="69"/>
    </row>
    <row r="219">
      <c r="L219" s="69"/>
      <c r="M219" s="69"/>
    </row>
    <row r="220">
      <c r="L220" s="69"/>
      <c r="M220" s="69"/>
    </row>
    <row r="221">
      <c r="L221" s="69"/>
      <c r="M221" s="69"/>
    </row>
    <row r="222">
      <c r="L222" s="69"/>
      <c r="M222" s="69"/>
    </row>
    <row r="223">
      <c r="L223" s="69"/>
      <c r="M223" s="69"/>
    </row>
    <row r="224">
      <c r="L224" s="69"/>
      <c r="M224" s="69"/>
    </row>
    <row r="225">
      <c r="L225" s="69"/>
      <c r="M225" s="69"/>
    </row>
    <row r="226">
      <c r="L226" s="69"/>
      <c r="M226" s="69"/>
    </row>
    <row r="227">
      <c r="L227" s="69"/>
      <c r="M227" s="69"/>
    </row>
    <row r="228">
      <c r="L228" s="69"/>
      <c r="M228" s="69"/>
    </row>
    <row r="229">
      <c r="L229" s="69"/>
      <c r="M229" s="69"/>
    </row>
    <row r="230">
      <c r="L230" s="69"/>
      <c r="M230" s="69"/>
    </row>
    <row r="231">
      <c r="L231" s="69"/>
      <c r="M231" s="69"/>
    </row>
    <row r="232">
      <c r="L232" s="69"/>
      <c r="M232" s="69"/>
    </row>
    <row r="233">
      <c r="L233" s="69"/>
      <c r="M233" s="69"/>
    </row>
    <row r="234">
      <c r="L234" s="69"/>
      <c r="M234" s="69"/>
    </row>
    <row r="235">
      <c r="L235" s="69"/>
      <c r="M235" s="69"/>
    </row>
    <row r="236">
      <c r="L236" s="69"/>
      <c r="M236" s="69"/>
    </row>
    <row r="237">
      <c r="L237" s="69"/>
      <c r="M237" s="69"/>
    </row>
    <row r="238">
      <c r="L238" s="69"/>
      <c r="M238" s="69"/>
    </row>
    <row r="239">
      <c r="L239" s="69"/>
      <c r="M239" s="69"/>
    </row>
    <row r="240">
      <c r="L240" s="69"/>
      <c r="M240" s="69"/>
    </row>
    <row r="241">
      <c r="L241" s="69"/>
      <c r="M241" s="69"/>
    </row>
    <row r="242">
      <c r="L242" s="69"/>
      <c r="M242" s="69"/>
    </row>
    <row r="243">
      <c r="L243" s="69"/>
      <c r="M243" s="69"/>
    </row>
    <row r="244">
      <c r="L244" s="69"/>
      <c r="M244" s="69"/>
    </row>
    <row r="245">
      <c r="L245" s="69"/>
      <c r="M245" s="69"/>
    </row>
    <row r="246">
      <c r="L246" s="69"/>
      <c r="M246" s="69"/>
    </row>
    <row r="247">
      <c r="L247" s="69"/>
      <c r="M247" s="69"/>
    </row>
    <row r="248">
      <c r="L248" s="69"/>
      <c r="M248" s="69"/>
    </row>
    <row r="249">
      <c r="L249" s="69"/>
      <c r="M249" s="69"/>
    </row>
    <row r="250">
      <c r="L250" s="69"/>
      <c r="M250" s="69"/>
    </row>
    <row r="251">
      <c r="L251" s="69"/>
      <c r="M251" s="69"/>
    </row>
    <row r="252">
      <c r="L252" s="69"/>
      <c r="M252" s="69"/>
    </row>
    <row r="253">
      <c r="L253" s="69"/>
      <c r="M253" s="69"/>
    </row>
    <row r="254">
      <c r="L254" s="69"/>
      <c r="M254" s="69"/>
    </row>
    <row r="255">
      <c r="L255" s="69"/>
      <c r="M255" s="69"/>
    </row>
    <row r="256">
      <c r="L256" s="69"/>
      <c r="M256" s="69"/>
    </row>
    <row r="257">
      <c r="L257" s="69"/>
      <c r="M257" s="69"/>
    </row>
    <row r="258">
      <c r="L258" s="69"/>
      <c r="M258" s="69"/>
    </row>
    <row r="259">
      <c r="L259" s="69"/>
      <c r="M259" s="69"/>
    </row>
    <row r="260">
      <c r="L260" s="69"/>
      <c r="M260" s="69"/>
    </row>
    <row r="261">
      <c r="L261" s="69"/>
      <c r="M261" s="69"/>
    </row>
    <row r="262">
      <c r="L262" s="69"/>
      <c r="M262" s="69"/>
    </row>
    <row r="263">
      <c r="L263" s="69"/>
      <c r="M263" s="69"/>
    </row>
    <row r="264">
      <c r="L264" s="69"/>
      <c r="M264" s="69"/>
    </row>
    <row r="265">
      <c r="L265" s="69"/>
      <c r="M265" s="69"/>
    </row>
    <row r="266">
      <c r="L266" s="69"/>
      <c r="M266" s="69"/>
    </row>
    <row r="267">
      <c r="L267" s="69"/>
      <c r="M267" s="69"/>
    </row>
    <row r="268">
      <c r="L268" s="69"/>
      <c r="M268" s="69"/>
    </row>
    <row r="269">
      <c r="L269" s="69"/>
      <c r="M269" s="69"/>
    </row>
    <row r="270">
      <c r="L270" s="69"/>
      <c r="M270" s="69"/>
    </row>
    <row r="271">
      <c r="L271" s="69"/>
      <c r="M271" s="69"/>
    </row>
    <row r="272">
      <c r="L272" s="69"/>
      <c r="M272" s="69"/>
    </row>
    <row r="273">
      <c r="L273" s="69"/>
      <c r="M273" s="69"/>
    </row>
    <row r="274">
      <c r="L274" s="69"/>
      <c r="M274" s="69"/>
    </row>
    <row r="275">
      <c r="L275" s="69"/>
      <c r="M275" s="69"/>
    </row>
    <row r="276">
      <c r="L276" s="69"/>
      <c r="M276" s="69"/>
    </row>
    <row r="277">
      <c r="L277" s="69"/>
      <c r="M277" s="69"/>
    </row>
    <row r="278">
      <c r="L278" s="69"/>
      <c r="M278" s="69"/>
    </row>
    <row r="279">
      <c r="L279" s="69"/>
      <c r="M279" s="69"/>
    </row>
    <row r="280">
      <c r="L280" s="69"/>
      <c r="M280" s="69"/>
    </row>
    <row r="281">
      <c r="L281" s="69"/>
      <c r="M281" s="69"/>
    </row>
    <row r="282">
      <c r="L282" s="69"/>
      <c r="M282" s="69"/>
    </row>
    <row r="283">
      <c r="L283" s="69"/>
      <c r="M283" s="69"/>
    </row>
    <row r="284">
      <c r="L284" s="69"/>
      <c r="M284" s="69"/>
    </row>
    <row r="285">
      <c r="L285" s="69"/>
      <c r="M285" s="69"/>
    </row>
    <row r="286">
      <c r="L286" s="69"/>
      <c r="M286" s="69"/>
    </row>
    <row r="287">
      <c r="L287" s="69"/>
      <c r="M287" s="69"/>
    </row>
    <row r="288">
      <c r="L288" s="69"/>
      <c r="M288" s="69"/>
    </row>
    <row r="289">
      <c r="L289" s="69"/>
      <c r="M289" s="69"/>
    </row>
    <row r="290">
      <c r="L290" s="69"/>
      <c r="M290" s="69"/>
    </row>
    <row r="291">
      <c r="L291" s="69"/>
      <c r="M291" s="69"/>
    </row>
    <row r="292">
      <c r="L292" s="69"/>
      <c r="M292" s="69"/>
    </row>
    <row r="293">
      <c r="L293" s="69"/>
      <c r="M293" s="69"/>
    </row>
    <row r="294">
      <c r="L294" s="69"/>
      <c r="M294" s="69"/>
    </row>
    <row r="295">
      <c r="L295" s="69"/>
      <c r="M295" s="69"/>
    </row>
    <row r="296">
      <c r="L296" s="69"/>
      <c r="M296" s="69"/>
    </row>
    <row r="297">
      <c r="L297" s="69"/>
      <c r="M297" s="69"/>
    </row>
    <row r="298">
      <c r="L298" s="69"/>
      <c r="M298" s="69"/>
    </row>
    <row r="299">
      <c r="L299" s="69"/>
      <c r="M299" s="69"/>
    </row>
    <row r="300">
      <c r="L300" s="69"/>
      <c r="M300" s="69"/>
    </row>
    <row r="301">
      <c r="L301" s="69"/>
      <c r="M301" s="69"/>
    </row>
    <row r="302">
      <c r="L302" s="69"/>
      <c r="M302" s="69"/>
    </row>
    <row r="303">
      <c r="L303" s="69"/>
      <c r="M303" s="69"/>
    </row>
    <row r="304">
      <c r="L304" s="69"/>
      <c r="M304" s="69"/>
    </row>
    <row r="305">
      <c r="L305" s="69"/>
      <c r="M305" s="69"/>
    </row>
    <row r="306">
      <c r="L306" s="69"/>
      <c r="M306" s="69"/>
    </row>
    <row r="307">
      <c r="L307" s="69"/>
      <c r="M307" s="69"/>
    </row>
    <row r="308">
      <c r="L308" s="69"/>
      <c r="M308" s="69"/>
    </row>
    <row r="309">
      <c r="L309" s="69"/>
      <c r="M309" s="69"/>
    </row>
    <row r="310">
      <c r="L310" s="69"/>
      <c r="M310" s="69"/>
    </row>
    <row r="311">
      <c r="L311" s="69"/>
      <c r="M311" s="69"/>
    </row>
    <row r="312">
      <c r="L312" s="69"/>
      <c r="M312" s="69"/>
    </row>
    <row r="313">
      <c r="L313" s="69"/>
      <c r="M313" s="69"/>
    </row>
    <row r="314">
      <c r="L314" s="69"/>
      <c r="M314" s="69"/>
    </row>
    <row r="315">
      <c r="L315" s="69"/>
      <c r="M315" s="69"/>
    </row>
    <row r="316">
      <c r="L316" s="69"/>
      <c r="M316" s="69"/>
    </row>
    <row r="317">
      <c r="L317" s="69"/>
      <c r="M317" s="69"/>
    </row>
    <row r="318">
      <c r="L318" s="69"/>
      <c r="M318" s="69"/>
    </row>
    <row r="319">
      <c r="L319" s="69"/>
      <c r="M319" s="69"/>
    </row>
    <row r="320">
      <c r="L320" s="69"/>
      <c r="M320" s="69"/>
    </row>
    <row r="321">
      <c r="L321" s="69"/>
      <c r="M321" s="69"/>
    </row>
    <row r="322">
      <c r="L322" s="69"/>
      <c r="M322" s="69"/>
    </row>
    <row r="323">
      <c r="L323" s="69"/>
      <c r="M323" s="69"/>
    </row>
    <row r="324">
      <c r="L324" s="69"/>
      <c r="M324" s="69"/>
    </row>
    <row r="325">
      <c r="L325" s="69"/>
      <c r="M325" s="69"/>
    </row>
    <row r="326">
      <c r="L326" s="69"/>
      <c r="M326" s="69"/>
    </row>
    <row r="327">
      <c r="L327" s="69"/>
      <c r="M327" s="69"/>
    </row>
    <row r="328">
      <c r="L328" s="69"/>
      <c r="M328" s="69"/>
    </row>
    <row r="329">
      <c r="L329" s="69"/>
      <c r="M329" s="69"/>
    </row>
    <row r="330">
      <c r="L330" s="69"/>
      <c r="M330" s="69"/>
    </row>
    <row r="331">
      <c r="L331" s="69"/>
      <c r="M331" s="69"/>
    </row>
    <row r="332">
      <c r="L332" s="69"/>
      <c r="M332" s="69"/>
    </row>
    <row r="333">
      <c r="L333" s="69"/>
      <c r="M333" s="69"/>
    </row>
    <row r="334">
      <c r="L334" s="69"/>
      <c r="M334" s="69"/>
    </row>
    <row r="335">
      <c r="L335" s="69"/>
      <c r="M335" s="69"/>
    </row>
    <row r="336">
      <c r="L336" s="69"/>
      <c r="M336" s="69"/>
    </row>
    <row r="337">
      <c r="L337" s="69"/>
      <c r="M337" s="69"/>
    </row>
    <row r="338">
      <c r="L338" s="69"/>
      <c r="M338" s="69"/>
    </row>
    <row r="339">
      <c r="L339" s="69"/>
      <c r="M339" s="69"/>
    </row>
    <row r="340">
      <c r="L340" s="69"/>
      <c r="M340" s="69"/>
    </row>
    <row r="341">
      <c r="L341" s="69"/>
      <c r="M341" s="69"/>
    </row>
    <row r="342">
      <c r="L342" s="69"/>
      <c r="M342" s="69"/>
    </row>
    <row r="343">
      <c r="L343" s="69"/>
      <c r="M343" s="69"/>
    </row>
    <row r="344">
      <c r="L344" s="69"/>
      <c r="M344" s="69"/>
    </row>
    <row r="345">
      <c r="L345" s="69"/>
      <c r="M345" s="69"/>
    </row>
    <row r="346">
      <c r="L346" s="69"/>
      <c r="M346" s="69"/>
    </row>
    <row r="347">
      <c r="L347" s="69"/>
      <c r="M347" s="69"/>
    </row>
    <row r="348">
      <c r="L348" s="69"/>
      <c r="M348" s="69"/>
    </row>
    <row r="349">
      <c r="L349" s="69"/>
      <c r="M349" s="69"/>
    </row>
    <row r="350">
      <c r="L350" s="69"/>
      <c r="M350" s="69"/>
    </row>
    <row r="351">
      <c r="L351" s="69"/>
      <c r="M351" s="69"/>
    </row>
    <row r="352">
      <c r="L352" s="69"/>
      <c r="M352" s="69"/>
    </row>
    <row r="353">
      <c r="L353" s="69"/>
      <c r="M353" s="69"/>
    </row>
    <row r="354">
      <c r="L354" s="69"/>
      <c r="M354" s="69"/>
    </row>
    <row r="355">
      <c r="L355" s="69"/>
      <c r="M355" s="69"/>
    </row>
    <row r="356">
      <c r="L356" s="69"/>
      <c r="M356" s="69"/>
    </row>
    <row r="357">
      <c r="L357" s="69"/>
      <c r="M357" s="69"/>
    </row>
    <row r="358">
      <c r="L358" s="69"/>
      <c r="M358" s="69"/>
    </row>
    <row r="359">
      <c r="L359" s="69"/>
      <c r="M359" s="69"/>
    </row>
    <row r="360">
      <c r="L360" s="69"/>
      <c r="M360" s="69"/>
    </row>
    <row r="361">
      <c r="L361" s="69"/>
      <c r="M361" s="69"/>
    </row>
    <row r="362">
      <c r="L362" s="69"/>
      <c r="M362" s="69"/>
    </row>
    <row r="363">
      <c r="L363" s="69"/>
      <c r="M363" s="69"/>
    </row>
    <row r="364">
      <c r="L364" s="69"/>
      <c r="M364" s="69"/>
    </row>
    <row r="365">
      <c r="L365" s="69"/>
      <c r="M365" s="69"/>
    </row>
    <row r="366">
      <c r="L366" s="69"/>
      <c r="M366" s="69"/>
    </row>
    <row r="367">
      <c r="L367" s="69"/>
      <c r="M367" s="69"/>
    </row>
    <row r="368">
      <c r="L368" s="69"/>
      <c r="M368" s="69"/>
    </row>
    <row r="369">
      <c r="L369" s="69"/>
      <c r="M369" s="69"/>
    </row>
    <row r="370">
      <c r="L370" s="69"/>
      <c r="M370" s="69"/>
    </row>
    <row r="371">
      <c r="L371" s="69"/>
      <c r="M371" s="69"/>
    </row>
    <row r="372">
      <c r="L372" s="69"/>
      <c r="M372" s="69"/>
    </row>
    <row r="373">
      <c r="L373" s="69"/>
      <c r="M373" s="69"/>
    </row>
    <row r="374">
      <c r="L374" s="69"/>
      <c r="M374" s="69"/>
    </row>
    <row r="375">
      <c r="L375" s="69"/>
      <c r="M375" s="69"/>
    </row>
    <row r="376">
      <c r="L376" s="69"/>
      <c r="M376" s="69"/>
    </row>
    <row r="377">
      <c r="L377" s="69"/>
      <c r="M377" s="69"/>
    </row>
    <row r="378">
      <c r="L378" s="69"/>
      <c r="M378" s="69"/>
    </row>
    <row r="379">
      <c r="L379" s="69"/>
      <c r="M379" s="69"/>
    </row>
    <row r="380">
      <c r="L380" s="69"/>
      <c r="M380" s="69"/>
    </row>
    <row r="381">
      <c r="L381" s="69"/>
      <c r="M381" s="69"/>
    </row>
    <row r="382">
      <c r="L382" s="69"/>
      <c r="M382" s="69"/>
    </row>
    <row r="383">
      <c r="L383" s="69"/>
      <c r="M383" s="69"/>
    </row>
    <row r="384">
      <c r="L384" s="69"/>
      <c r="M384" s="69"/>
    </row>
    <row r="385">
      <c r="L385" s="69"/>
      <c r="M385" s="69"/>
    </row>
    <row r="386">
      <c r="L386" s="69"/>
      <c r="M386" s="69"/>
    </row>
    <row r="387">
      <c r="L387" s="69"/>
      <c r="M387" s="69"/>
    </row>
    <row r="388">
      <c r="L388" s="69"/>
      <c r="M388" s="69"/>
    </row>
    <row r="389">
      <c r="L389" s="69"/>
      <c r="M389" s="69"/>
    </row>
    <row r="390">
      <c r="L390" s="69"/>
      <c r="M390" s="69"/>
    </row>
    <row r="391">
      <c r="L391" s="69"/>
      <c r="M391" s="69"/>
    </row>
    <row r="392">
      <c r="L392" s="69"/>
      <c r="M392" s="69"/>
    </row>
    <row r="393">
      <c r="L393" s="69"/>
      <c r="M393" s="69"/>
    </row>
    <row r="394">
      <c r="L394" s="69"/>
      <c r="M394" s="69"/>
    </row>
    <row r="395">
      <c r="L395" s="69"/>
      <c r="M395" s="69"/>
    </row>
    <row r="396">
      <c r="L396" s="69"/>
      <c r="M396" s="69"/>
    </row>
    <row r="397">
      <c r="L397" s="69"/>
      <c r="M397" s="69"/>
    </row>
    <row r="398">
      <c r="L398" s="69"/>
      <c r="M398" s="69"/>
    </row>
    <row r="399">
      <c r="L399" s="69"/>
      <c r="M399" s="69"/>
    </row>
    <row r="400">
      <c r="L400" s="69"/>
      <c r="M400" s="69"/>
    </row>
    <row r="401">
      <c r="L401" s="69"/>
      <c r="M401" s="69"/>
    </row>
    <row r="402">
      <c r="L402" s="69"/>
      <c r="M402" s="69"/>
    </row>
    <row r="403">
      <c r="L403" s="69"/>
      <c r="M403" s="69"/>
    </row>
    <row r="404">
      <c r="L404" s="69"/>
      <c r="M404" s="69"/>
    </row>
    <row r="405">
      <c r="L405" s="69"/>
      <c r="M405" s="69"/>
    </row>
    <row r="406">
      <c r="L406" s="69"/>
      <c r="M406" s="69"/>
    </row>
    <row r="407">
      <c r="L407" s="69"/>
      <c r="M407" s="69"/>
    </row>
    <row r="408">
      <c r="L408" s="69"/>
      <c r="M408" s="69"/>
    </row>
    <row r="409">
      <c r="L409" s="69"/>
      <c r="M409" s="69"/>
    </row>
    <row r="410">
      <c r="L410" s="69"/>
      <c r="M410" s="69"/>
    </row>
    <row r="411">
      <c r="L411" s="69"/>
      <c r="M411" s="69"/>
    </row>
    <row r="412">
      <c r="L412" s="69"/>
      <c r="M412" s="69"/>
    </row>
    <row r="413">
      <c r="L413" s="69"/>
      <c r="M413" s="69"/>
    </row>
    <row r="414">
      <c r="L414" s="69"/>
      <c r="M414" s="69"/>
    </row>
    <row r="415">
      <c r="L415" s="69"/>
      <c r="M415" s="69"/>
    </row>
    <row r="416">
      <c r="L416" s="69"/>
      <c r="M416" s="69"/>
    </row>
    <row r="417">
      <c r="L417" s="69"/>
      <c r="M417" s="69"/>
    </row>
    <row r="418">
      <c r="L418" s="69"/>
      <c r="M418" s="69"/>
    </row>
    <row r="419">
      <c r="L419" s="69"/>
      <c r="M419" s="69"/>
    </row>
    <row r="420">
      <c r="L420" s="69"/>
      <c r="M420" s="69"/>
    </row>
    <row r="421">
      <c r="L421" s="69"/>
      <c r="M421" s="69"/>
    </row>
    <row r="422">
      <c r="L422" s="69"/>
      <c r="M422" s="69"/>
    </row>
    <row r="423">
      <c r="L423" s="69"/>
      <c r="M423" s="69"/>
    </row>
    <row r="424">
      <c r="L424" s="69"/>
      <c r="M424" s="69"/>
    </row>
    <row r="425">
      <c r="L425" s="69"/>
      <c r="M425" s="69"/>
    </row>
    <row r="426">
      <c r="L426" s="69"/>
      <c r="M426" s="69"/>
    </row>
    <row r="427">
      <c r="L427" s="69"/>
      <c r="M427" s="69"/>
    </row>
    <row r="428">
      <c r="L428" s="69"/>
      <c r="M428" s="69"/>
    </row>
    <row r="429">
      <c r="L429" s="69"/>
      <c r="M429" s="69"/>
    </row>
    <row r="430">
      <c r="L430" s="69"/>
      <c r="M430" s="69"/>
    </row>
    <row r="431">
      <c r="L431" s="69"/>
      <c r="M431" s="69"/>
    </row>
    <row r="432">
      <c r="L432" s="69"/>
      <c r="M432" s="69"/>
    </row>
    <row r="433">
      <c r="L433" s="69"/>
      <c r="M433" s="69"/>
    </row>
    <row r="434">
      <c r="L434" s="69"/>
      <c r="M434" s="69"/>
    </row>
    <row r="435">
      <c r="L435" s="69"/>
      <c r="M435" s="69"/>
    </row>
    <row r="436">
      <c r="L436" s="69"/>
      <c r="M436" s="69"/>
    </row>
    <row r="437">
      <c r="L437" s="69"/>
      <c r="M437" s="69"/>
    </row>
    <row r="438">
      <c r="L438" s="69"/>
      <c r="M438" s="69"/>
    </row>
    <row r="439">
      <c r="L439" s="69"/>
      <c r="M439" s="69"/>
    </row>
    <row r="440">
      <c r="L440" s="69"/>
      <c r="M440" s="69"/>
    </row>
    <row r="441">
      <c r="L441" s="69"/>
      <c r="M441" s="69"/>
    </row>
    <row r="442">
      <c r="L442" s="69"/>
      <c r="M442" s="69"/>
    </row>
    <row r="443">
      <c r="L443" s="69"/>
      <c r="M443" s="69"/>
    </row>
    <row r="444">
      <c r="L444" s="69"/>
      <c r="M444" s="69"/>
    </row>
    <row r="445">
      <c r="L445" s="69"/>
      <c r="M445" s="69"/>
    </row>
    <row r="446">
      <c r="L446" s="69"/>
      <c r="M446" s="69"/>
    </row>
    <row r="447">
      <c r="L447" s="69"/>
      <c r="M447" s="69"/>
    </row>
    <row r="448">
      <c r="L448" s="69"/>
      <c r="M448" s="69"/>
    </row>
    <row r="449">
      <c r="L449" s="69"/>
      <c r="M449" s="69"/>
    </row>
    <row r="450">
      <c r="L450" s="69"/>
      <c r="M450" s="69"/>
    </row>
    <row r="451">
      <c r="L451" s="69"/>
      <c r="M451" s="69"/>
    </row>
    <row r="452">
      <c r="L452" s="69"/>
      <c r="M452" s="69"/>
    </row>
    <row r="453">
      <c r="L453" s="69"/>
      <c r="M453" s="69"/>
    </row>
    <row r="454">
      <c r="L454" s="69"/>
      <c r="M454" s="69"/>
    </row>
    <row r="455">
      <c r="L455" s="69"/>
      <c r="M455" s="69"/>
    </row>
    <row r="456">
      <c r="L456" s="69"/>
      <c r="M456" s="69"/>
    </row>
    <row r="457">
      <c r="L457" s="69"/>
      <c r="M457" s="69"/>
    </row>
    <row r="458">
      <c r="L458" s="69"/>
      <c r="M458" s="69"/>
    </row>
    <row r="459">
      <c r="L459" s="69"/>
      <c r="M459" s="69"/>
    </row>
    <row r="460">
      <c r="L460" s="69"/>
      <c r="M460" s="69"/>
    </row>
    <row r="461">
      <c r="L461" s="69"/>
      <c r="M461" s="69"/>
    </row>
    <row r="462">
      <c r="L462" s="69"/>
      <c r="M462" s="69"/>
    </row>
    <row r="463">
      <c r="L463" s="69"/>
      <c r="M463" s="69"/>
    </row>
    <row r="464">
      <c r="L464" s="69"/>
      <c r="M464" s="69"/>
    </row>
    <row r="465">
      <c r="L465" s="69"/>
      <c r="M465" s="69"/>
    </row>
    <row r="466">
      <c r="L466" s="69"/>
      <c r="M466" s="69"/>
    </row>
    <row r="467">
      <c r="L467" s="69"/>
      <c r="M467" s="69"/>
    </row>
    <row r="468">
      <c r="L468" s="69"/>
      <c r="M468" s="69"/>
    </row>
    <row r="469">
      <c r="L469" s="69"/>
      <c r="M469" s="69"/>
    </row>
    <row r="470">
      <c r="L470" s="69"/>
      <c r="M470" s="69"/>
    </row>
    <row r="471">
      <c r="L471" s="69"/>
      <c r="M471" s="69"/>
    </row>
    <row r="472">
      <c r="L472" s="69"/>
      <c r="M472" s="69"/>
    </row>
    <row r="473">
      <c r="L473" s="69"/>
      <c r="M473" s="69"/>
    </row>
    <row r="474">
      <c r="L474" s="69"/>
      <c r="M474" s="69"/>
    </row>
    <row r="475">
      <c r="L475" s="69"/>
      <c r="M475" s="69"/>
    </row>
    <row r="476">
      <c r="L476" s="69"/>
      <c r="M476" s="69"/>
    </row>
    <row r="477">
      <c r="L477" s="69"/>
      <c r="M477" s="69"/>
    </row>
    <row r="478">
      <c r="L478" s="69"/>
      <c r="M478" s="69"/>
    </row>
    <row r="479">
      <c r="L479" s="69"/>
      <c r="M479" s="69"/>
    </row>
    <row r="480">
      <c r="L480" s="69"/>
      <c r="M480" s="69"/>
    </row>
    <row r="481">
      <c r="L481" s="69"/>
      <c r="M481" s="69"/>
    </row>
    <row r="482">
      <c r="L482" s="69"/>
      <c r="M482" s="69"/>
    </row>
    <row r="483">
      <c r="L483" s="69"/>
      <c r="M483" s="69"/>
    </row>
    <row r="484">
      <c r="L484" s="69"/>
      <c r="M484" s="69"/>
    </row>
    <row r="485">
      <c r="L485" s="69"/>
      <c r="M485" s="69"/>
    </row>
    <row r="486">
      <c r="L486" s="69"/>
      <c r="M486" s="69"/>
    </row>
    <row r="487">
      <c r="L487" s="69"/>
      <c r="M487" s="69"/>
    </row>
    <row r="488">
      <c r="L488" s="69"/>
      <c r="M488" s="69"/>
    </row>
    <row r="489">
      <c r="L489" s="69"/>
      <c r="M489" s="69"/>
    </row>
    <row r="490">
      <c r="L490" s="69"/>
      <c r="M490" s="69"/>
    </row>
    <row r="491">
      <c r="L491" s="69"/>
      <c r="M491" s="69"/>
    </row>
    <row r="492">
      <c r="L492" s="69"/>
      <c r="M492" s="69"/>
    </row>
    <row r="493">
      <c r="L493" s="69"/>
      <c r="M493" s="69"/>
    </row>
    <row r="494">
      <c r="L494" s="69"/>
      <c r="M494" s="69"/>
    </row>
    <row r="495">
      <c r="L495" s="69"/>
      <c r="M495" s="69"/>
    </row>
    <row r="496">
      <c r="L496" s="69"/>
      <c r="M496" s="69"/>
    </row>
    <row r="497">
      <c r="L497" s="69"/>
      <c r="M497" s="69"/>
    </row>
    <row r="498">
      <c r="L498" s="69"/>
      <c r="M498" s="69"/>
    </row>
    <row r="499">
      <c r="L499" s="69"/>
      <c r="M499" s="69"/>
    </row>
    <row r="500">
      <c r="L500" s="69"/>
      <c r="M500" s="69"/>
    </row>
    <row r="501">
      <c r="L501" s="69"/>
      <c r="M501" s="69"/>
    </row>
    <row r="502">
      <c r="L502" s="69"/>
      <c r="M502" s="69"/>
    </row>
    <row r="503">
      <c r="L503" s="69"/>
      <c r="M503" s="69"/>
    </row>
    <row r="504">
      <c r="L504" s="69"/>
      <c r="M504" s="69"/>
    </row>
    <row r="505">
      <c r="L505" s="69"/>
      <c r="M505" s="69"/>
    </row>
    <row r="506">
      <c r="L506" s="69"/>
      <c r="M506" s="69"/>
    </row>
    <row r="507">
      <c r="L507" s="69"/>
      <c r="M507" s="69"/>
    </row>
    <row r="508">
      <c r="L508" s="69"/>
      <c r="M508" s="69"/>
    </row>
    <row r="509">
      <c r="L509" s="69"/>
      <c r="M509" s="69"/>
    </row>
    <row r="510">
      <c r="L510" s="69"/>
      <c r="M510" s="69"/>
    </row>
    <row r="511">
      <c r="L511" s="69"/>
      <c r="M511" s="69"/>
    </row>
    <row r="512">
      <c r="L512" s="69"/>
      <c r="M512" s="69"/>
    </row>
    <row r="513">
      <c r="L513" s="69"/>
      <c r="M513" s="69"/>
    </row>
    <row r="514">
      <c r="L514" s="69"/>
      <c r="M514" s="69"/>
    </row>
    <row r="515">
      <c r="L515" s="69"/>
      <c r="M515" s="69"/>
    </row>
    <row r="516">
      <c r="L516" s="69"/>
      <c r="M516" s="69"/>
    </row>
    <row r="517">
      <c r="L517" s="69"/>
      <c r="M517" s="69"/>
    </row>
    <row r="518">
      <c r="L518" s="69"/>
      <c r="M518" s="69"/>
    </row>
    <row r="519">
      <c r="L519" s="69"/>
      <c r="M519" s="69"/>
    </row>
    <row r="520">
      <c r="L520" s="69"/>
      <c r="M520" s="69"/>
    </row>
    <row r="521">
      <c r="L521" s="69"/>
      <c r="M521" s="69"/>
    </row>
    <row r="522">
      <c r="L522" s="69"/>
      <c r="M522" s="69"/>
    </row>
    <row r="523">
      <c r="L523" s="69"/>
      <c r="M523" s="69"/>
    </row>
    <row r="524">
      <c r="L524" s="69"/>
      <c r="M524" s="69"/>
    </row>
    <row r="525">
      <c r="L525" s="69"/>
      <c r="M525" s="69"/>
    </row>
    <row r="526">
      <c r="L526" s="69"/>
      <c r="M526" s="69"/>
    </row>
    <row r="527">
      <c r="L527" s="69"/>
      <c r="M527" s="69"/>
    </row>
    <row r="528">
      <c r="L528" s="69"/>
      <c r="M528" s="69"/>
    </row>
    <row r="529">
      <c r="L529" s="69"/>
      <c r="M529" s="69"/>
    </row>
    <row r="530">
      <c r="L530" s="69"/>
      <c r="M530" s="69"/>
    </row>
    <row r="531">
      <c r="L531" s="69"/>
      <c r="M531" s="69"/>
    </row>
    <row r="532">
      <c r="L532" s="69"/>
      <c r="M532" s="69"/>
    </row>
    <row r="533">
      <c r="L533" s="69"/>
      <c r="M533" s="69"/>
    </row>
    <row r="534">
      <c r="L534" s="69"/>
      <c r="M534" s="69"/>
    </row>
    <row r="535">
      <c r="L535" s="69"/>
      <c r="M535" s="69"/>
    </row>
    <row r="536">
      <c r="L536" s="69"/>
      <c r="M536" s="69"/>
    </row>
    <row r="537">
      <c r="L537" s="69"/>
      <c r="M537" s="69"/>
    </row>
    <row r="538">
      <c r="L538" s="69"/>
      <c r="M538" s="69"/>
    </row>
    <row r="539">
      <c r="L539" s="69"/>
      <c r="M539" s="69"/>
    </row>
    <row r="540">
      <c r="L540" s="69"/>
      <c r="M540" s="69"/>
    </row>
    <row r="541">
      <c r="L541" s="69"/>
      <c r="M541" s="69"/>
    </row>
    <row r="542">
      <c r="L542" s="69"/>
      <c r="M542" s="69"/>
    </row>
    <row r="543">
      <c r="L543" s="69"/>
      <c r="M543" s="69"/>
    </row>
    <row r="544">
      <c r="L544" s="69"/>
      <c r="M544" s="69"/>
    </row>
    <row r="545">
      <c r="L545" s="69"/>
      <c r="M545" s="69"/>
    </row>
    <row r="546">
      <c r="L546" s="69"/>
      <c r="M546" s="69"/>
    </row>
    <row r="547">
      <c r="L547" s="69"/>
      <c r="M547" s="69"/>
    </row>
    <row r="548">
      <c r="L548" s="69"/>
      <c r="M548" s="69"/>
    </row>
    <row r="549">
      <c r="L549" s="69"/>
      <c r="M549" s="69"/>
    </row>
    <row r="550">
      <c r="L550" s="69"/>
      <c r="M550" s="69"/>
    </row>
    <row r="551">
      <c r="L551" s="69"/>
      <c r="M551" s="69"/>
    </row>
    <row r="552">
      <c r="L552" s="69"/>
      <c r="M552" s="69"/>
    </row>
    <row r="553">
      <c r="L553" s="69"/>
      <c r="M553" s="69"/>
    </row>
    <row r="554">
      <c r="L554" s="69"/>
      <c r="M554" s="69"/>
    </row>
    <row r="555">
      <c r="L555" s="69"/>
      <c r="M555" s="69"/>
    </row>
    <row r="556">
      <c r="L556" s="69"/>
      <c r="M556" s="69"/>
    </row>
    <row r="557">
      <c r="L557" s="69"/>
      <c r="M557" s="69"/>
    </row>
    <row r="558">
      <c r="L558" s="69"/>
      <c r="M558" s="69"/>
    </row>
    <row r="559">
      <c r="L559" s="69"/>
      <c r="M559" s="69"/>
    </row>
    <row r="560">
      <c r="L560" s="69"/>
      <c r="M560" s="69"/>
    </row>
    <row r="561">
      <c r="L561" s="69"/>
      <c r="M561" s="69"/>
    </row>
    <row r="562">
      <c r="L562" s="69"/>
      <c r="M562" s="69"/>
    </row>
    <row r="563">
      <c r="L563" s="69"/>
      <c r="M563" s="69"/>
    </row>
    <row r="564">
      <c r="L564" s="69"/>
      <c r="M564" s="69"/>
    </row>
    <row r="565">
      <c r="L565" s="69"/>
      <c r="M565" s="69"/>
    </row>
    <row r="566">
      <c r="L566" s="69"/>
      <c r="M566" s="69"/>
    </row>
    <row r="567">
      <c r="L567" s="69"/>
      <c r="M567" s="69"/>
    </row>
    <row r="568">
      <c r="L568" s="69"/>
      <c r="M568" s="69"/>
    </row>
    <row r="569">
      <c r="L569" s="69"/>
      <c r="M569" s="69"/>
    </row>
    <row r="570">
      <c r="L570" s="69"/>
      <c r="M570" s="69"/>
    </row>
    <row r="571">
      <c r="L571" s="69"/>
      <c r="M571" s="69"/>
    </row>
    <row r="572">
      <c r="L572" s="69"/>
      <c r="M572" s="69"/>
    </row>
    <row r="573">
      <c r="L573" s="69"/>
      <c r="M573" s="69"/>
    </row>
    <row r="574">
      <c r="L574" s="69"/>
      <c r="M574" s="69"/>
    </row>
    <row r="575">
      <c r="L575" s="69"/>
      <c r="M575" s="69"/>
    </row>
    <row r="576">
      <c r="L576" s="69"/>
      <c r="M576" s="69"/>
    </row>
    <row r="577">
      <c r="L577" s="69"/>
      <c r="M577" s="69"/>
    </row>
    <row r="578">
      <c r="L578" s="69"/>
      <c r="M578" s="69"/>
    </row>
    <row r="579">
      <c r="L579" s="69"/>
      <c r="M579" s="69"/>
    </row>
    <row r="580">
      <c r="L580" s="69"/>
      <c r="M580" s="69"/>
    </row>
    <row r="581">
      <c r="L581" s="69"/>
      <c r="M581" s="69"/>
    </row>
    <row r="582">
      <c r="L582" s="69"/>
      <c r="M582" s="69"/>
    </row>
    <row r="583">
      <c r="L583" s="69"/>
      <c r="M583" s="69"/>
    </row>
    <row r="584">
      <c r="L584" s="69"/>
      <c r="M584" s="69"/>
    </row>
    <row r="585">
      <c r="L585" s="69"/>
      <c r="M585" s="69"/>
    </row>
    <row r="586">
      <c r="L586" s="69"/>
      <c r="M586" s="69"/>
    </row>
    <row r="587">
      <c r="L587" s="69"/>
      <c r="M587" s="69"/>
    </row>
    <row r="588">
      <c r="L588" s="69"/>
      <c r="M588" s="69"/>
    </row>
    <row r="589">
      <c r="L589" s="69"/>
      <c r="M589" s="69"/>
    </row>
    <row r="590">
      <c r="L590" s="69"/>
      <c r="M590" s="69"/>
    </row>
    <row r="591">
      <c r="L591" s="69"/>
      <c r="M591" s="69"/>
    </row>
    <row r="592">
      <c r="L592" s="69"/>
      <c r="M592" s="69"/>
    </row>
    <row r="593">
      <c r="L593" s="69"/>
      <c r="M593" s="69"/>
    </row>
    <row r="594">
      <c r="L594" s="69"/>
      <c r="M594" s="69"/>
    </row>
    <row r="595">
      <c r="L595" s="69"/>
      <c r="M595" s="69"/>
    </row>
    <row r="596">
      <c r="L596" s="69"/>
      <c r="M596" s="69"/>
    </row>
    <row r="597">
      <c r="L597" s="69"/>
      <c r="M597" s="69"/>
    </row>
    <row r="598">
      <c r="L598" s="69"/>
      <c r="M598" s="69"/>
    </row>
    <row r="599">
      <c r="L599" s="69"/>
      <c r="M599" s="69"/>
    </row>
    <row r="600">
      <c r="L600" s="69"/>
      <c r="M600" s="69"/>
    </row>
    <row r="601">
      <c r="L601" s="69"/>
      <c r="M601" s="69"/>
    </row>
    <row r="602">
      <c r="L602" s="69"/>
      <c r="M602" s="69"/>
    </row>
    <row r="603">
      <c r="L603" s="69"/>
      <c r="M603" s="69"/>
    </row>
    <row r="604">
      <c r="L604" s="69"/>
      <c r="M604" s="69"/>
    </row>
    <row r="605">
      <c r="L605" s="69"/>
      <c r="M605" s="69"/>
    </row>
    <row r="606">
      <c r="L606" s="69"/>
      <c r="M606" s="69"/>
    </row>
    <row r="607">
      <c r="L607" s="69"/>
      <c r="M607" s="69"/>
    </row>
    <row r="608">
      <c r="L608" s="69"/>
      <c r="M608" s="69"/>
    </row>
    <row r="609">
      <c r="L609" s="69"/>
      <c r="M609" s="69"/>
    </row>
    <row r="610">
      <c r="L610" s="69"/>
      <c r="M610" s="69"/>
    </row>
    <row r="611">
      <c r="L611" s="69"/>
      <c r="M611" s="69"/>
    </row>
    <row r="612">
      <c r="L612" s="69"/>
      <c r="M612" s="69"/>
    </row>
    <row r="613">
      <c r="L613" s="69"/>
      <c r="M613" s="69"/>
    </row>
    <row r="614">
      <c r="L614" s="69"/>
      <c r="M614" s="69"/>
    </row>
    <row r="615">
      <c r="L615" s="69"/>
      <c r="M615" s="69"/>
    </row>
    <row r="616">
      <c r="L616" s="69"/>
      <c r="M616" s="69"/>
    </row>
    <row r="617">
      <c r="L617" s="69"/>
      <c r="M617" s="69"/>
    </row>
    <row r="618">
      <c r="L618" s="69"/>
      <c r="M618" s="69"/>
    </row>
    <row r="619">
      <c r="L619" s="69"/>
      <c r="M619" s="69"/>
    </row>
    <row r="620">
      <c r="L620" s="69"/>
      <c r="M620" s="69"/>
    </row>
    <row r="621">
      <c r="L621" s="69"/>
      <c r="M621" s="69"/>
    </row>
    <row r="622">
      <c r="L622" s="69"/>
      <c r="M622" s="69"/>
    </row>
    <row r="623">
      <c r="L623" s="69"/>
      <c r="M623" s="69"/>
    </row>
    <row r="624">
      <c r="L624" s="69"/>
      <c r="M624" s="69"/>
    </row>
    <row r="625">
      <c r="L625" s="69"/>
      <c r="M625" s="69"/>
    </row>
    <row r="626">
      <c r="L626" s="69"/>
      <c r="M626" s="69"/>
    </row>
    <row r="627">
      <c r="L627" s="69"/>
      <c r="M627" s="69"/>
    </row>
    <row r="628">
      <c r="L628" s="69"/>
      <c r="M628" s="69"/>
    </row>
    <row r="629">
      <c r="L629" s="69"/>
      <c r="M629" s="69"/>
    </row>
    <row r="630">
      <c r="L630" s="69"/>
      <c r="M630" s="69"/>
    </row>
    <row r="631">
      <c r="L631" s="69"/>
      <c r="M631" s="69"/>
    </row>
    <row r="632">
      <c r="L632" s="69"/>
      <c r="M632" s="69"/>
    </row>
    <row r="633">
      <c r="L633" s="69"/>
      <c r="M633" s="69"/>
    </row>
    <row r="634">
      <c r="L634" s="69"/>
      <c r="M634" s="69"/>
    </row>
    <row r="635">
      <c r="L635" s="69"/>
      <c r="M635" s="69"/>
    </row>
    <row r="636">
      <c r="L636" s="69"/>
      <c r="M636" s="69"/>
    </row>
    <row r="637">
      <c r="L637" s="69"/>
      <c r="M637" s="69"/>
    </row>
    <row r="638">
      <c r="L638" s="69"/>
      <c r="M638" s="69"/>
    </row>
    <row r="639">
      <c r="L639" s="69"/>
      <c r="M639" s="69"/>
    </row>
    <row r="640">
      <c r="L640" s="69"/>
      <c r="M640" s="69"/>
    </row>
    <row r="641">
      <c r="L641" s="69"/>
      <c r="M641" s="69"/>
    </row>
    <row r="642">
      <c r="L642" s="69"/>
      <c r="M642" s="69"/>
    </row>
    <row r="643">
      <c r="L643" s="69"/>
      <c r="M643" s="69"/>
    </row>
    <row r="644">
      <c r="L644" s="69"/>
      <c r="M644" s="69"/>
    </row>
    <row r="645">
      <c r="L645" s="69"/>
      <c r="M645" s="69"/>
    </row>
    <row r="646">
      <c r="L646" s="69"/>
      <c r="M646" s="69"/>
    </row>
    <row r="647">
      <c r="L647" s="69"/>
      <c r="M647" s="69"/>
    </row>
    <row r="648">
      <c r="L648" s="69"/>
      <c r="M648" s="69"/>
    </row>
    <row r="649">
      <c r="L649" s="69"/>
      <c r="M649" s="69"/>
    </row>
    <row r="650">
      <c r="L650" s="69"/>
      <c r="M650" s="69"/>
    </row>
    <row r="651">
      <c r="L651" s="69"/>
      <c r="M651" s="69"/>
    </row>
    <row r="652">
      <c r="L652" s="69"/>
      <c r="M652" s="69"/>
    </row>
    <row r="653">
      <c r="L653" s="69"/>
      <c r="M653" s="69"/>
    </row>
    <row r="654">
      <c r="L654" s="69"/>
      <c r="M654" s="69"/>
    </row>
    <row r="655">
      <c r="L655" s="69"/>
      <c r="M655" s="69"/>
    </row>
    <row r="656">
      <c r="L656" s="69"/>
      <c r="M656" s="69"/>
    </row>
    <row r="657">
      <c r="L657" s="69"/>
      <c r="M657" s="69"/>
    </row>
    <row r="658">
      <c r="L658" s="69"/>
      <c r="M658" s="69"/>
    </row>
    <row r="659">
      <c r="L659" s="69"/>
      <c r="M659" s="69"/>
    </row>
    <row r="660">
      <c r="L660" s="69"/>
      <c r="M660" s="69"/>
    </row>
    <row r="661">
      <c r="L661" s="69"/>
      <c r="M661" s="69"/>
    </row>
    <row r="662">
      <c r="L662" s="69"/>
      <c r="M662" s="69"/>
    </row>
    <row r="663">
      <c r="L663" s="69"/>
      <c r="M663" s="69"/>
    </row>
    <row r="664">
      <c r="L664" s="69"/>
      <c r="M664" s="69"/>
    </row>
    <row r="665">
      <c r="L665" s="69"/>
      <c r="M665" s="69"/>
    </row>
    <row r="666">
      <c r="L666" s="69"/>
      <c r="M666" s="69"/>
    </row>
    <row r="667">
      <c r="L667" s="69"/>
      <c r="M667" s="69"/>
    </row>
    <row r="668">
      <c r="L668" s="69"/>
      <c r="M668" s="69"/>
    </row>
    <row r="669">
      <c r="L669" s="69"/>
      <c r="M669" s="69"/>
    </row>
    <row r="670">
      <c r="L670" s="69"/>
      <c r="M670" s="69"/>
    </row>
    <row r="671">
      <c r="L671" s="69"/>
      <c r="M671" s="69"/>
    </row>
    <row r="672">
      <c r="L672" s="69"/>
      <c r="M672" s="69"/>
    </row>
    <row r="673">
      <c r="L673" s="69"/>
      <c r="M673" s="69"/>
    </row>
    <row r="674">
      <c r="L674" s="69"/>
      <c r="M674" s="69"/>
    </row>
    <row r="675">
      <c r="L675" s="69"/>
      <c r="M675" s="69"/>
    </row>
    <row r="676">
      <c r="L676" s="69"/>
      <c r="M676" s="69"/>
    </row>
    <row r="677">
      <c r="L677" s="69"/>
      <c r="M677" s="69"/>
    </row>
    <row r="678">
      <c r="L678" s="69"/>
      <c r="M678" s="69"/>
    </row>
    <row r="679">
      <c r="L679" s="69"/>
      <c r="M679" s="69"/>
    </row>
    <row r="680">
      <c r="L680" s="69"/>
      <c r="M680" s="69"/>
    </row>
    <row r="681">
      <c r="L681" s="69"/>
      <c r="M681" s="69"/>
    </row>
    <row r="682">
      <c r="L682" s="69"/>
      <c r="M682" s="69"/>
    </row>
    <row r="683">
      <c r="L683" s="69"/>
      <c r="M683" s="69"/>
    </row>
    <row r="684">
      <c r="L684" s="69"/>
      <c r="M684" s="69"/>
    </row>
    <row r="685">
      <c r="L685" s="69"/>
      <c r="M685" s="69"/>
    </row>
    <row r="686">
      <c r="L686" s="69"/>
      <c r="M686" s="69"/>
    </row>
    <row r="687">
      <c r="L687" s="69"/>
      <c r="M687" s="69"/>
    </row>
    <row r="688">
      <c r="L688" s="69"/>
      <c r="M688" s="69"/>
    </row>
    <row r="689">
      <c r="L689" s="69"/>
      <c r="M689" s="69"/>
    </row>
    <row r="690">
      <c r="L690" s="69"/>
      <c r="M690" s="69"/>
    </row>
    <row r="691">
      <c r="L691" s="69"/>
      <c r="M691" s="69"/>
    </row>
    <row r="692">
      <c r="L692" s="69"/>
      <c r="M692" s="69"/>
    </row>
    <row r="693">
      <c r="L693" s="69"/>
      <c r="M693" s="69"/>
    </row>
    <row r="694">
      <c r="L694" s="69"/>
      <c r="M694" s="69"/>
    </row>
    <row r="695">
      <c r="L695" s="69"/>
      <c r="M695" s="69"/>
    </row>
    <row r="696">
      <c r="L696" s="69"/>
      <c r="M696" s="69"/>
    </row>
    <row r="697">
      <c r="L697" s="69"/>
      <c r="M697" s="69"/>
    </row>
    <row r="698">
      <c r="L698" s="69"/>
      <c r="M698" s="69"/>
    </row>
    <row r="699">
      <c r="L699" s="69"/>
      <c r="M699" s="69"/>
    </row>
    <row r="700">
      <c r="L700" s="69"/>
      <c r="M700" s="69"/>
    </row>
    <row r="701">
      <c r="L701" s="69"/>
      <c r="M701" s="69"/>
    </row>
    <row r="702">
      <c r="L702" s="69"/>
      <c r="M702" s="69"/>
    </row>
    <row r="703">
      <c r="L703" s="69"/>
      <c r="M703" s="69"/>
    </row>
    <row r="704">
      <c r="L704" s="69"/>
      <c r="M704" s="69"/>
    </row>
    <row r="705">
      <c r="L705" s="69"/>
      <c r="M705" s="69"/>
    </row>
    <row r="706">
      <c r="L706" s="69"/>
      <c r="M706" s="69"/>
    </row>
    <row r="707">
      <c r="L707" s="69"/>
      <c r="M707" s="69"/>
    </row>
    <row r="708">
      <c r="L708" s="69"/>
      <c r="M708" s="69"/>
    </row>
    <row r="709">
      <c r="L709" s="69"/>
      <c r="M709" s="69"/>
    </row>
    <row r="710">
      <c r="L710" s="69"/>
      <c r="M710" s="69"/>
    </row>
    <row r="711">
      <c r="L711" s="69"/>
      <c r="M711" s="69"/>
    </row>
    <row r="712">
      <c r="L712" s="69"/>
      <c r="M712" s="69"/>
    </row>
    <row r="713">
      <c r="L713" s="69"/>
      <c r="M713" s="69"/>
    </row>
    <row r="714">
      <c r="L714" s="69"/>
      <c r="M714" s="69"/>
    </row>
    <row r="715">
      <c r="L715" s="69"/>
      <c r="M715" s="69"/>
    </row>
    <row r="716">
      <c r="L716" s="69"/>
      <c r="M716" s="69"/>
    </row>
    <row r="717">
      <c r="L717" s="69"/>
      <c r="M717" s="69"/>
    </row>
    <row r="718">
      <c r="L718" s="69"/>
      <c r="M718" s="69"/>
    </row>
    <row r="719">
      <c r="L719" s="69"/>
      <c r="M719" s="69"/>
    </row>
    <row r="720">
      <c r="L720" s="69"/>
      <c r="M720" s="69"/>
    </row>
    <row r="721">
      <c r="L721" s="69"/>
      <c r="M721" s="69"/>
    </row>
    <row r="722">
      <c r="L722" s="69"/>
      <c r="M722" s="69"/>
    </row>
    <row r="723">
      <c r="L723" s="69"/>
      <c r="M723" s="69"/>
    </row>
    <row r="724">
      <c r="L724" s="69"/>
      <c r="M724" s="69"/>
    </row>
    <row r="725">
      <c r="L725" s="69"/>
      <c r="M725" s="69"/>
    </row>
    <row r="726">
      <c r="L726" s="69"/>
      <c r="M726" s="69"/>
    </row>
    <row r="727">
      <c r="L727" s="69"/>
      <c r="M727" s="69"/>
    </row>
    <row r="728">
      <c r="L728" s="69"/>
      <c r="M728" s="69"/>
    </row>
    <row r="729">
      <c r="L729" s="69"/>
      <c r="M729" s="69"/>
    </row>
    <row r="730">
      <c r="L730" s="69"/>
      <c r="M730" s="69"/>
    </row>
    <row r="731">
      <c r="L731" s="69"/>
      <c r="M731" s="69"/>
    </row>
    <row r="732">
      <c r="L732" s="69"/>
      <c r="M732" s="69"/>
    </row>
    <row r="733">
      <c r="L733" s="69"/>
      <c r="M733" s="69"/>
    </row>
    <row r="734">
      <c r="L734" s="69"/>
      <c r="M734" s="69"/>
    </row>
    <row r="735">
      <c r="L735" s="69"/>
      <c r="M735" s="69"/>
    </row>
    <row r="736">
      <c r="L736" s="69"/>
      <c r="M736" s="69"/>
    </row>
    <row r="737">
      <c r="L737" s="69"/>
      <c r="M737" s="69"/>
    </row>
    <row r="738">
      <c r="L738" s="69"/>
      <c r="M738" s="69"/>
    </row>
    <row r="739">
      <c r="L739" s="69"/>
      <c r="M739" s="69"/>
    </row>
    <row r="740">
      <c r="L740" s="69"/>
      <c r="M740" s="69"/>
    </row>
    <row r="741">
      <c r="L741" s="69"/>
      <c r="M741" s="69"/>
    </row>
    <row r="742">
      <c r="L742" s="69"/>
      <c r="M742" s="69"/>
    </row>
    <row r="743">
      <c r="L743" s="69"/>
      <c r="M743" s="69"/>
    </row>
    <row r="744">
      <c r="L744" s="69"/>
      <c r="M744" s="69"/>
    </row>
    <row r="745">
      <c r="L745" s="69"/>
      <c r="M745" s="69"/>
    </row>
    <row r="746">
      <c r="L746" s="69"/>
      <c r="M746" s="69"/>
    </row>
    <row r="747">
      <c r="L747" s="69"/>
      <c r="M747" s="69"/>
    </row>
    <row r="748">
      <c r="L748" s="69"/>
      <c r="M748" s="69"/>
    </row>
    <row r="749">
      <c r="L749" s="69"/>
      <c r="M749" s="69"/>
    </row>
    <row r="750">
      <c r="L750" s="69"/>
      <c r="M750" s="69"/>
    </row>
    <row r="751">
      <c r="L751" s="69"/>
      <c r="M751" s="69"/>
    </row>
    <row r="752">
      <c r="L752" s="69"/>
      <c r="M752" s="69"/>
    </row>
    <row r="753">
      <c r="L753" s="69"/>
      <c r="M753" s="69"/>
    </row>
    <row r="754">
      <c r="L754" s="69"/>
      <c r="M754" s="69"/>
    </row>
    <row r="755">
      <c r="L755" s="69"/>
      <c r="M755" s="69"/>
    </row>
    <row r="756">
      <c r="L756" s="69"/>
      <c r="M756" s="69"/>
    </row>
    <row r="757">
      <c r="L757" s="69"/>
      <c r="M757" s="69"/>
    </row>
    <row r="758">
      <c r="L758" s="69"/>
      <c r="M758" s="69"/>
    </row>
    <row r="759">
      <c r="L759" s="69"/>
      <c r="M759" s="69"/>
    </row>
    <row r="760">
      <c r="L760" s="69"/>
      <c r="M760" s="69"/>
    </row>
    <row r="761">
      <c r="L761" s="69"/>
      <c r="M761" s="69"/>
    </row>
    <row r="762">
      <c r="L762" s="69"/>
      <c r="M762" s="69"/>
    </row>
    <row r="763">
      <c r="L763" s="69"/>
      <c r="M763" s="69"/>
    </row>
    <row r="764">
      <c r="L764" s="69"/>
      <c r="M764" s="69"/>
    </row>
    <row r="765">
      <c r="L765" s="69"/>
      <c r="M765" s="69"/>
    </row>
    <row r="766">
      <c r="L766" s="69"/>
      <c r="M766" s="69"/>
    </row>
    <row r="767">
      <c r="L767" s="69"/>
      <c r="M767" s="69"/>
    </row>
    <row r="768">
      <c r="L768" s="69"/>
      <c r="M768" s="69"/>
    </row>
    <row r="769">
      <c r="L769" s="69"/>
      <c r="M769" s="69"/>
    </row>
    <row r="770">
      <c r="L770" s="69"/>
      <c r="M770" s="69"/>
    </row>
    <row r="771">
      <c r="L771" s="69"/>
      <c r="M771" s="69"/>
    </row>
    <row r="772">
      <c r="L772" s="69"/>
      <c r="M772" s="69"/>
    </row>
    <row r="773">
      <c r="L773" s="69"/>
      <c r="M773" s="69"/>
    </row>
    <row r="774">
      <c r="L774" s="69"/>
      <c r="M774" s="69"/>
    </row>
    <row r="775">
      <c r="L775" s="69"/>
      <c r="M775" s="69"/>
    </row>
    <row r="776">
      <c r="L776" s="69"/>
      <c r="M776" s="69"/>
    </row>
    <row r="777">
      <c r="L777" s="69"/>
      <c r="M777" s="69"/>
    </row>
    <row r="778">
      <c r="L778" s="69"/>
      <c r="M778" s="69"/>
    </row>
    <row r="779">
      <c r="L779" s="69"/>
      <c r="M779" s="69"/>
    </row>
    <row r="780">
      <c r="L780" s="69"/>
      <c r="M780" s="69"/>
    </row>
    <row r="781">
      <c r="L781" s="69"/>
      <c r="M781" s="69"/>
    </row>
    <row r="782">
      <c r="L782" s="69"/>
      <c r="M782" s="69"/>
    </row>
    <row r="783">
      <c r="L783" s="69"/>
      <c r="M783" s="69"/>
    </row>
    <row r="784">
      <c r="L784" s="69"/>
      <c r="M784" s="69"/>
    </row>
    <row r="785">
      <c r="L785" s="69"/>
      <c r="M785" s="69"/>
    </row>
    <row r="786">
      <c r="L786" s="69"/>
      <c r="M786" s="69"/>
    </row>
    <row r="787">
      <c r="L787" s="69"/>
      <c r="M787" s="69"/>
    </row>
    <row r="788">
      <c r="L788" s="69"/>
      <c r="M788" s="69"/>
    </row>
    <row r="789">
      <c r="L789" s="69"/>
      <c r="M789" s="69"/>
    </row>
    <row r="790">
      <c r="L790" s="69"/>
      <c r="M790" s="69"/>
    </row>
    <row r="791">
      <c r="L791" s="69"/>
      <c r="M791" s="69"/>
    </row>
    <row r="792">
      <c r="L792" s="69"/>
      <c r="M792" s="69"/>
    </row>
    <row r="793">
      <c r="L793" s="69"/>
      <c r="M793" s="69"/>
    </row>
    <row r="794">
      <c r="L794" s="69"/>
      <c r="M794" s="69"/>
    </row>
    <row r="795">
      <c r="L795" s="69"/>
      <c r="M795" s="69"/>
    </row>
    <row r="796">
      <c r="L796" s="69"/>
      <c r="M796" s="69"/>
    </row>
    <row r="797">
      <c r="L797" s="69"/>
      <c r="M797" s="69"/>
    </row>
    <row r="798">
      <c r="L798" s="69"/>
      <c r="M798" s="69"/>
    </row>
    <row r="799">
      <c r="L799" s="69"/>
      <c r="M799" s="69"/>
    </row>
    <row r="800">
      <c r="L800" s="69"/>
      <c r="M800" s="69"/>
    </row>
    <row r="801">
      <c r="L801" s="69"/>
      <c r="M801" s="69"/>
    </row>
    <row r="802">
      <c r="L802" s="69"/>
      <c r="M802" s="69"/>
    </row>
    <row r="803">
      <c r="L803" s="69"/>
      <c r="M803" s="69"/>
    </row>
    <row r="804">
      <c r="L804" s="69"/>
      <c r="M804" s="69"/>
    </row>
    <row r="805">
      <c r="L805" s="69"/>
      <c r="M805" s="69"/>
    </row>
    <row r="806">
      <c r="L806" s="69"/>
      <c r="M806" s="69"/>
    </row>
    <row r="807">
      <c r="L807" s="69"/>
      <c r="M807" s="69"/>
    </row>
    <row r="808">
      <c r="L808" s="69"/>
      <c r="M808" s="69"/>
    </row>
    <row r="809">
      <c r="L809" s="69"/>
      <c r="M809" s="69"/>
    </row>
    <row r="810">
      <c r="L810" s="69"/>
      <c r="M810" s="69"/>
    </row>
    <row r="811">
      <c r="L811" s="69"/>
      <c r="M811" s="69"/>
    </row>
    <row r="812">
      <c r="L812" s="69"/>
      <c r="M812" s="69"/>
    </row>
    <row r="813">
      <c r="L813" s="69"/>
      <c r="M813" s="69"/>
    </row>
    <row r="814">
      <c r="L814" s="69"/>
      <c r="M814" s="69"/>
    </row>
    <row r="815">
      <c r="L815" s="69"/>
      <c r="M815" s="69"/>
    </row>
    <row r="816">
      <c r="L816" s="69"/>
      <c r="M816" s="69"/>
    </row>
    <row r="817">
      <c r="L817" s="69"/>
      <c r="M817" s="69"/>
    </row>
    <row r="818">
      <c r="L818" s="69"/>
      <c r="M818" s="69"/>
    </row>
    <row r="819">
      <c r="L819" s="69"/>
      <c r="M819" s="69"/>
    </row>
    <row r="820">
      <c r="L820" s="69"/>
      <c r="M820" s="69"/>
    </row>
    <row r="821">
      <c r="L821" s="69"/>
      <c r="M821" s="69"/>
    </row>
    <row r="822">
      <c r="L822" s="69"/>
      <c r="M822" s="69"/>
    </row>
    <row r="823">
      <c r="L823" s="69"/>
      <c r="M823" s="69"/>
    </row>
    <row r="824">
      <c r="L824" s="69"/>
      <c r="M824" s="69"/>
    </row>
    <row r="825">
      <c r="L825" s="69"/>
      <c r="M825" s="69"/>
    </row>
    <row r="826">
      <c r="L826" s="69"/>
      <c r="M826" s="69"/>
    </row>
    <row r="827">
      <c r="L827" s="69"/>
      <c r="M827" s="69"/>
    </row>
    <row r="828">
      <c r="L828" s="69"/>
      <c r="M828" s="69"/>
    </row>
    <row r="829">
      <c r="L829" s="69"/>
      <c r="M829" s="69"/>
    </row>
    <row r="830">
      <c r="L830" s="69"/>
      <c r="M830" s="69"/>
    </row>
    <row r="831">
      <c r="L831" s="69"/>
      <c r="M831" s="69"/>
    </row>
    <row r="832">
      <c r="L832" s="69"/>
      <c r="M832" s="69"/>
    </row>
    <row r="833">
      <c r="L833" s="69"/>
      <c r="M833" s="69"/>
    </row>
    <row r="834">
      <c r="L834" s="69"/>
      <c r="M834" s="69"/>
    </row>
    <row r="835">
      <c r="L835" s="69"/>
      <c r="M835" s="69"/>
    </row>
    <row r="836">
      <c r="L836" s="69"/>
      <c r="M836" s="69"/>
    </row>
    <row r="837">
      <c r="L837" s="69"/>
      <c r="M837" s="69"/>
    </row>
    <row r="838">
      <c r="L838" s="69"/>
      <c r="M838" s="69"/>
    </row>
    <row r="839">
      <c r="L839" s="69"/>
      <c r="M839" s="69"/>
    </row>
    <row r="840">
      <c r="L840" s="69"/>
      <c r="M840" s="69"/>
    </row>
    <row r="841">
      <c r="L841" s="69"/>
      <c r="M841" s="69"/>
    </row>
    <row r="842">
      <c r="L842" s="69"/>
      <c r="M842" s="69"/>
    </row>
    <row r="843">
      <c r="L843" s="69"/>
      <c r="M843" s="69"/>
    </row>
    <row r="844">
      <c r="L844" s="69"/>
      <c r="M844" s="69"/>
    </row>
    <row r="845">
      <c r="L845" s="69"/>
      <c r="M845" s="69"/>
    </row>
    <row r="846">
      <c r="L846" s="69"/>
      <c r="M846" s="69"/>
    </row>
    <row r="847">
      <c r="L847" s="69"/>
      <c r="M847" s="69"/>
    </row>
    <row r="848">
      <c r="L848" s="69"/>
      <c r="M848" s="69"/>
    </row>
    <row r="849">
      <c r="L849" s="69"/>
      <c r="M849" s="69"/>
    </row>
    <row r="850">
      <c r="L850" s="69"/>
      <c r="M850" s="69"/>
    </row>
    <row r="851">
      <c r="L851" s="69"/>
      <c r="M851" s="69"/>
    </row>
    <row r="852">
      <c r="L852" s="69"/>
      <c r="M852" s="69"/>
    </row>
    <row r="853">
      <c r="L853" s="69"/>
      <c r="M853" s="69"/>
    </row>
    <row r="854">
      <c r="L854" s="69"/>
      <c r="M854" s="69"/>
    </row>
    <row r="855">
      <c r="L855" s="69"/>
      <c r="M855" s="69"/>
    </row>
    <row r="856">
      <c r="L856" s="69"/>
      <c r="M856" s="69"/>
    </row>
    <row r="857">
      <c r="L857" s="69"/>
      <c r="M857" s="69"/>
    </row>
    <row r="858">
      <c r="L858" s="69"/>
      <c r="M858" s="69"/>
    </row>
    <row r="859">
      <c r="L859" s="69"/>
      <c r="M859" s="69"/>
    </row>
    <row r="860">
      <c r="L860" s="69"/>
      <c r="M860" s="69"/>
    </row>
    <row r="861">
      <c r="L861" s="69"/>
      <c r="M861" s="69"/>
    </row>
    <row r="862">
      <c r="L862" s="69"/>
      <c r="M862" s="69"/>
    </row>
    <row r="863">
      <c r="L863" s="69"/>
      <c r="M863" s="69"/>
    </row>
    <row r="864">
      <c r="L864" s="69"/>
      <c r="M864" s="69"/>
    </row>
    <row r="865">
      <c r="L865" s="69"/>
      <c r="M865" s="69"/>
    </row>
    <row r="866">
      <c r="L866" s="69"/>
      <c r="M866" s="69"/>
    </row>
    <row r="867">
      <c r="L867" s="69"/>
      <c r="M867" s="69"/>
    </row>
    <row r="868">
      <c r="L868" s="69"/>
      <c r="M868" s="69"/>
    </row>
    <row r="869">
      <c r="L869" s="69"/>
      <c r="M869" s="69"/>
    </row>
    <row r="870">
      <c r="L870" s="69"/>
      <c r="M870" s="69"/>
    </row>
    <row r="871">
      <c r="L871" s="69"/>
      <c r="M871" s="69"/>
    </row>
    <row r="872">
      <c r="L872" s="69"/>
      <c r="M872" s="69"/>
    </row>
    <row r="873">
      <c r="L873" s="69"/>
      <c r="M873" s="69"/>
    </row>
    <row r="874">
      <c r="L874" s="69"/>
      <c r="M874" s="69"/>
    </row>
    <row r="875">
      <c r="L875" s="69"/>
      <c r="M875" s="69"/>
    </row>
    <row r="876">
      <c r="L876" s="69"/>
      <c r="M876" s="69"/>
    </row>
    <row r="877">
      <c r="L877" s="69"/>
      <c r="M877" s="69"/>
    </row>
    <row r="878">
      <c r="L878" s="69"/>
      <c r="M878" s="69"/>
    </row>
    <row r="879">
      <c r="L879" s="69"/>
      <c r="M879" s="69"/>
    </row>
    <row r="880">
      <c r="L880" s="69"/>
      <c r="M880" s="69"/>
    </row>
    <row r="881">
      <c r="L881" s="69"/>
      <c r="M881" s="69"/>
    </row>
    <row r="882">
      <c r="L882" s="69"/>
      <c r="M882" s="69"/>
    </row>
    <row r="883">
      <c r="L883" s="69"/>
      <c r="M883" s="69"/>
    </row>
    <row r="884">
      <c r="L884" s="69"/>
      <c r="M884" s="69"/>
    </row>
    <row r="885">
      <c r="L885" s="69"/>
      <c r="M885" s="69"/>
    </row>
    <row r="886">
      <c r="L886" s="69"/>
      <c r="M886" s="69"/>
    </row>
    <row r="887">
      <c r="L887" s="69"/>
      <c r="M887" s="69"/>
    </row>
    <row r="888">
      <c r="L888" s="69"/>
      <c r="M888" s="69"/>
    </row>
    <row r="889">
      <c r="L889" s="69"/>
      <c r="M889" s="69"/>
    </row>
    <row r="890">
      <c r="L890" s="69"/>
      <c r="M890" s="69"/>
    </row>
    <row r="891">
      <c r="L891" s="69"/>
      <c r="M891" s="69"/>
    </row>
    <row r="892">
      <c r="L892" s="69"/>
      <c r="M892" s="69"/>
    </row>
    <row r="893">
      <c r="L893" s="69"/>
      <c r="M893" s="69"/>
    </row>
    <row r="894">
      <c r="L894" s="69"/>
      <c r="M894" s="69"/>
    </row>
    <row r="895">
      <c r="L895" s="69"/>
      <c r="M895" s="69"/>
    </row>
    <row r="896">
      <c r="L896" s="69"/>
      <c r="M896" s="69"/>
    </row>
    <row r="897">
      <c r="L897" s="69"/>
      <c r="M897" s="69"/>
    </row>
    <row r="898">
      <c r="L898" s="69"/>
      <c r="M898" s="69"/>
    </row>
    <row r="899">
      <c r="L899" s="69"/>
      <c r="M899" s="69"/>
    </row>
    <row r="900">
      <c r="L900" s="69"/>
      <c r="M900" s="69"/>
    </row>
    <row r="901">
      <c r="L901" s="69"/>
      <c r="M901" s="69"/>
    </row>
    <row r="902">
      <c r="L902" s="69"/>
      <c r="M902" s="69"/>
    </row>
    <row r="903">
      <c r="L903" s="69"/>
      <c r="M903" s="69"/>
    </row>
    <row r="904">
      <c r="L904" s="69"/>
      <c r="M904" s="69"/>
    </row>
    <row r="905">
      <c r="L905" s="69"/>
      <c r="M905" s="69"/>
    </row>
    <row r="906">
      <c r="L906" s="69"/>
      <c r="M906" s="69"/>
    </row>
    <row r="907">
      <c r="L907" s="69"/>
      <c r="M907" s="69"/>
    </row>
    <row r="908">
      <c r="L908" s="69"/>
      <c r="M908" s="69"/>
    </row>
    <row r="909">
      <c r="L909" s="69"/>
      <c r="M909" s="69"/>
    </row>
    <row r="910">
      <c r="L910" s="69"/>
      <c r="M910" s="69"/>
    </row>
    <row r="911">
      <c r="L911" s="69"/>
      <c r="M911" s="69"/>
    </row>
    <row r="912">
      <c r="L912" s="69"/>
      <c r="M912" s="69"/>
    </row>
    <row r="913">
      <c r="L913" s="69"/>
      <c r="M913" s="69"/>
    </row>
    <row r="914">
      <c r="L914" s="69"/>
      <c r="M914" s="69"/>
    </row>
    <row r="915">
      <c r="L915" s="69"/>
      <c r="M915" s="69"/>
    </row>
    <row r="916">
      <c r="L916" s="69"/>
      <c r="M916" s="69"/>
    </row>
    <row r="917">
      <c r="L917" s="69"/>
      <c r="M917" s="69"/>
    </row>
    <row r="918">
      <c r="L918" s="69"/>
      <c r="M918" s="69"/>
    </row>
    <row r="919">
      <c r="L919" s="69"/>
      <c r="M919" s="69"/>
    </row>
    <row r="920">
      <c r="L920" s="69"/>
      <c r="M920" s="69"/>
    </row>
    <row r="921">
      <c r="L921" s="69"/>
      <c r="M921" s="69"/>
    </row>
    <row r="922">
      <c r="L922" s="69"/>
      <c r="M922" s="69"/>
    </row>
    <row r="923">
      <c r="L923" s="69"/>
      <c r="M923" s="69"/>
    </row>
    <row r="924">
      <c r="L924" s="69"/>
      <c r="M924" s="69"/>
    </row>
    <row r="925">
      <c r="L925" s="69"/>
      <c r="M925" s="69"/>
    </row>
    <row r="926">
      <c r="L926" s="69"/>
      <c r="M926" s="69"/>
    </row>
    <row r="927">
      <c r="L927" s="69"/>
      <c r="M927" s="69"/>
    </row>
    <row r="928">
      <c r="L928" s="69"/>
      <c r="M928" s="69"/>
    </row>
    <row r="929">
      <c r="L929" s="69"/>
      <c r="M929" s="69"/>
    </row>
    <row r="930">
      <c r="L930" s="69"/>
      <c r="M930" s="69"/>
    </row>
    <row r="931">
      <c r="L931" s="69"/>
      <c r="M931" s="69"/>
    </row>
    <row r="932">
      <c r="L932" s="69"/>
      <c r="M932" s="69"/>
    </row>
    <row r="933">
      <c r="L933" s="69"/>
      <c r="M933" s="69"/>
    </row>
    <row r="934">
      <c r="L934" s="69"/>
      <c r="M934" s="69"/>
    </row>
    <row r="935">
      <c r="L935" s="69"/>
      <c r="M935" s="69"/>
    </row>
    <row r="936">
      <c r="L936" s="69"/>
      <c r="M936" s="69"/>
    </row>
    <row r="937">
      <c r="L937" s="69"/>
      <c r="M937" s="69"/>
    </row>
    <row r="938">
      <c r="L938" s="69"/>
      <c r="M938" s="69"/>
    </row>
    <row r="939">
      <c r="L939" s="69"/>
      <c r="M939" s="69"/>
    </row>
    <row r="940">
      <c r="L940" s="69"/>
      <c r="M940" s="69"/>
    </row>
    <row r="941">
      <c r="L941" s="69"/>
      <c r="M941" s="69"/>
    </row>
    <row r="942">
      <c r="L942" s="69"/>
      <c r="M942" s="69"/>
    </row>
    <row r="943">
      <c r="L943" s="69"/>
      <c r="M943" s="69"/>
    </row>
    <row r="944">
      <c r="L944" s="69"/>
      <c r="M944" s="69"/>
    </row>
    <row r="945">
      <c r="L945" s="69"/>
      <c r="M945" s="69"/>
    </row>
    <row r="946">
      <c r="L946" s="69"/>
      <c r="M946" s="69"/>
    </row>
    <row r="947">
      <c r="L947" s="69"/>
      <c r="M947" s="69"/>
    </row>
    <row r="948">
      <c r="L948" s="69"/>
      <c r="M948" s="69"/>
    </row>
    <row r="949">
      <c r="L949" s="69"/>
      <c r="M949" s="69"/>
    </row>
    <row r="950">
      <c r="L950" s="69"/>
      <c r="M950" s="69"/>
    </row>
    <row r="951">
      <c r="L951" s="69"/>
      <c r="M951" s="69"/>
    </row>
    <row r="952">
      <c r="L952" s="69"/>
      <c r="M952" s="69"/>
    </row>
    <row r="953">
      <c r="L953" s="69"/>
      <c r="M953" s="69"/>
    </row>
    <row r="954">
      <c r="L954" s="69"/>
      <c r="M954" s="69"/>
    </row>
    <row r="955">
      <c r="L955" s="69"/>
      <c r="M955" s="69"/>
    </row>
    <row r="956">
      <c r="L956" s="69"/>
      <c r="M956" s="69"/>
    </row>
    <row r="957">
      <c r="L957" s="69"/>
      <c r="M957" s="69"/>
    </row>
    <row r="958">
      <c r="L958" s="69"/>
      <c r="M958" s="69"/>
    </row>
    <row r="959">
      <c r="L959" s="69"/>
      <c r="M959" s="69"/>
    </row>
    <row r="960">
      <c r="L960" s="69"/>
      <c r="M960" s="69"/>
    </row>
    <row r="961">
      <c r="L961" s="69"/>
      <c r="M961" s="69"/>
    </row>
    <row r="962">
      <c r="L962" s="69"/>
      <c r="M962" s="69"/>
    </row>
    <row r="963">
      <c r="L963" s="69"/>
      <c r="M963" s="69"/>
    </row>
    <row r="964">
      <c r="L964" s="69"/>
      <c r="M964" s="69"/>
    </row>
    <row r="965">
      <c r="L965" s="69"/>
      <c r="M965" s="69"/>
    </row>
    <row r="966">
      <c r="L966" s="69"/>
      <c r="M966" s="69"/>
    </row>
    <row r="967">
      <c r="L967" s="69"/>
      <c r="M967" s="69"/>
    </row>
    <row r="968">
      <c r="L968" s="69"/>
      <c r="M968" s="69"/>
    </row>
    <row r="969">
      <c r="L969" s="69"/>
      <c r="M969" s="69"/>
    </row>
    <row r="970">
      <c r="L970" s="69"/>
      <c r="M970" s="69"/>
    </row>
    <row r="971">
      <c r="L971" s="69"/>
      <c r="M971" s="69"/>
    </row>
    <row r="972">
      <c r="L972" s="69"/>
      <c r="M972" s="69"/>
    </row>
    <row r="973">
      <c r="L973" s="69"/>
      <c r="M973" s="69"/>
    </row>
    <row r="974">
      <c r="L974" s="69"/>
      <c r="M974" s="69"/>
    </row>
    <row r="975">
      <c r="L975" s="69"/>
      <c r="M975" s="69"/>
    </row>
    <row r="976">
      <c r="L976" s="69"/>
      <c r="M976" s="69"/>
    </row>
    <row r="977">
      <c r="L977" s="69"/>
      <c r="M977" s="69"/>
    </row>
    <row r="978">
      <c r="L978" s="69"/>
      <c r="M978" s="69"/>
    </row>
    <row r="979">
      <c r="L979" s="69"/>
      <c r="M979" s="69"/>
    </row>
    <row r="980">
      <c r="L980" s="69"/>
      <c r="M980" s="69"/>
    </row>
    <row r="981">
      <c r="L981" s="69"/>
      <c r="M981" s="69"/>
    </row>
    <row r="982">
      <c r="L982" s="69"/>
      <c r="M982" s="69"/>
    </row>
    <row r="983">
      <c r="L983" s="69"/>
      <c r="M983" s="69"/>
    </row>
    <row r="984">
      <c r="L984" s="69"/>
      <c r="M984" s="69"/>
    </row>
    <row r="985">
      <c r="L985" s="69"/>
      <c r="M985" s="69"/>
    </row>
    <row r="986">
      <c r="L986" s="69"/>
      <c r="M986" s="69"/>
    </row>
    <row r="987">
      <c r="L987" s="69"/>
      <c r="M987" s="69"/>
    </row>
    <row r="988">
      <c r="L988" s="69"/>
      <c r="M988" s="69"/>
    </row>
    <row r="989">
      <c r="L989" s="69"/>
      <c r="M989" s="69"/>
    </row>
    <row r="990">
      <c r="L990" s="69"/>
      <c r="M990" s="69"/>
    </row>
    <row r="991">
      <c r="L991" s="69"/>
      <c r="M991" s="69"/>
    </row>
    <row r="992">
      <c r="L992" s="69"/>
      <c r="M992" s="69"/>
    </row>
    <row r="993">
      <c r="L993" s="69"/>
      <c r="M993" s="69"/>
    </row>
    <row r="994">
      <c r="L994" s="69"/>
      <c r="M994" s="69"/>
    </row>
    <row r="995">
      <c r="L995" s="69"/>
      <c r="M995" s="69"/>
    </row>
    <row r="996">
      <c r="L996" s="69"/>
      <c r="M996" s="69"/>
    </row>
    <row r="997">
      <c r="L997" s="69"/>
      <c r="M997" s="69"/>
    </row>
    <row r="998">
      <c r="L998" s="69"/>
      <c r="M998" s="69"/>
    </row>
    <row r="999">
      <c r="L999" s="69"/>
      <c r="M999" s="69"/>
    </row>
    <row r="1000">
      <c r="L1000" s="69"/>
      <c r="M1000" s="69"/>
    </row>
    <row r="1001">
      <c r="L1001" s="69"/>
      <c r="M1001" s="69"/>
    </row>
    <row r="1002">
      <c r="L1002" s="69"/>
      <c r="M1002" s="69"/>
    </row>
    <row r="1003">
      <c r="L1003" s="69"/>
      <c r="M1003" s="69"/>
    </row>
    <row r="1004">
      <c r="L1004" s="69"/>
      <c r="M1004" s="69"/>
    </row>
    <row r="1005">
      <c r="L1005" s="69"/>
      <c r="M1005" s="69"/>
    </row>
    <row r="1006">
      <c r="L1006" s="69"/>
      <c r="M1006" s="69"/>
    </row>
    <row r="1007">
      <c r="L1007" s="69"/>
      <c r="M1007" s="69"/>
    </row>
    <row r="1008">
      <c r="L1008" s="69"/>
      <c r="M1008" s="69"/>
    </row>
    <row r="1009">
      <c r="L1009" s="69"/>
      <c r="M1009" s="69"/>
    </row>
    <row r="1010">
      <c r="L1010" s="69"/>
      <c r="M1010" s="69"/>
    </row>
    <row r="1011">
      <c r="L1011" s="69"/>
      <c r="M1011" s="69"/>
    </row>
    <row r="1012">
      <c r="L1012" s="69"/>
      <c r="M1012" s="69"/>
    </row>
    <row r="1013">
      <c r="L1013" s="69"/>
      <c r="M1013" s="69"/>
    </row>
    <row r="1014">
      <c r="L1014" s="69"/>
      <c r="M1014" s="69"/>
    </row>
    <row r="1015">
      <c r="L1015" s="69"/>
      <c r="M1015" s="69"/>
    </row>
    <row r="1016">
      <c r="L1016" s="69"/>
      <c r="M1016" s="69"/>
    </row>
    <row r="1017">
      <c r="L1017" s="69"/>
      <c r="M1017" s="69"/>
    </row>
    <row r="1018">
      <c r="L1018" s="69"/>
      <c r="M1018" s="69"/>
    </row>
    <row r="1019">
      <c r="L1019" s="69"/>
      <c r="M1019" s="69"/>
    </row>
    <row r="1020">
      <c r="L1020" s="69"/>
      <c r="M1020" s="69"/>
    </row>
    <row r="1021">
      <c r="L1021" s="69"/>
      <c r="M1021" s="69"/>
    </row>
    <row r="1022">
      <c r="L1022" s="69"/>
      <c r="M1022" s="69"/>
    </row>
    <row r="1023">
      <c r="L1023" s="69"/>
      <c r="M1023" s="69"/>
    </row>
    <row r="1024">
      <c r="L1024" s="69"/>
      <c r="M1024" s="69"/>
    </row>
    <row r="1025">
      <c r="L1025" s="69"/>
      <c r="M1025" s="69"/>
    </row>
    <row r="1026">
      <c r="L1026" s="69"/>
      <c r="M1026" s="69"/>
    </row>
    <row r="1027">
      <c r="L1027" s="69"/>
      <c r="M1027" s="69"/>
    </row>
    <row r="1028">
      <c r="L1028" s="69"/>
      <c r="M1028" s="69"/>
    </row>
    <row r="1029">
      <c r="L1029" s="69"/>
      <c r="M1029" s="69"/>
    </row>
    <row r="1030">
      <c r="L1030" s="69"/>
      <c r="M1030" s="69"/>
    </row>
    <row r="1031">
      <c r="L1031" s="69"/>
      <c r="M1031" s="69"/>
    </row>
    <row r="1032">
      <c r="L1032" s="69"/>
      <c r="M1032" s="69"/>
    </row>
    <row r="1033">
      <c r="L1033" s="69"/>
      <c r="M1033" s="69"/>
    </row>
    <row r="1034">
      <c r="L1034" s="69"/>
      <c r="M1034" s="69"/>
    </row>
    <row r="1035">
      <c r="L1035" s="69"/>
      <c r="M1035" s="69"/>
    </row>
    <row r="1036">
      <c r="L1036" s="69"/>
      <c r="M1036" s="69"/>
    </row>
    <row r="1037">
      <c r="L1037" s="69"/>
      <c r="M1037" s="69"/>
    </row>
    <row r="1038">
      <c r="L1038" s="69"/>
      <c r="M1038" s="69"/>
    </row>
    <row r="1039">
      <c r="L1039" s="69"/>
      <c r="M1039" s="69"/>
    </row>
    <row r="1040">
      <c r="L1040" s="69"/>
      <c r="M1040" s="69"/>
    </row>
    <row r="1041">
      <c r="L1041" s="69"/>
      <c r="M1041" s="69"/>
    </row>
    <row r="1042">
      <c r="L1042" s="69"/>
      <c r="M1042" s="69"/>
    </row>
    <row r="1043">
      <c r="L1043" s="69"/>
      <c r="M1043" s="69"/>
    </row>
    <row r="1044">
      <c r="L1044" s="69"/>
      <c r="M1044" s="69"/>
    </row>
    <row r="1045">
      <c r="L1045" s="69"/>
      <c r="M1045" s="69"/>
    </row>
    <row r="1046">
      <c r="L1046" s="69"/>
      <c r="M1046" s="69"/>
    </row>
    <row r="1047">
      <c r="L1047" s="69"/>
      <c r="M1047" s="69"/>
    </row>
    <row r="1048">
      <c r="L1048" s="69"/>
      <c r="M1048" s="69"/>
    </row>
    <row r="1049">
      <c r="L1049" s="69"/>
      <c r="M1049" s="69"/>
    </row>
    <row r="1050">
      <c r="L1050" s="69"/>
      <c r="M1050" s="69"/>
    </row>
    <row r="1051">
      <c r="L1051" s="69"/>
      <c r="M1051" s="69"/>
    </row>
    <row r="1052">
      <c r="L1052" s="69"/>
      <c r="M1052" s="69"/>
    </row>
    <row r="1053">
      <c r="L1053" s="69"/>
      <c r="M1053" s="69"/>
    </row>
    <row r="1054">
      <c r="L1054" s="69"/>
      <c r="M1054" s="69"/>
    </row>
    <row r="1055">
      <c r="L1055" s="69"/>
      <c r="M1055" s="69"/>
    </row>
    <row r="1056">
      <c r="L1056" s="69"/>
      <c r="M1056" s="69"/>
    </row>
    <row r="1057">
      <c r="L1057" s="69"/>
      <c r="M1057" s="69"/>
    </row>
    <row r="1058">
      <c r="L1058" s="69"/>
      <c r="M1058" s="69"/>
    </row>
    <row r="1059">
      <c r="L1059" s="69"/>
      <c r="M1059" s="69"/>
    </row>
    <row r="1060">
      <c r="L1060" s="69"/>
      <c r="M1060" s="69"/>
    </row>
    <row r="1061">
      <c r="L1061" s="69"/>
      <c r="M1061" s="69"/>
    </row>
    <row r="1062">
      <c r="L1062" s="69"/>
      <c r="M1062" s="69"/>
    </row>
    <row r="1063">
      <c r="L1063" s="69"/>
      <c r="M1063" s="69"/>
    </row>
    <row r="1064">
      <c r="L1064" s="69"/>
      <c r="M1064" s="69"/>
    </row>
    <row r="1065">
      <c r="L1065" s="69"/>
      <c r="M1065" s="69"/>
    </row>
    <row r="1066">
      <c r="L1066" s="69"/>
      <c r="M1066" s="69"/>
    </row>
    <row r="1067">
      <c r="L1067" s="69"/>
      <c r="M1067" s="69"/>
    </row>
    <row r="1068">
      <c r="L1068" s="69"/>
      <c r="M1068" s="69"/>
    </row>
    <row r="1069">
      <c r="L1069" s="69"/>
      <c r="M1069" s="69"/>
    </row>
    <row r="1070">
      <c r="L1070" s="69"/>
      <c r="M1070" s="69"/>
    </row>
    <row r="1071">
      <c r="L1071" s="69"/>
      <c r="M1071" s="69"/>
    </row>
    <row r="1072">
      <c r="L1072" s="69"/>
      <c r="M1072" s="69"/>
    </row>
    <row r="1073">
      <c r="L1073" s="69"/>
      <c r="M1073" s="69"/>
    </row>
    <row r="1074">
      <c r="L1074" s="69"/>
      <c r="M1074" s="69"/>
    </row>
    <row r="1075">
      <c r="L1075" s="69"/>
      <c r="M1075" s="69"/>
    </row>
    <row r="1076">
      <c r="L1076" s="69"/>
      <c r="M1076" s="69"/>
    </row>
    <row r="1077">
      <c r="L1077" s="69"/>
      <c r="M1077" s="69"/>
    </row>
    <row r="1078">
      <c r="L1078" s="69"/>
      <c r="M1078" s="69"/>
    </row>
    <row r="1079">
      <c r="L1079" s="69"/>
      <c r="M1079" s="69"/>
    </row>
    <row r="1080">
      <c r="L1080" s="69"/>
      <c r="M1080" s="69"/>
    </row>
    <row r="1081">
      <c r="L1081" s="69"/>
      <c r="M1081" s="69"/>
    </row>
    <row r="1082">
      <c r="L1082" s="69"/>
      <c r="M1082" s="69"/>
    </row>
    <row r="1083">
      <c r="L1083" s="69"/>
      <c r="M1083" s="69"/>
    </row>
    <row r="1084">
      <c r="L1084" s="69"/>
      <c r="M1084" s="69"/>
    </row>
    <row r="1085">
      <c r="L1085" s="69"/>
      <c r="M1085" s="69"/>
    </row>
    <row r="1086">
      <c r="L1086" s="69"/>
      <c r="M1086" s="69"/>
    </row>
    <row r="1087">
      <c r="L1087" s="69"/>
      <c r="M1087" s="69"/>
    </row>
    <row r="1088">
      <c r="L1088" s="69"/>
      <c r="M1088" s="69"/>
    </row>
    <row r="1089">
      <c r="L1089" s="69"/>
      <c r="M1089" s="69"/>
    </row>
    <row r="1090">
      <c r="L1090" s="69"/>
      <c r="M1090" s="69"/>
    </row>
    <row r="1091">
      <c r="L1091" s="69"/>
      <c r="M1091" s="69"/>
    </row>
    <row r="1092">
      <c r="L1092" s="69"/>
      <c r="M1092" s="69"/>
    </row>
    <row r="1093">
      <c r="L1093" s="69"/>
      <c r="M1093" s="69"/>
    </row>
    <row r="1094">
      <c r="L1094" s="69"/>
      <c r="M1094" s="69"/>
    </row>
    <row r="1095">
      <c r="L1095" s="69"/>
      <c r="M1095" s="69"/>
    </row>
    <row r="1096">
      <c r="L1096" s="69"/>
      <c r="M1096" s="69"/>
    </row>
    <row r="1097">
      <c r="L1097" s="69"/>
      <c r="M1097" s="69"/>
    </row>
    <row r="1098">
      <c r="L1098" s="69"/>
      <c r="M1098" s="69"/>
    </row>
    <row r="1099">
      <c r="L1099" s="69"/>
      <c r="M1099" s="69"/>
    </row>
    <row r="1100">
      <c r="L1100" s="69"/>
      <c r="M1100" s="69"/>
    </row>
    <row r="1101">
      <c r="L1101" s="69"/>
      <c r="M1101" s="69"/>
    </row>
    <row r="1102">
      <c r="L1102" s="69"/>
      <c r="M1102" s="69"/>
    </row>
    <row r="1103">
      <c r="L1103" s="69"/>
      <c r="M1103" s="69"/>
    </row>
    <row r="1104">
      <c r="L1104" s="69"/>
      <c r="M1104" s="69"/>
    </row>
    <row r="1105">
      <c r="L1105" s="69"/>
      <c r="M1105" s="69"/>
    </row>
    <row r="1106">
      <c r="L1106" s="69"/>
      <c r="M1106" s="69"/>
    </row>
    <row r="1107">
      <c r="L1107" s="69"/>
      <c r="M1107" s="69"/>
    </row>
    <row r="1108">
      <c r="L1108" s="69"/>
      <c r="M1108" s="69"/>
    </row>
    <row r="1109">
      <c r="L1109" s="69"/>
      <c r="M1109" s="69"/>
    </row>
    <row r="1110">
      <c r="L1110" s="69"/>
      <c r="M1110" s="69"/>
    </row>
    <row r="1111">
      <c r="L1111" s="69"/>
      <c r="M1111" s="69"/>
    </row>
    <row r="1112">
      <c r="L1112" s="69"/>
      <c r="M1112" s="69"/>
    </row>
    <row r="1113">
      <c r="L1113" s="69"/>
      <c r="M1113" s="69"/>
    </row>
    <row r="1114">
      <c r="L1114" s="69"/>
      <c r="M1114" s="69"/>
    </row>
    <row r="1115">
      <c r="L1115" s="69"/>
      <c r="M1115" s="69"/>
    </row>
    <row r="1116">
      <c r="L1116" s="69"/>
      <c r="M1116" s="69"/>
    </row>
    <row r="1117">
      <c r="L1117" s="69"/>
      <c r="M1117" s="69"/>
    </row>
    <row r="1118">
      <c r="L1118" s="69"/>
      <c r="M1118" s="69"/>
    </row>
    <row r="1119">
      <c r="L1119" s="69"/>
      <c r="M1119" s="69"/>
    </row>
    <row r="1120">
      <c r="L1120" s="69"/>
      <c r="M1120" s="69"/>
    </row>
    <row r="1121">
      <c r="L1121" s="69"/>
      <c r="M1121" s="69"/>
    </row>
    <row r="1122">
      <c r="L1122" s="69"/>
      <c r="M1122" s="69"/>
    </row>
    <row r="1123">
      <c r="L1123" s="69"/>
      <c r="M1123" s="69"/>
    </row>
    <row r="1124">
      <c r="L1124" s="69"/>
      <c r="M1124" s="69"/>
    </row>
    <row r="1125">
      <c r="L1125" s="69"/>
      <c r="M1125" s="69"/>
    </row>
    <row r="1126">
      <c r="L1126" s="69"/>
      <c r="M1126" s="69"/>
    </row>
    <row r="1127">
      <c r="L1127" s="69"/>
      <c r="M1127" s="69"/>
    </row>
    <row r="1128">
      <c r="L1128" s="69"/>
      <c r="M1128" s="69"/>
    </row>
    <row r="1129">
      <c r="L1129" s="69"/>
      <c r="M1129" s="69"/>
    </row>
    <row r="1130">
      <c r="L1130" s="69"/>
      <c r="M1130" s="69"/>
    </row>
    <row r="1131">
      <c r="L1131" s="69"/>
      <c r="M1131" s="69"/>
    </row>
    <row r="1132">
      <c r="L1132" s="69"/>
      <c r="M1132" s="69"/>
    </row>
    <row r="1133">
      <c r="L1133" s="69"/>
      <c r="M1133" s="69"/>
    </row>
    <row r="1134">
      <c r="L1134" s="69"/>
      <c r="M1134" s="69"/>
    </row>
    <row r="1135">
      <c r="L1135" s="69"/>
      <c r="M1135" s="69"/>
    </row>
    <row r="1136">
      <c r="L1136" s="69"/>
      <c r="M1136" s="69"/>
    </row>
    <row r="1137">
      <c r="L1137" s="69"/>
      <c r="M1137" s="69"/>
    </row>
    <row r="1138">
      <c r="L1138" s="69"/>
      <c r="M1138" s="69"/>
    </row>
    <row r="1139">
      <c r="L1139" s="69"/>
      <c r="M1139" s="69"/>
    </row>
    <row r="1140">
      <c r="L1140" s="69"/>
      <c r="M1140" s="69"/>
    </row>
    <row r="1141">
      <c r="L1141" s="69"/>
      <c r="M1141" s="69"/>
    </row>
    <row r="1142">
      <c r="L1142" s="69"/>
      <c r="M1142" s="69"/>
    </row>
    <row r="1143">
      <c r="L1143" s="69"/>
      <c r="M1143" s="69"/>
    </row>
    <row r="1144">
      <c r="L1144" s="69"/>
      <c r="M1144" s="69"/>
    </row>
    <row r="1145">
      <c r="L1145" s="69"/>
      <c r="M1145" s="69"/>
    </row>
    <row r="1146">
      <c r="L1146" s="69"/>
      <c r="M1146" s="69"/>
    </row>
    <row r="1147">
      <c r="L1147" s="69"/>
      <c r="M1147" s="69"/>
    </row>
    <row r="1148">
      <c r="L1148" s="69"/>
      <c r="M1148" s="69"/>
    </row>
    <row r="1149">
      <c r="L1149" s="69"/>
      <c r="M1149" s="69"/>
    </row>
    <row r="1150">
      <c r="L1150" s="69"/>
      <c r="M1150" s="69"/>
    </row>
    <row r="1151">
      <c r="L1151" s="69"/>
      <c r="M1151" s="69"/>
    </row>
    <row r="1152">
      <c r="L1152" s="69"/>
      <c r="M1152" s="69"/>
    </row>
    <row r="1153">
      <c r="L1153" s="69"/>
      <c r="M1153" s="69"/>
    </row>
    <row r="1154">
      <c r="L1154" s="69"/>
      <c r="M1154" s="69"/>
    </row>
    <row r="1155">
      <c r="L1155" s="69"/>
      <c r="M1155" s="69"/>
    </row>
    <row r="1156">
      <c r="L1156" s="69"/>
      <c r="M1156" s="69"/>
    </row>
    <row r="1157">
      <c r="L1157" s="69"/>
      <c r="M1157" s="69"/>
    </row>
    <row r="1158">
      <c r="L1158" s="69"/>
      <c r="M1158" s="69"/>
    </row>
    <row r="1159">
      <c r="L1159" s="69"/>
      <c r="M1159" s="69"/>
    </row>
    <row r="1160">
      <c r="L1160" s="69"/>
      <c r="M1160" s="69"/>
    </row>
    <row r="1161">
      <c r="L1161" s="69"/>
      <c r="M1161" s="69"/>
    </row>
    <row r="1162">
      <c r="L1162" s="69"/>
      <c r="M1162" s="69"/>
    </row>
    <row r="1163">
      <c r="L1163" s="69"/>
      <c r="M1163" s="69"/>
    </row>
    <row r="1164">
      <c r="L1164" s="69"/>
      <c r="M1164" s="69"/>
    </row>
    <row r="1165">
      <c r="L1165" s="69"/>
      <c r="M1165" s="69"/>
    </row>
    <row r="1166">
      <c r="L1166" s="69"/>
      <c r="M1166" s="69"/>
    </row>
    <row r="1167">
      <c r="L1167" s="69"/>
      <c r="M1167" s="69"/>
    </row>
    <row r="1168">
      <c r="L1168" s="69"/>
      <c r="M1168" s="69"/>
    </row>
    <row r="1169">
      <c r="L1169" s="69"/>
      <c r="M1169" s="69"/>
    </row>
    <row r="1170">
      <c r="L1170" s="69"/>
      <c r="M1170" s="69"/>
    </row>
    <row r="1171">
      <c r="L1171" s="69"/>
      <c r="M1171" s="69"/>
    </row>
    <row r="1172">
      <c r="L1172" s="69"/>
      <c r="M1172" s="69"/>
    </row>
    <row r="1173">
      <c r="L1173" s="69"/>
      <c r="M1173" s="69"/>
    </row>
    <row r="1174">
      <c r="L1174" s="69"/>
      <c r="M1174" s="69"/>
    </row>
    <row r="1175">
      <c r="L1175" s="69"/>
      <c r="M1175" s="69"/>
    </row>
    <row r="1176">
      <c r="L1176" s="69"/>
      <c r="M1176" s="69"/>
    </row>
    <row r="1177">
      <c r="L1177" s="69"/>
      <c r="M1177" s="69"/>
    </row>
    <row r="1178">
      <c r="L1178" s="69"/>
      <c r="M1178" s="69"/>
    </row>
    <row r="1179">
      <c r="L1179" s="69"/>
      <c r="M1179" s="69"/>
    </row>
    <row r="1180">
      <c r="L1180" s="69"/>
      <c r="M1180" s="69"/>
    </row>
    <row r="1181">
      <c r="L1181" s="69"/>
      <c r="M1181" s="69"/>
    </row>
    <row r="1182">
      <c r="L1182" s="69"/>
      <c r="M1182" s="69"/>
    </row>
    <row r="1183">
      <c r="L1183" s="69"/>
      <c r="M1183" s="69"/>
    </row>
    <row r="1184">
      <c r="L1184" s="69"/>
      <c r="M1184" s="69"/>
    </row>
    <row r="1185">
      <c r="L1185" s="69"/>
      <c r="M1185" s="69"/>
    </row>
    <row r="1186">
      <c r="L1186" s="69"/>
      <c r="M1186" s="69"/>
    </row>
    <row r="1187">
      <c r="L1187" s="69"/>
      <c r="M1187" s="69"/>
    </row>
    <row r="1188">
      <c r="L1188" s="69"/>
      <c r="M1188" s="69"/>
    </row>
    <row r="1189">
      <c r="L1189" s="69"/>
      <c r="M1189" s="69"/>
    </row>
    <row r="1190">
      <c r="L1190" s="69"/>
      <c r="M1190" s="69"/>
    </row>
    <row r="1191">
      <c r="L1191" s="69"/>
      <c r="M1191" s="69"/>
    </row>
    <row r="1192">
      <c r="L1192" s="69"/>
      <c r="M1192" s="69"/>
    </row>
    <row r="1193">
      <c r="L1193" s="69"/>
      <c r="M1193" s="69"/>
    </row>
    <row r="1194">
      <c r="L1194" s="69"/>
      <c r="M1194" s="69"/>
    </row>
    <row r="1195">
      <c r="L1195" s="69"/>
      <c r="M1195" s="69"/>
    </row>
    <row r="1196">
      <c r="L1196" s="69"/>
      <c r="M1196" s="69"/>
    </row>
    <row r="1197">
      <c r="L1197" s="69"/>
      <c r="M1197" s="69"/>
    </row>
    <row r="1198">
      <c r="L1198" s="69"/>
      <c r="M1198" s="69"/>
    </row>
    <row r="1199">
      <c r="L1199" s="69"/>
      <c r="M1199" s="69"/>
    </row>
    <row r="1200">
      <c r="L1200" s="69"/>
      <c r="M1200" s="69"/>
    </row>
    <row r="1201">
      <c r="L1201" s="69"/>
      <c r="M1201" s="69"/>
    </row>
    <row r="1202">
      <c r="L1202" s="69"/>
      <c r="M1202" s="69"/>
    </row>
    <row r="1203">
      <c r="L1203" s="69"/>
      <c r="M1203" s="69"/>
    </row>
    <row r="1204">
      <c r="L1204" s="69"/>
      <c r="M1204" s="69"/>
    </row>
    <row r="1205">
      <c r="L1205" s="69"/>
      <c r="M1205" s="69"/>
    </row>
    <row r="1206">
      <c r="L1206" s="69"/>
      <c r="M1206" s="69"/>
    </row>
    <row r="1207">
      <c r="L1207" s="69"/>
      <c r="M1207" s="69"/>
    </row>
    <row r="1208">
      <c r="L1208" s="69"/>
      <c r="M1208" s="69"/>
    </row>
    <row r="1209">
      <c r="L1209" s="69"/>
      <c r="M1209" s="69"/>
    </row>
    <row r="1210">
      <c r="L1210" s="69"/>
      <c r="M1210" s="69"/>
    </row>
    <row r="1211">
      <c r="L1211" s="69"/>
      <c r="M1211" s="69"/>
    </row>
    <row r="1212">
      <c r="L1212" s="69"/>
      <c r="M1212" s="69"/>
    </row>
    <row r="1213">
      <c r="L1213" s="69"/>
      <c r="M1213" s="69"/>
    </row>
    <row r="1214">
      <c r="L1214" s="69"/>
      <c r="M1214" s="69"/>
    </row>
    <row r="1215">
      <c r="L1215" s="69"/>
      <c r="M1215" s="69"/>
    </row>
    <row r="1216">
      <c r="L1216" s="69"/>
      <c r="M1216" s="69"/>
    </row>
    <row r="1217">
      <c r="L1217" s="69"/>
      <c r="M1217" s="69"/>
    </row>
    <row r="1218">
      <c r="L1218" s="69"/>
      <c r="M1218" s="69"/>
    </row>
    <row r="1219">
      <c r="L1219" s="69"/>
      <c r="M1219" s="69"/>
    </row>
    <row r="1220">
      <c r="L1220" s="69"/>
      <c r="M1220" s="69"/>
    </row>
    <row r="1221">
      <c r="L1221" s="69"/>
      <c r="M1221" s="69"/>
    </row>
    <row r="1222">
      <c r="L1222" s="69"/>
      <c r="M1222" s="69"/>
    </row>
    <row r="1223">
      <c r="L1223" s="69"/>
      <c r="M1223" s="69"/>
    </row>
    <row r="1224">
      <c r="L1224" s="69"/>
      <c r="M1224" s="69"/>
    </row>
    <row r="1225">
      <c r="L1225" s="69"/>
      <c r="M1225" s="69"/>
    </row>
    <row r="1226">
      <c r="L1226" s="69"/>
      <c r="M1226" s="69"/>
    </row>
    <row r="1227">
      <c r="L1227" s="69"/>
      <c r="M1227" s="69"/>
    </row>
    <row r="1228">
      <c r="L1228" s="69"/>
      <c r="M1228" s="69"/>
    </row>
    <row r="1229">
      <c r="L1229" s="69"/>
      <c r="M1229" s="69"/>
    </row>
    <row r="1230">
      <c r="L1230" s="69"/>
      <c r="M1230" s="69"/>
    </row>
    <row r="1231">
      <c r="L1231" s="69"/>
      <c r="M1231" s="69"/>
    </row>
    <row r="1232">
      <c r="L1232" s="69"/>
      <c r="M1232" s="69"/>
    </row>
    <row r="1233">
      <c r="L1233" s="69"/>
      <c r="M1233" s="69"/>
    </row>
    <row r="1234">
      <c r="L1234" s="69"/>
      <c r="M1234" s="69"/>
    </row>
    <row r="1235">
      <c r="L1235" s="69"/>
      <c r="M1235" s="69"/>
    </row>
    <row r="1236">
      <c r="L1236" s="69"/>
      <c r="M1236" s="69"/>
    </row>
    <row r="1237">
      <c r="L1237" s="69"/>
      <c r="M1237" s="69"/>
    </row>
    <row r="1238">
      <c r="L1238" s="69"/>
      <c r="M1238" s="69"/>
    </row>
    <row r="1239">
      <c r="L1239" s="69"/>
      <c r="M1239" s="69"/>
    </row>
    <row r="1240">
      <c r="L1240" s="69"/>
      <c r="M1240" s="69"/>
    </row>
    <row r="1241">
      <c r="L1241" s="69"/>
      <c r="M1241" s="69"/>
    </row>
    <row r="1242">
      <c r="L1242" s="69"/>
      <c r="M1242" s="69"/>
    </row>
    <row r="1243">
      <c r="L1243" s="69"/>
      <c r="M1243" s="69"/>
    </row>
    <row r="1244">
      <c r="L1244" s="69"/>
      <c r="M1244" s="69"/>
    </row>
    <row r="1245">
      <c r="L1245" s="69"/>
      <c r="M1245" s="69"/>
    </row>
    <row r="1246">
      <c r="L1246" s="69"/>
      <c r="M1246" s="69"/>
    </row>
    <row r="1247">
      <c r="L1247" s="69"/>
      <c r="M1247" s="69"/>
    </row>
    <row r="1248">
      <c r="L1248" s="69"/>
      <c r="M1248" s="69"/>
    </row>
    <row r="1249">
      <c r="L1249" s="69"/>
      <c r="M1249" s="69"/>
    </row>
    <row r="1250">
      <c r="L1250" s="69"/>
      <c r="M1250" s="69"/>
    </row>
    <row r="1251">
      <c r="L1251" s="69"/>
      <c r="M1251" s="69"/>
    </row>
    <row r="1252">
      <c r="L1252" s="69"/>
      <c r="M1252" s="69"/>
    </row>
    <row r="1253">
      <c r="L1253" s="69"/>
      <c r="M1253" s="69"/>
    </row>
    <row r="1254">
      <c r="L1254" s="69"/>
      <c r="M1254" s="69"/>
    </row>
    <row r="1255">
      <c r="L1255" s="69"/>
      <c r="M1255" s="69"/>
    </row>
    <row r="1256">
      <c r="L1256" s="69"/>
      <c r="M1256" s="69"/>
    </row>
    <row r="1257">
      <c r="L1257" s="69"/>
      <c r="M1257" s="69"/>
    </row>
    <row r="1258">
      <c r="L1258" s="69"/>
      <c r="M1258" s="69"/>
    </row>
    <row r="1259">
      <c r="L1259" s="69"/>
      <c r="M1259" s="69"/>
    </row>
    <row r="1260">
      <c r="L1260" s="69"/>
      <c r="M1260" s="69"/>
    </row>
    <row r="1261">
      <c r="L1261" s="69"/>
      <c r="M1261" s="69"/>
    </row>
    <row r="1262">
      <c r="L1262" s="69"/>
      <c r="M1262" s="69"/>
    </row>
    <row r="1263">
      <c r="L1263" s="69"/>
      <c r="M1263" s="69"/>
    </row>
    <row r="1264">
      <c r="L1264" s="69"/>
      <c r="M1264" s="69"/>
    </row>
    <row r="1265">
      <c r="L1265" s="69"/>
      <c r="M1265" s="69"/>
    </row>
    <row r="1266">
      <c r="L1266" s="69"/>
      <c r="M1266" s="69"/>
    </row>
    <row r="1267">
      <c r="L1267" s="69"/>
      <c r="M1267" s="69"/>
    </row>
    <row r="1268">
      <c r="L1268" s="69"/>
      <c r="M1268" s="69"/>
    </row>
    <row r="1269">
      <c r="L1269" s="69"/>
      <c r="M1269" s="69"/>
    </row>
    <row r="1270">
      <c r="L1270" s="69"/>
      <c r="M1270" s="69"/>
    </row>
    <row r="1271">
      <c r="L1271" s="69"/>
      <c r="M1271" s="69"/>
    </row>
    <row r="1272">
      <c r="L1272" s="69"/>
      <c r="M1272" s="69"/>
    </row>
    <row r="1273">
      <c r="L1273" s="69"/>
      <c r="M1273" s="69"/>
    </row>
    <row r="1274">
      <c r="L1274" s="69"/>
      <c r="M1274" s="69"/>
    </row>
    <row r="1275">
      <c r="L1275" s="69"/>
      <c r="M1275" s="69"/>
    </row>
    <row r="1276">
      <c r="L1276" s="69"/>
      <c r="M1276" s="69"/>
    </row>
    <row r="1277">
      <c r="L1277" s="69"/>
      <c r="M1277" s="69"/>
    </row>
    <row r="1278">
      <c r="L1278" s="69"/>
      <c r="M1278" s="69"/>
    </row>
    <row r="1279">
      <c r="L1279" s="69"/>
      <c r="M1279" s="69"/>
    </row>
    <row r="1280">
      <c r="L1280" s="69"/>
      <c r="M1280" s="69"/>
    </row>
    <row r="1281">
      <c r="L1281" s="69"/>
      <c r="M1281" s="69"/>
    </row>
    <row r="1282">
      <c r="L1282" s="69"/>
      <c r="M1282" s="69"/>
    </row>
    <row r="1283">
      <c r="L1283" s="69"/>
      <c r="M1283" s="69"/>
    </row>
    <row r="1284">
      <c r="L1284" s="69"/>
      <c r="M1284" s="69"/>
    </row>
    <row r="1285">
      <c r="L1285" s="69"/>
      <c r="M1285" s="69"/>
    </row>
    <row r="1286">
      <c r="L1286" s="69"/>
      <c r="M1286" s="69"/>
    </row>
    <row r="1287">
      <c r="L1287" s="69"/>
      <c r="M1287" s="69"/>
    </row>
    <row r="1288">
      <c r="L1288" s="69"/>
      <c r="M1288" s="69"/>
    </row>
    <row r="1289">
      <c r="L1289" s="69"/>
      <c r="M1289" s="69"/>
    </row>
    <row r="1290">
      <c r="L1290" s="69"/>
      <c r="M1290" s="69"/>
    </row>
    <row r="1291">
      <c r="L1291" s="69"/>
      <c r="M1291" s="69"/>
    </row>
    <row r="1292">
      <c r="L1292" s="69"/>
      <c r="M1292" s="69"/>
    </row>
    <row r="1293">
      <c r="L1293" s="69"/>
      <c r="M1293" s="69"/>
    </row>
    <row r="1294">
      <c r="L1294" s="69"/>
      <c r="M1294" s="69"/>
    </row>
    <row r="1295">
      <c r="L1295" s="69"/>
      <c r="M1295" s="69"/>
    </row>
    <row r="1296">
      <c r="L1296" s="69"/>
      <c r="M1296" s="69"/>
    </row>
    <row r="1297">
      <c r="L1297" s="69"/>
      <c r="M1297" s="69"/>
    </row>
    <row r="1298">
      <c r="L1298" s="69"/>
      <c r="M1298" s="69"/>
    </row>
    <row r="1299">
      <c r="L1299" s="69"/>
      <c r="M1299" s="69"/>
    </row>
    <row r="1300">
      <c r="L1300" s="69"/>
      <c r="M1300" s="69"/>
    </row>
    <row r="1301">
      <c r="L1301" s="69"/>
      <c r="M1301" s="69"/>
    </row>
    <row r="1302">
      <c r="L1302" s="69"/>
      <c r="M1302" s="69"/>
    </row>
    <row r="1303">
      <c r="L1303" s="69"/>
      <c r="M1303" s="69"/>
    </row>
    <row r="1304">
      <c r="L1304" s="69"/>
      <c r="M1304" s="69"/>
    </row>
    <row r="1305">
      <c r="L1305" s="69"/>
      <c r="M1305" s="69"/>
    </row>
    <row r="1306">
      <c r="L1306" s="69"/>
      <c r="M1306" s="69"/>
    </row>
    <row r="1307">
      <c r="L1307" s="69"/>
      <c r="M1307" s="69"/>
    </row>
    <row r="1308">
      <c r="L1308" s="69"/>
      <c r="M1308" s="69"/>
    </row>
    <row r="1309">
      <c r="L1309" s="69"/>
      <c r="M1309" s="69"/>
    </row>
    <row r="1310">
      <c r="L1310" s="69"/>
      <c r="M1310" s="69"/>
    </row>
    <row r="1311">
      <c r="L1311" s="69"/>
      <c r="M1311" s="69"/>
    </row>
    <row r="1312">
      <c r="L1312" s="69"/>
      <c r="M1312" s="69"/>
    </row>
    <row r="1313">
      <c r="L1313" s="69"/>
      <c r="M1313" s="69"/>
    </row>
    <row r="1314">
      <c r="L1314" s="69"/>
      <c r="M1314" s="69"/>
    </row>
    <row r="1315">
      <c r="L1315" s="69"/>
      <c r="M1315" s="69"/>
    </row>
    <row r="1316">
      <c r="L1316" s="69"/>
      <c r="M1316" s="69"/>
    </row>
    <row r="1317">
      <c r="L1317" s="69"/>
      <c r="M1317" s="69"/>
    </row>
    <row r="1318">
      <c r="L1318" s="69"/>
      <c r="M1318" s="69"/>
    </row>
    <row r="1319">
      <c r="L1319" s="69"/>
      <c r="M1319" s="69"/>
    </row>
    <row r="1320">
      <c r="L1320" s="69"/>
      <c r="M1320" s="69"/>
    </row>
    <row r="1321">
      <c r="L1321" s="69"/>
      <c r="M1321" s="69"/>
    </row>
    <row r="1322">
      <c r="L1322" s="69"/>
      <c r="M1322" s="69"/>
    </row>
    <row r="1323">
      <c r="L1323" s="69"/>
      <c r="M1323" s="69"/>
    </row>
    <row r="1324">
      <c r="L1324" s="69"/>
      <c r="M1324" s="69"/>
    </row>
    <row r="1325">
      <c r="L1325" s="69"/>
      <c r="M1325" s="69"/>
    </row>
    <row r="1326">
      <c r="L1326" s="69"/>
      <c r="M1326" s="69"/>
    </row>
    <row r="1327">
      <c r="L1327" s="69"/>
      <c r="M1327" s="69"/>
    </row>
    <row r="1328">
      <c r="L1328" s="69"/>
      <c r="M1328" s="69"/>
    </row>
    <row r="1329">
      <c r="L1329" s="69"/>
      <c r="M1329" s="69"/>
    </row>
    <row r="1330">
      <c r="L1330" s="69"/>
      <c r="M1330" s="69"/>
    </row>
    <row r="1331">
      <c r="L1331" s="69"/>
      <c r="M1331" s="69"/>
    </row>
    <row r="1332">
      <c r="L1332" s="69"/>
      <c r="M1332" s="69"/>
    </row>
    <row r="1333">
      <c r="L1333" s="69"/>
      <c r="M1333" s="69"/>
    </row>
    <row r="1334">
      <c r="L1334" s="69"/>
      <c r="M1334" s="69"/>
    </row>
    <row r="1335">
      <c r="L1335" s="69"/>
      <c r="M1335" s="69"/>
    </row>
    <row r="1336">
      <c r="L1336" s="69"/>
      <c r="M1336" s="69"/>
    </row>
    <row r="1337">
      <c r="L1337" s="69"/>
      <c r="M1337" s="69"/>
    </row>
    <row r="1338">
      <c r="L1338" s="69"/>
      <c r="M1338" s="69"/>
    </row>
    <row r="1339">
      <c r="L1339" s="69"/>
      <c r="M1339" s="69"/>
    </row>
    <row r="1340">
      <c r="L1340" s="69"/>
      <c r="M1340" s="69"/>
    </row>
    <row r="1341">
      <c r="L1341" s="69"/>
      <c r="M1341" s="69"/>
    </row>
    <row r="1342">
      <c r="L1342" s="69"/>
      <c r="M1342" s="69"/>
    </row>
  </sheetData>
  <mergeCells count="3">
    <mergeCell ref="A1:K1"/>
    <mergeCell ref="C11:F11"/>
    <mergeCell ref="H11:I11"/>
  </mergeCells>
  <drawing r:id="rId1"/>
</worksheet>
</file>