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rinterSettings/printerSettings1.bin" ContentType="application/vnd.openxmlformats-officedocument.spreadsheetml.printerSettings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工作总结\"/>
    </mc:Choice>
  </mc:AlternateContent>
  <bookViews>
    <workbookView xWindow="0" yWindow="0" windowWidth="28800" windowHeight="12540" tabRatio="788" activeTab="11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月'!$K$5</definedName>
    <definedName name="ColumnTitleRegion1..H12.1">'1 月'!$B$3</definedName>
    <definedName name="ColumnTitleRegion1..H12.10">'10 月'!$B$3</definedName>
    <definedName name="ColumnTitleRegion1..H12.11">'11 月'!$B$3</definedName>
    <definedName name="ColumnTitleRegion1..H12.12">'12 月'!$B$3</definedName>
    <definedName name="ColumnTitleRegion1..H12.2">'2 月'!$B$3</definedName>
    <definedName name="ColumnTitleRegion1..H12.3">'3 月'!$B$3</definedName>
    <definedName name="ColumnTitleRegion1..H12.4">'4 月'!$B$3</definedName>
    <definedName name="ColumnTitleRegion1..H12.5">'5 月'!$B$3</definedName>
    <definedName name="ColumnTitleRegion1..H12.6">'6 月'!$B$3</definedName>
    <definedName name="ColumnTitleRegion1..H12.7">'7 月'!$B$3</definedName>
    <definedName name="ColumnTitleRegion1..H12.8">'8 月'!$B$3</definedName>
    <definedName name="ColumnTitleRegion1..H12.9">'9 月'!$B$3</definedName>
    <definedName name="ColumnTitleRegion2..C14.1">'1 月'!$B$3</definedName>
    <definedName name="ColumnTitleRegion2..C14.10">'10 月'!$B$3</definedName>
    <definedName name="ColumnTitleRegion2..C14.11">'11 月'!$B$3</definedName>
    <definedName name="ColumnTitleRegion2..C14.12">'12 月'!$B$3</definedName>
    <definedName name="ColumnTitleRegion2..C14.2">'2 月'!$B$3</definedName>
    <definedName name="ColumnTitleRegion2..C14.3">'3 月'!$B$3</definedName>
    <definedName name="ColumnTitleRegion2..C14.4">'4 月'!$B$3</definedName>
    <definedName name="ColumnTitleRegion2..C14.5">'5 月'!$B$3</definedName>
    <definedName name="ColumnTitleRegion2..C14.6">'6 月'!$B$3</definedName>
    <definedName name="ColumnTitleRegion2..C14.7">'7 月'!$B$3</definedName>
    <definedName name="ColumnTitleRegion2..C14.8">'8 月'!$B$3</definedName>
    <definedName name="ColumnTitleRegion2..C14.9">'9 月'!$B$3</definedName>
    <definedName name="DaysAndWeeks">{0,1,2,3,4,5,6}+{0;1;2;3;4;5}*7</definedName>
    <definedName name="_xlnm.Print_Area" localSheetId="0">'1 月'!$A:$I</definedName>
    <definedName name="_xlnm.Print_Area" localSheetId="9">'10 月'!$A:$I</definedName>
    <definedName name="_xlnm.Print_Area" localSheetId="10">'11 月'!$A:$I</definedName>
    <definedName name="_xlnm.Print_Area" localSheetId="11">'12 月'!$A:$I</definedName>
    <definedName name="_xlnm.Print_Area" localSheetId="1">'2 月'!$A:$I</definedName>
    <definedName name="_xlnm.Print_Area" localSheetId="2">'3 月'!$A:$I</definedName>
    <definedName name="_xlnm.Print_Area" localSheetId="3">'4 月'!$A:$I</definedName>
    <definedName name="_xlnm.Print_Area" localSheetId="4">'5 月'!$A:$I</definedName>
    <definedName name="_xlnm.Print_Area" localSheetId="5">'6 月'!$A:$I</definedName>
    <definedName name="_xlnm.Print_Area" localSheetId="6">'7 月'!$A:$I</definedName>
    <definedName name="_xlnm.Print_Area" localSheetId="7">'8 月'!$A:$I</definedName>
    <definedName name="_xlnm.Print_Area" localSheetId="8">'9 月'!$A:$I</definedName>
    <definedName name="RowTitleRegion1..K3">'1 月'!$K$4</definedName>
    <definedName name="WeekStart">'1 月'!$L$5</definedName>
  </definedNames>
  <calcPr calcId="162913" concurrentCalc="0"/>
</workbook>
</file>

<file path=xl/calcChain.xml><?xml version="1.0" encoding="utf-8"?>
<calcChain xmlns="http://schemas.openxmlformats.org/spreadsheetml/2006/main">
  <c r="B14" i="25" l="1" a="1"/>
  <c r="C14" i="25"/>
  <c r="B14" i="25"/>
  <c r="B12" i="25" a="1"/>
  <c r="C12" i="25"/>
  <c r="D12" i="25"/>
  <c r="E12" i="25"/>
  <c r="F12" i="25"/>
  <c r="G12" i="25"/>
  <c r="H12" i="25"/>
  <c r="B12" i="25"/>
  <c r="B10" i="25" a="1"/>
  <c r="C10" i="25"/>
  <c r="D10" i="25"/>
  <c r="E10" i="25"/>
  <c r="F10" i="25"/>
  <c r="G10" i="25"/>
  <c r="H10" i="25"/>
  <c r="B10" i="25"/>
  <c r="B8" i="25" a="1"/>
  <c r="C8" i="25"/>
  <c r="D8" i="25"/>
  <c r="E8" i="25"/>
  <c r="F8" i="25"/>
  <c r="G8" i="25"/>
  <c r="H8" i="25"/>
  <c r="B8" i="25"/>
  <c r="B6" i="25" a="1"/>
  <c r="C6" i="25"/>
  <c r="D6" i="25"/>
  <c r="E6" i="25"/>
  <c r="F6" i="25"/>
  <c r="G6" i="25"/>
  <c r="H6" i="25"/>
  <c r="B6" i="25"/>
  <c r="B4" i="25" a="1"/>
  <c r="C4" i="25"/>
  <c r="D4" i="25"/>
  <c r="E4" i="25"/>
  <c r="F4" i="25"/>
  <c r="G4" i="25"/>
  <c r="H4" i="25"/>
  <c r="B4" i="25"/>
  <c r="H3" i="25"/>
  <c r="G3" i="25"/>
  <c r="F3" i="25"/>
  <c r="E3" i="25"/>
  <c r="D3" i="25"/>
  <c r="C3" i="25"/>
  <c r="B3" i="25"/>
  <c r="B2" i="25"/>
  <c r="B14" i="24" a="1"/>
  <c r="C14" i="24"/>
  <c r="B14" i="24"/>
  <c r="B12" i="24" a="1"/>
  <c r="C12" i="24"/>
  <c r="D12" i="24"/>
  <c r="E12" i="24"/>
  <c r="F12" i="24"/>
  <c r="G12" i="24"/>
  <c r="H12" i="24"/>
  <c r="B12" i="24"/>
  <c r="B10" i="24" a="1"/>
  <c r="C10" i="24"/>
  <c r="D10" i="24"/>
  <c r="E10" i="24"/>
  <c r="F10" i="24"/>
  <c r="G10" i="24"/>
  <c r="H10" i="24"/>
  <c r="B10" i="24"/>
  <c r="B8" i="24" a="1"/>
  <c r="C8" i="24"/>
  <c r="D8" i="24"/>
  <c r="E8" i="24"/>
  <c r="F8" i="24"/>
  <c r="G8" i="24"/>
  <c r="H8" i="24"/>
  <c r="B8" i="24"/>
  <c r="B6" i="24" a="1"/>
  <c r="C6" i="24"/>
  <c r="D6" i="24"/>
  <c r="E6" i="24"/>
  <c r="F6" i="24"/>
  <c r="G6" i="24"/>
  <c r="H6" i="24"/>
  <c r="B6" i="24"/>
  <c r="B4" i="24" a="1"/>
  <c r="C4" i="24"/>
  <c r="D4" i="24"/>
  <c r="E4" i="24"/>
  <c r="F4" i="24"/>
  <c r="G4" i="24"/>
  <c r="H4" i="24"/>
  <c r="B4" i="24"/>
  <c r="H3" i="24"/>
  <c r="G3" i="24"/>
  <c r="F3" i="24"/>
  <c r="E3" i="24"/>
  <c r="D3" i="24"/>
  <c r="C3" i="24"/>
  <c r="B3" i="24"/>
  <c r="B2" i="24"/>
  <c r="B14" i="23" a="1"/>
  <c r="C14" i="23"/>
  <c r="B14" i="23"/>
  <c r="B12" i="23" a="1"/>
  <c r="C12" i="23"/>
  <c r="D12" i="23"/>
  <c r="E12" i="23"/>
  <c r="F12" i="23"/>
  <c r="G12" i="23"/>
  <c r="H12" i="23"/>
  <c r="B12" i="23"/>
  <c r="B10" i="23" a="1"/>
  <c r="C10" i="23"/>
  <c r="D10" i="23"/>
  <c r="E10" i="23"/>
  <c r="F10" i="23"/>
  <c r="G10" i="23"/>
  <c r="H10" i="23"/>
  <c r="B10" i="23"/>
  <c r="B8" i="23" a="1"/>
  <c r="C8" i="23"/>
  <c r="D8" i="23"/>
  <c r="E8" i="23"/>
  <c r="F8" i="23"/>
  <c r="G8" i="23"/>
  <c r="H8" i="23"/>
  <c r="B8" i="23"/>
  <c r="B6" i="23" a="1"/>
  <c r="C6" i="23"/>
  <c r="D6" i="23"/>
  <c r="E6" i="23"/>
  <c r="F6" i="23"/>
  <c r="G6" i="23"/>
  <c r="H6" i="23"/>
  <c r="B6" i="23"/>
  <c r="B4" i="23" a="1"/>
  <c r="C4" i="23"/>
  <c r="D4" i="23"/>
  <c r="E4" i="23"/>
  <c r="F4" i="23"/>
  <c r="G4" i="23"/>
  <c r="H4" i="23"/>
  <c r="B4" i="23"/>
  <c r="H3" i="23"/>
  <c r="G3" i="23"/>
  <c r="F3" i="23"/>
  <c r="E3" i="23"/>
  <c r="D3" i="23"/>
  <c r="C3" i="23"/>
  <c r="B3" i="23"/>
  <c r="B2" i="23"/>
  <c r="B14" i="22" a="1"/>
  <c r="C14" i="22"/>
  <c r="B14" i="22"/>
  <c r="B12" i="22" a="1"/>
  <c r="C12" i="22"/>
  <c r="D12" i="22"/>
  <c r="E12" i="22"/>
  <c r="F12" i="22"/>
  <c r="G12" i="22"/>
  <c r="H12" i="22"/>
  <c r="B12" i="22"/>
  <c r="B10" i="22" a="1"/>
  <c r="C10" i="22"/>
  <c r="D10" i="22"/>
  <c r="E10" i="22"/>
  <c r="F10" i="22"/>
  <c r="G10" i="22"/>
  <c r="H10" i="22"/>
  <c r="B10" i="22"/>
  <c r="B8" i="22" a="1"/>
  <c r="C8" i="22"/>
  <c r="D8" i="22"/>
  <c r="E8" i="22"/>
  <c r="F8" i="22"/>
  <c r="G8" i="22"/>
  <c r="H8" i="22"/>
  <c r="B8" i="22"/>
  <c r="B6" i="22" a="1"/>
  <c r="C6" i="22"/>
  <c r="D6" i="22"/>
  <c r="E6" i="22"/>
  <c r="F6" i="22"/>
  <c r="G6" i="22"/>
  <c r="H6" i="22"/>
  <c r="B6" i="22"/>
  <c r="B4" i="22" a="1"/>
  <c r="C4" i="22"/>
  <c r="D4" i="22"/>
  <c r="E4" i="22"/>
  <c r="F4" i="22"/>
  <c r="G4" i="22"/>
  <c r="H4" i="22"/>
  <c r="B4" i="22"/>
  <c r="H3" i="22"/>
  <c r="G3" i="22"/>
  <c r="F3" i="22"/>
  <c r="E3" i="22"/>
  <c r="D3" i="22"/>
  <c r="C3" i="22"/>
  <c r="B3" i="22"/>
  <c r="B2" i="22"/>
  <c r="B14" i="21" a="1"/>
  <c r="C14" i="21"/>
  <c r="B14" i="21"/>
  <c r="B12" i="21" a="1"/>
  <c r="C12" i="21"/>
  <c r="D12" i="21"/>
  <c r="E12" i="21"/>
  <c r="F12" i="21"/>
  <c r="G12" i="21"/>
  <c r="H12" i="21"/>
  <c r="B12" i="21"/>
  <c r="B10" i="21" a="1"/>
  <c r="C10" i="21"/>
  <c r="D10" i="21"/>
  <c r="E10" i="21"/>
  <c r="F10" i="21"/>
  <c r="G10" i="21"/>
  <c r="H10" i="21"/>
  <c r="B10" i="21"/>
  <c r="B8" i="21" a="1"/>
  <c r="C8" i="21"/>
  <c r="D8" i="21"/>
  <c r="E8" i="21"/>
  <c r="F8" i="21"/>
  <c r="G8" i="21"/>
  <c r="H8" i="21"/>
  <c r="B8" i="21"/>
  <c r="B6" i="21" a="1"/>
  <c r="C6" i="21"/>
  <c r="D6" i="21"/>
  <c r="E6" i="21"/>
  <c r="F6" i="21"/>
  <c r="G6" i="21"/>
  <c r="H6" i="21"/>
  <c r="B6" i="21"/>
  <c r="B4" i="21" a="1"/>
  <c r="C4" i="21"/>
  <c r="D4" i="21"/>
  <c r="E4" i="21"/>
  <c r="F4" i="21"/>
  <c r="G4" i="21"/>
  <c r="H4" i="21"/>
  <c r="B4" i="21"/>
  <c r="H3" i="21"/>
  <c r="G3" i="21"/>
  <c r="F3" i="21"/>
  <c r="E3" i="21"/>
  <c r="D3" i="21"/>
  <c r="C3" i="21"/>
  <c r="B3" i="21"/>
  <c r="B2" i="21"/>
  <c r="B14" i="20" a="1"/>
  <c r="C14" i="20"/>
  <c r="B14" i="20"/>
  <c r="B12" i="20" a="1"/>
  <c r="C12" i="20"/>
  <c r="D12" i="20"/>
  <c r="E12" i="20"/>
  <c r="F12" i="20"/>
  <c r="G12" i="20"/>
  <c r="H12" i="20"/>
  <c r="B12" i="20"/>
  <c r="B10" i="20" a="1"/>
  <c r="C10" i="20"/>
  <c r="D10" i="20"/>
  <c r="E10" i="20"/>
  <c r="F10" i="20"/>
  <c r="G10" i="20"/>
  <c r="H10" i="20"/>
  <c r="B10" i="20"/>
  <c r="B8" i="20" a="1"/>
  <c r="C8" i="20"/>
  <c r="D8" i="20"/>
  <c r="E8" i="20"/>
  <c r="F8" i="20"/>
  <c r="G8" i="20"/>
  <c r="H8" i="20"/>
  <c r="B8" i="20"/>
  <c r="B6" i="20" a="1"/>
  <c r="C6" i="20"/>
  <c r="D6" i="20"/>
  <c r="E6" i="20"/>
  <c r="F6" i="20"/>
  <c r="G6" i="20"/>
  <c r="H6" i="20"/>
  <c r="B6" i="20"/>
  <c r="B4" i="20" a="1"/>
  <c r="C4" i="20"/>
  <c r="D4" i="20"/>
  <c r="E4" i="20"/>
  <c r="F4" i="20"/>
  <c r="G4" i="20"/>
  <c r="H4" i="20"/>
  <c r="B4" i="20"/>
  <c r="H3" i="20"/>
  <c r="G3" i="20"/>
  <c r="F3" i="20"/>
  <c r="E3" i="20"/>
  <c r="D3" i="20"/>
  <c r="C3" i="20"/>
  <c r="B3" i="20"/>
  <c r="B2" i="20"/>
  <c r="B14" i="19" a="1"/>
  <c r="C14" i="19"/>
  <c r="B14" i="19"/>
  <c r="B12" i="19" a="1"/>
  <c r="C12" i="19"/>
  <c r="D12" i="19"/>
  <c r="E12" i="19"/>
  <c r="F12" i="19"/>
  <c r="G12" i="19"/>
  <c r="H12" i="19"/>
  <c r="B12" i="19"/>
  <c r="B10" i="19" a="1"/>
  <c r="C10" i="19"/>
  <c r="D10" i="19"/>
  <c r="E10" i="19"/>
  <c r="F10" i="19"/>
  <c r="G10" i="19"/>
  <c r="H10" i="19"/>
  <c r="B10" i="19"/>
  <c r="B8" i="19" a="1"/>
  <c r="C8" i="19"/>
  <c r="D8" i="19"/>
  <c r="E8" i="19"/>
  <c r="F8" i="19"/>
  <c r="G8" i="19"/>
  <c r="H8" i="19"/>
  <c r="B8" i="19"/>
  <c r="B6" i="19" a="1"/>
  <c r="C6" i="19"/>
  <c r="D6" i="19"/>
  <c r="E6" i="19"/>
  <c r="F6" i="19"/>
  <c r="G6" i="19"/>
  <c r="H6" i="19"/>
  <c r="B6" i="19"/>
  <c r="B4" i="19" a="1"/>
  <c r="C4" i="19"/>
  <c r="D4" i="19"/>
  <c r="E4" i="19"/>
  <c r="F4" i="19"/>
  <c r="G4" i="19"/>
  <c r="H4" i="19"/>
  <c r="B4" i="19"/>
  <c r="H3" i="19"/>
  <c r="G3" i="19"/>
  <c r="F3" i="19"/>
  <c r="E3" i="19"/>
  <c r="D3" i="19"/>
  <c r="C3" i="19"/>
  <c r="B3" i="19"/>
  <c r="B2" i="19"/>
  <c r="B14" i="18" a="1"/>
  <c r="C14" i="18"/>
  <c r="B14" i="18"/>
  <c r="B12" i="18" a="1"/>
  <c r="C12" i="18"/>
  <c r="D12" i="18"/>
  <c r="E12" i="18"/>
  <c r="F12" i="18"/>
  <c r="G12" i="18"/>
  <c r="H12" i="18"/>
  <c r="B12" i="18"/>
  <c r="B10" i="18" a="1"/>
  <c r="C10" i="18"/>
  <c r="D10" i="18"/>
  <c r="E10" i="18"/>
  <c r="F10" i="18"/>
  <c r="G10" i="18"/>
  <c r="H10" i="18"/>
  <c r="B10" i="18"/>
  <c r="B8" i="18" a="1"/>
  <c r="C8" i="18"/>
  <c r="D8" i="18"/>
  <c r="E8" i="18"/>
  <c r="F8" i="18"/>
  <c r="G8" i="18"/>
  <c r="H8" i="18"/>
  <c r="B8" i="18"/>
  <c r="B6" i="18" a="1"/>
  <c r="C6" i="18"/>
  <c r="D6" i="18"/>
  <c r="E6" i="18"/>
  <c r="F6" i="18"/>
  <c r="G6" i="18"/>
  <c r="H6" i="18"/>
  <c r="B6" i="18"/>
  <c r="B4" i="18" a="1"/>
  <c r="C4" i="18"/>
  <c r="D4" i="18"/>
  <c r="E4" i="18"/>
  <c r="F4" i="18"/>
  <c r="G4" i="18"/>
  <c r="H4" i="18"/>
  <c r="B4" i="18"/>
  <c r="H3" i="18"/>
  <c r="G3" i="18"/>
  <c r="F3" i="18"/>
  <c r="E3" i="18"/>
  <c r="D3" i="18"/>
  <c r="C3" i="18"/>
  <c r="B3" i="18"/>
  <c r="B2" i="18"/>
  <c r="B14" i="17" a="1"/>
  <c r="C14" i="17"/>
  <c r="B14" i="17"/>
  <c r="B12" i="17" a="1"/>
  <c r="C12" i="17"/>
  <c r="D12" i="17"/>
  <c r="E12" i="17"/>
  <c r="F12" i="17"/>
  <c r="G12" i="17"/>
  <c r="H12" i="17"/>
  <c r="B12" i="17"/>
  <c r="B10" i="17" a="1"/>
  <c r="C10" i="17"/>
  <c r="D10" i="17"/>
  <c r="E10" i="17"/>
  <c r="F10" i="17"/>
  <c r="G10" i="17"/>
  <c r="H10" i="17"/>
  <c r="B10" i="17"/>
  <c r="B8" i="17" a="1"/>
  <c r="C8" i="17"/>
  <c r="D8" i="17"/>
  <c r="E8" i="17"/>
  <c r="F8" i="17"/>
  <c r="G8" i="17"/>
  <c r="H8" i="17"/>
  <c r="B8" i="17"/>
  <c r="B6" i="17" a="1"/>
  <c r="C6" i="17"/>
  <c r="D6" i="17"/>
  <c r="E6" i="17"/>
  <c r="F6" i="17"/>
  <c r="G6" i="17"/>
  <c r="H6" i="17"/>
  <c r="B6" i="17"/>
  <c r="B4" i="17" a="1"/>
  <c r="C4" i="17"/>
  <c r="D4" i="17"/>
  <c r="E4" i="17"/>
  <c r="F4" i="17"/>
  <c r="G4" i="17"/>
  <c r="H4" i="17"/>
  <c r="B4" i="17"/>
  <c r="H3" i="17"/>
  <c r="G3" i="17"/>
  <c r="F3" i="17"/>
  <c r="E3" i="17"/>
  <c r="D3" i="17"/>
  <c r="C3" i="17"/>
  <c r="B3" i="17"/>
  <c r="B2" i="17"/>
  <c r="B14" i="16" a="1"/>
  <c r="C14" i="16"/>
  <c r="B14" i="16"/>
  <c r="B12" i="16" a="1"/>
  <c r="C12" i="16"/>
  <c r="D12" i="16"/>
  <c r="E12" i="16"/>
  <c r="F12" i="16"/>
  <c r="G12" i="16"/>
  <c r="H12" i="16"/>
  <c r="B12" i="16"/>
  <c r="B10" i="16" a="1"/>
  <c r="C10" i="16"/>
  <c r="D10" i="16"/>
  <c r="E10" i="16"/>
  <c r="F10" i="16"/>
  <c r="G10" i="16"/>
  <c r="H10" i="16"/>
  <c r="B10" i="16"/>
  <c r="B8" i="16" a="1"/>
  <c r="C8" i="16"/>
  <c r="D8" i="16"/>
  <c r="E8" i="16"/>
  <c r="F8" i="16"/>
  <c r="G8" i="16"/>
  <c r="H8" i="16"/>
  <c r="B8" i="16"/>
  <c r="B6" i="16" a="1"/>
  <c r="C6" i="16"/>
  <c r="D6" i="16"/>
  <c r="E6" i="16"/>
  <c r="F6" i="16"/>
  <c r="G6" i="16"/>
  <c r="H6" i="16"/>
  <c r="B6" i="16"/>
  <c r="B4" i="16" a="1"/>
  <c r="C4" i="16"/>
  <c r="D4" i="16"/>
  <c r="E4" i="16"/>
  <c r="F4" i="16"/>
  <c r="G4" i="16"/>
  <c r="H4" i="16"/>
  <c r="B4" i="16"/>
  <c r="H3" i="16"/>
  <c r="G3" i="16"/>
  <c r="F3" i="16"/>
  <c r="E3" i="16"/>
  <c r="D3" i="16"/>
  <c r="C3" i="16"/>
  <c r="B3" i="16"/>
  <c r="B2" i="16"/>
  <c r="B14" i="15" a="1"/>
  <c r="C14" i="15"/>
  <c r="B14" i="15"/>
  <c r="B12" i="15" a="1"/>
  <c r="C12" i="15"/>
  <c r="D12" i="15"/>
  <c r="E12" i="15"/>
  <c r="F12" i="15"/>
  <c r="G12" i="15"/>
  <c r="H12" i="15"/>
  <c r="B12" i="15"/>
  <c r="B10" i="15" a="1"/>
  <c r="C10" i="15"/>
  <c r="D10" i="15"/>
  <c r="E10" i="15"/>
  <c r="F10" i="15"/>
  <c r="G10" i="15"/>
  <c r="H10" i="15"/>
  <c r="B10" i="15"/>
  <c r="B8" i="15" a="1"/>
  <c r="C8" i="15"/>
  <c r="D8" i="15"/>
  <c r="E8" i="15"/>
  <c r="F8" i="15"/>
  <c r="G8" i="15"/>
  <c r="H8" i="15"/>
  <c r="B8" i="15"/>
  <c r="B6" i="15" a="1"/>
  <c r="C6" i="15"/>
  <c r="D6" i="15"/>
  <c r="E6" i="15"/>
  <c r="F6" i="15"/>
  <c r="G6" i="15"/>
  <c r="H6" i="15"/>
  <c r="B6" i="15"/>
  <c r="B4" i="15" a="1"/>
  <c r="C4" i="15"/>
  <c r="D4" i="15"/>
  <c r="E4" i="15"/>
  <c r="F4" i="15"/>
  <c r="G4" i="15"/>
  <c r="H4" i="15"/>
  <c r="B4" i="15"/>
  <c r="H3" i="15"/>
  <c r="G3" i="15"/>
  <c r="F3" i="15"/>
  <c r="E3" i="15"/>
  <c r="D3" i="15"/>
  <c r="C3" i="15"/>
  <c r="B3" i="15"/>
  <c r="B2" i="15"/>
  <c r="B14" i="14" a="1"/>
  <c r="C14" i="14"/>
  <c r="B14" i="14"/>
  <c r="B12" i="14" a="1"/>
  <c r="C12" i="14"/>
  <c r="D12" i="14"/>
  <c r="E12" i="14"/>
  <c r="F12" i="14"/>
  <c r="G12" i="14"/>
  <c r="H12" i="14"/>
  <c r="B12" i="14"/>
  <c r="B10" i="14" a="1"/>
  <c r="C10" i="14"/>
  <c r="D10" i="14"/>
  <c r="E10" i="14"/>
  <c r="F10" i="14"/>
  <c r="G10" i="14"/>
  <c r="H10" i="14"/>
  <c r="B10" i="14"/>
  <c r="B8" i="14" a="1"/>
  <c r="C8" i="14"/>
  <c r="D8" i="14"/>
  <c r="E8" i="14"/>
  <c r="F8" i="14"/>
  <c r="G8" i="14"/>
  <c r="H8" i="14"/>
  <c r="B8" i="14"/>
  <c r="B6" i="14" a="1"/>
  <c r="C6" i="14"/>
  <c r="D6" i="14"/>
  <c r="E6" i="14"/>
  <c r="F6" i="14"/>
  <c r="G6" i="14"/>
  <c r="H6" i="14"/>
  <c r="B6" i="14"/>
  <c r="B4" i="14" a="1"/>
  <c r="C4" i="14"/>
  <c r="D4" i="14"/>
  <c r="E4" i="14"/>
  <c r="F4" i="14"/>
  <c r="G4" i="14"/>
  <c r="H4" i="14"/>
  <c r="B4" i="14"/>
  <c r="H3" i="14"/>
  <c r="G3" i="14"/>
  <c r="F3" i="14"/>
  <c r="E3" i="14"/>
  <c r="D3" i="14"/>
  <c r="C3" i="14"/>
  <c r="B3" i="14"/>
  <c r="B2" i="14"/>
</calcChain>
</file>

<file path=xl/sharedStrings.xml><?xml version="1.0" encoding="utf-8"?>
<sst xmlns="http://schemas.openxmlformats.org/spreadsheetml/2006/main" count="232" uniqueCount="209">
  <si>
    <t xml:space="preserve"> </t>
  </si>
  <si>
    <t>日历设置</t>
  </si>
  <si>
    <t>年份</t>
  </si>
  <si>
    <t>一周开始之日</t>
  </si>
  <si>
    <t>元旦</t>
  </si>
  <si>
    <t>《网关项目》
1、axios配置完成
2、社区列表下拉框实现</t>
  </si>
  <si>
    <t>《网关项目》
顶部状态栏实现（进度60%）</t>
  </si>
  <si>
    <t>星期日</t>
  </si>
  <si>
    <t>《网关项目》
顶部状态栏实现（进度70%：细节完善&amp;优化）</t>
  </si>
  <si>
    <t>1、《网关项目》顶部状态栏实现（100%：登出dialog实现）
2、JIRA 上的任务创建
3、《网关项目》用户管理页面实现（40%）</t>
  </si>
  <si>
    <t>1、《网关项目》用户管理页面实现（50%：排序、添加修改账号弹窗）</t>
  </si>
  <si>
    <t>《网关项目》用户管理页面实现（70%：添加&amp;修改&amp;删除operator接口实现）</t>
  </si>
  <si>
    <t>《网关项目》用户管理页面实现（80%：完成头像上传、确认删除账号弹框）</t>
  </si>
  <si>
    <t>《网关项目》用户管理页面实现（90%：完成admin账号修改功能、更换邮箱功能（进度50%））</t>
  </si>
  <si>
    <t>《網關項目》
1、用户管理页面实现（admin类型账号的修改也即當前登錄用戶的修改，包括更換郵箱，修改密碼等功能）
2、登录页实现（进度40%）</t>
  </si>
  <si>
    <t>《网关项目》整理登入登出、自动登录、登录超时等流程</t>
  </si>
  <si>
    <t>《网关项目》
1、完成登录功能、设置密码功能
2、登入登出、自动登录、登录超时等流程流程完善
3、周五下午请假（5h）</t>
  </si>
  <si>
    <t>《网关项目》忘记密码功能实现</t>
  </si>
  <si>
    <t>《网关项目》警报页面实现（进度10%）</t>
  </si>
  <si>
    <t>《网关项目》警报页面实现（进度20%：已完成列表页静态页面）</t>
  </si>
  <si>
    <t>备注</t>
  </si>
  <si>
    <t>接口联调&amp;bug修改&amp;交互细节调整</t>
  </si>
  <si>
    <t>1、重写忘记密码重设组件
2、重写验证码组件
3、登录块交互和文案调整</t>
  </si>
  <si>
    <t>1、重写appDownload组件
2、重写profileInfo组件
3、navmenu交互调整</t>
  </si>
  <si>
    <t>1、alert页面交互和文案调整以及接口字段检查
2、log页面交互和文案调整以及接口字段检查</t>
  </si>
  <si>
    <t>user页面需求、交互、文案、接口调整</t>
  </si>
  <si>
    <t>联调环境自测&amp;bug修改</t>
  </si>
  <si>
    <t>1、网关项目B端web提测
2、网关项目邮件模板（7个）实现&amp;交付后端（lucas）</t>
  </si>
  <si>
    <t>1、【网关项目】添加服务器请求URL常量文件
2、【网关项目】bug查看&amp;分派
3、【网关项目】邮件模版bug修改以及重新交付后端
4、面试（2个）</t>
  </si>
  <si>
    <t>1、【网关项目】修改elementUI的密码输入框组件（修复相关bug2个）
2、面试（4个）</t>
  </si>
  <si>
    <t>1、【网关项目】邮件模版（新增4个，修改4个）
2、【网关项目】bug修复（14个）</t>
  </si>
  <si>
    <t>1、【网关项目】新增邮件模板1个（b端登录账号变更邮件发送验证码的邮件）
2、【网关项目】bug修复（18个）</t>
  </si>
  <si>
    <t>1、页面切换时的“加载中”交互统一
2、密码长度校验bug修复（bug13108）（不超过16个字符）
3、alert页面tab选中效果修正（bug13095）
4、修正其他页面带buildingId和unitId参数跳转到alert页面和log页面时property的选中bug修复
5、参与《绩效制定》会议</t>
  </si>
  <si>
    <t>1、【网关项目】bug修复：13157、13155、13154、13115、13113、13159、13178、13182
2、填写第二季度绩效目标</t>
  </si>
  <si>
    <t>修复bug13212、13218、13120、13219、13237</t>
  </si>
  <si>
    <r>
      <rPr>
        <sz val="11"/>
        <color theme="1" tint="0.24994659260841701"/>
        <rFont val="Microsoft YaHei UI"/>
        <charset val="134"/>
      </rPr>
      <t>【网关项目】
1、bug修复：13166
2、success颜色调整</t>
    </r>
    <r>
      <rPr>
        <sz val="11"/>
        <color theme="1" tint="0.24994659260841701"/>
        <rFont val="宋体"/>
        <charset val="134"/>
      </rPr>
      <t>﻿</t>
    </r>
    <r>
      <rPr>
        <sz val="11"/>
        <color theme="1" tint="0.24994659260841701"/>
        <rFont val="Microsoft YaHei UI"/>
        <charset val="134"/>
      </rPr>
      <t xml:space="preserve">
3、修复点击navbar上的数字时筛选条件重置的bug</t>
    </r>
    <r>
      <rPr>
        <sz val="11"/>
        <color theme="1" tint="0.24994659260841701"/>
        <rFont val="宋体"/>
        <charset val="134"/>
      </rPr>
      <t>﻿</t>
    </r>
    <r>
      <rPr>
        <sz val="11"/>
        <color theme="1" tint="0.24994659260841701"/>
        <rFont val="Microsoft YaHei UI"/>
        <charset val="134"/>
      </rPr>
      <t xml:space="preserve">
【其他】</t>
    </r>
    <r>
      <rPr>
        <sz val="11"/>
        <color theme="1" tint="0.24994659260841701"/>
        <rFont val="宋体"/>
        <charset val="134"/>
      </rPr>
      <t>﻿﻿</t>
    </r>
    <r>
      <rPr>
        <sz val="11"/>
        <color theme="1" tint="0.24994659260841701"/>
        <rFont val="Microsoft YaHei UI"/>
        <charset val="134"/>
      </rPr>
      <t xml:space="preserve">
为CloudFront（CDN）实现404页面（交付404.html）</t>
    </r>
  </si>
  <si>
    <t>1、修复bug13285、13279、13291
2、兼容firefox（flex）
3、去掉密码最大长度限制
4、getSystemLog接口发送参数增加communityId
5、产品提的一些修改点
1）alert页action icon更换
2）alert/teams页 拿掉“Action”表头
3）teams 添加成功的数据出现在表格的最前面
4）alert页 “Detection”修改为“Safety &amp; Security”
5）menu中的“Alerts”修改为“Alerts &amp; Maintenance”</t>
  </si>
  <si>
    <t>清明节</t>
  </si>
  <si>
    <t>1、操作列优化（居中&amp;加tooltip）
2、log页面的时间控件和alert页面统一，控制对将来时间的选择
3、修复bug13441
4、错误提示信息完善
5、修正从dashboard页跳转到alert页的tab选中bug</t>
  </si>
  <si>
    <t>1、修复bug13465、13451、13453
2、增加对battery字段为null的处理
3、alertType调整（detected调整为safety &amp; security）
4、删除（退出登录）确认框的button样式调整
5、邮件输入框为空时不显示validate提示</t>
  </si>
  <si>
    <t>1、删除validator组件
2、联调轮询社区消息的bug</t>
  </si>
  <si>
    <t>修复bug13656、13665、13604</t>
  </si>
  <si>
    <t>1.修复bug13686、13745、13761、13770
2.交互优化（菜单收缩时显示tooltip；左下角鼠标点击时隐藏outline；右上角社区消息popup中的ago字符串简化（不需要太精确））</t>
  </si>
  <si>
    <t>1、修复bug13840、13874
2、getSystemLog接口请求参数修正
3、密码输入框组件优化</t>
  </si>
  <si>
    <t>修复bug13894</t>
  </si>
  <si>
    <t>修复bug14005、14003、14002、14001</t>
  </si>
  <si>
    <t>1、修复bug14003
2、补充对社区消息通知中alertType为missPower时的处理（bug13753）
3、去掉dashboard页上的两个轮询，收到alert类型的警报才会触发统计数字的更新</t>
  </si>
  <si>
    <t>代码优化（使用事件总线）</t>
  </si>
  <si>
    <t>修复bug14004、14215</t>
  </si>
  <si>
    <t>修复bug14219</t>
  </si>
  <si>
    <t>修正12小时制时凌晨0点的显示（显示为12:00 AM）</t>
  </si>
  <si>
    <t>修复bug14475</t>
  </si>
  <si>
    <r>
      <rPr>
        <sz val="11"/>
        <color theme="1" tint="0.14990691854609822"/>
        <rFont val="Microsoft YaHei UI"/>
        <charset val="134"/>
      </rPr>
      <t>修复bug</t>
    </r>
    <r>
      <rPr>
        <b/>
        <sz val="11"/>
        <color theme="1" tint="0.14990691854609822"/>
        <rFont val="Microsoft YaHei UI"/>
        <charset val="134"/>
      </rPr>
      <t>14637</t>
    </r>
  </si>
  <si>
    <r>
      <rPr>
        <sz val="11"/>
        <color theme="1" tint="0.14990691854609822"/>
        <rFont val="Microsoft YaHei UI"/>
        <charset val="134"/>
      </rPr>
      <t>修复bug</t>
    </r>
    <r>
      <rPr>
        <sz val="11"/>
        <color theme="1" tint="0.14990691854609822"/>
        <rFont val="Microsoft YaHei UI"/>
        <charset val="134"/>
      </rPr>
      <t>14618、14326</t>
    </r>
  </si>
  <si>
    <t>修复bug14677</t>
  </si>
  <si>
    <t>1、修复bug14791
2、添加moment-timezone组件，将页面上的时间调整为以社区时区为准的时间</t>
  </si>
  <si>
    <t>修复bug14843、14847、14848、14849、14850</t>
  </si>
  <si>
    <t>1、修复bug14842、14841、14840、14838、14837
2、pharos信息查询增加验证码</t>
  </si>
  <si>
    <t>1、确认不是问题的bug：15254 
2、修复bug：14835、14834、14833</t>
  </si>
  <si>
    <t>修复bug14828、14827、14826、14829、15440、14830、14831</t>
  </si>
  <si>
    <t>1、pharos-dashboard页面增加“非Yolanda用户日增量”折线图
2、修复bug14836</t>
  </si>
  <si>
    <t>1、修复bug14824、14839、14844、14845、14846、14851、14852
2、button样式统一化；排序icon调整；</t>
  </si>
  <si>
    <t>1、修复bug14842、14847、14849、14851、15673
2、UI调整
3、为弹出框的高度变化增加动画效果</t>
  </si>
  <si>
    <t>修复bug14827、14828、14835、14836、15714、15713、15704</t>
  </si>
  <si>
    <t>1、修复bug15645、14837、14838、14844、14845
2、弹出框允许esc键关闭
3、弹出框位置优化</t>
  </si>
  <si>
    <t>1、临时密码对话框中的按钮提示框统一显示在上方
2、临时密码历史tooltip的显示位置bug修复
3、时间格式转换兼容IE
4、输入框样式优化（增加focus样式）
5、邮件模板UI样式调整</t>
  </si>
  <si>
    <t>修复bug15449
UI样式优化</t>
  </si>
  <si>
    <t>1、输入框样式优化
2、devices/properties/tenants/activities页面筛选框的宽度调整
3、社区下拉框的名字显示去掉tooltip
4、社区名过长的处理
5、电池图标的位置调整
6、登录用户名去掉tooltip
7、菜单选中项增加鼠标移入移出动画效果
8、优化左侧菜单栏收起展开时的动画显示</t>
  </si>
  <si>
    <t>1、&lt;B端Web初步验收报告&gt;中所提问题的修改（已完成7个修改点）
2、UI界面优化</t>
  </si>
  <si>
    <t>1、密码输入框默认显示为密文
2、logout按钮从弹出框中挪到左下角
3、电话和email校验统一化
4、时间转换方法优化
5、增加时间比对判断是否需要提醒租约即将到期
6、修复bug16015、15993
7、dashboard中的可点击块增加鼠标移入移出动画效果</t>
  </si>
  <si>
    <t xml:space="preserve">1、为解决IE兼容问题改用js控制弹出框的垂直居中
2、密码历史tooltip框高度自调整，且显示位置默认为下方，鼠标移开后弹窗消失速度调整
3、alert页tab交互调整，以及其他文案调整
4、navbar右上角数据统计逻辑调整&amp;交互调整
</t>
  </si>
  <si>
    <t>1、租户页面增加“即将到期”交互
2、&lt;B端Web初步验收报告&gt;中所提的UI调整&amp;文案修改
3、&lt;B端Web初步验收报告&gt;中所提的邮件模板中的文案修改</t>
  </si>
  <si>
    <t>1、navbar间距优化
2、bug16011，icon更换&amp;增加动画
3、修复bug16021、16022、16024</t>
  </si>
  <si>
    <t>1、修复bug16025、16330、16058、16379、15898
2、指派bug15821、15282
3、文字链接增加三态效果
4、新增unit update邮件模板
5、删除user的反馈调整：从删除列表item调整为刷新列表
6、assignPassword组件代码强壮性优化</t>
  </si>
  <si>
    <t>1、登录页表单校验调整（不在change事件中校验）
2、aptInput组件增加校验效果（红框）
3、新建member页表单校验调整（role和property项也要校验）
4、文案修改</t>
  </si>
  <si>
    <t>1、解决bug16439、16432、16427、16420、16419
2、指派bug16434
3、passwordManage页面中历史弹窗由tooltip改为popover实现（bug16002）</t>
  </si>
  <si>
    <t>1、passwordManage页面中历史弹窗的显示位置修正（高度超出屏幕的话将placement的默认bottom值调整为top值）</t>
  </si>
  <si>
    <t>1、《B端Web初步验收报告》所提问题的确认&amp;修改
2、pharos平台配网日志JSON.parse解析出错的问题定位（值中转义符不足）</t>
  </si>
  <si>
    <t>1、pharos平台-配网日志：数据读取错误的bug修复</t>
  </si>
  <si>
    <t>pharos 站点数据更新&amp;样式优化</t>
  </si>
  <si>
    <t>支援其他部门做运费统计</t>
  </si>
  <si>
    <t>第三方登录页面模板实现</t>
  </si>
  <si>
    <t>第三方登录页面模板实现（兼容PC端，以及表单校验和密码md5功能）</t>
  </si>
  <si>
    <t>网关项目UI优化</t>
  </si>
  <si>
    <t>1、网关项目UI优化(表单错误提示文字在显示的时候有一个细微的向左的跳动)
2、菜谱h5页面实现（40%）</t>
  </si>
  <si>
    <t>菜谱h5页面实现（90%：需要沟通获取数据的接口；需要跳转url和跳转app资源；）</t>
  </si>
  <si>
    <t>1、【网关项目】關於美國物業管理員測試 B Web最新反饋的修改
2、中国区菜谱接口沟通</t>
  </si>
  <si>
    <t>1、【网关项目】關於美國物業管理員測試 B Web最新反饋中关于dashboard页面的修改
2、中国区菜谱接口沟通&amp;接入</t>
  </si>
  <si>
    <t>中国区菜谱接口数据解析</t>
  </si>
  <si>
    <t>1【网关项目】關於美國物業管理員測試 B Web最新反饋中关于dashboard页面的修改(tab样式优化）
2、cookie 技术文章输出</t>
  </si>
  <si>
    <t>1、设备/用户数统计图实现
2、【网关项目B Web反馈修改】tenant、access code增加note功能；icon更换</t>
  </si>
  <si>
    <t xml:space="preserve">【网关项目B Web反馈修改】property/alert增加note功能；創建租戶時預填租約開始跟結束時間；其他bug修改
</t>
  </si>
  <si>
    <t>【网关项目B Web反馈修改】
1、Alerts/Property 页面的note不允许输入空格的bug修复；
2、Alerts 页面 Device Details 中 Alert Type的大小写修正；
3、Property 页面title由Properties 调整为 Property；
4、Device 页面增加ID列.
【CS108-NK的FAQ页面】经沟通确认是po同事来添加</t>
  </si>
  <si>
    <t>【网关项目B Web反馈修改】</t>
  </si>
  <si>
    <t>【网关】
1、bug修复
teams页面删去status列导致的数据更新bug
bug17454
2、UI调整</t>
  </si>
  <si>
    <t>【网关】
1、bug修复17453、17454、17462、17458 
2、《创建临时密码弹出框》日期输入框宽度调整以使报错信息不分行
3、note字段返回“null”导致的save失败的bug修复</t>
  </si>
  <si>
    <t>【网关】bug修复：17458
【中国区项目】用户协议和隐私政策页面实现</t>
  </si>
  <si>
    <t>1、中国区项目用户协议&amp;隐私政策页面验收&amp;修改
2、填报绩效文档</t>
  </si>
  <si>
    <t>1、填报绩效文档
2、网关bug修复（第二次增加租户失败）
3、参加技术讨论会（异常与日志）</t>
  </si>
  <si>
    <t>网关上线提测</t>
  </si>
  <si>
    <t>完成Promise文章</t>
  </si>
  <si>
    <t>【中国区项目】菜谱接口联调</t>
  </si>
  <si>
    <t>【中国区项目】邮件模板实现（2个）</t>
  </si>
  <si>
    <t>【网关项目】
1、修复bug17774
2、新增“新建租户不需访问密码”的邮件模板
3、新增“报警通知”邮件模板
4、参加《线上说明书》需求讨论会以及技术预研</t>
  </si>
  <si>
    <t>【网关项目】datepicker组件使用社区时区（未完成）</t>
  </si>
  <si>
    <t>【网关项目】
1、修复bug17841
2、datepickerdatepicker组件使用社区时区（完成）</t>
  </si>
  <si>
    <t>第三方登录页面调整（增加错误码的处理）</t>
  </si>
  <si>
    <t>B web报警增加Email发送功能开发</t>
  </si>
  <si>
    <t>1、开启共享文件夹
2、联调唤起app功能</t>
  </si>
  <si>
    <t>h5页面唤起app客户端功能联调（只支持自带浏览器的唤起，若一定时间内不能打开app则跳到下载页）</t>
  </si>
  <si>
    <t>B web报警增加Email发送功能联调&amp;提测</t>
  </si>
  <si>
    <t>第三方登录页面样式优化</t>
  </si>
  <si>
    <t>1、填写新员工试用期评估表
2、第三方登陆页面样式优化
3、【网关项目】bug18248修复</t>
  </si>
  <si>
    <t>1、第三方登录页面bug修正
2、线上说明书页面实现（进度5%）</t>
  </si>
  <si>
    <t>线上说明书页面实现（进度10%：左滑右滑功能完成；模板化处理）</t>
  </si>
  <si>
    <t>上午请假；
下午：线上说明书页面实现（进度60%）</t>
  </si>
  <si>
    <t>《线上说明书》
1、step1页向左滑跳到目录页的功能实现
2、进度80%</t>
  </si>
  <si>
    <t>产测项目代码运行环境安装（进度50%）
qc-webserver: python/django/mysqlclient/…</t>
  </si>
  <si>
    <t>产测项目代码运行环境安装（进度100%）</t>
  </si>
  <si>
    <t>产测项目文档阅读和代码阅读（进度20%）</t>
  </si>
  <si>
    <t>产测项目技术预研；
团建项目调研；</t>
  </si>
  <si>
    <t>线上说明书与APP端联调</t>
  </si>
  <si>
    <t>1、产测接口查看
2、线上说明书联调（100%）</t>
  </si>
  <si>
    <t>产测接口整理（进度10%）</t>
  </si>
  <si>
    <t>产测接口整理（进度30%）</t>
  </si>
  <si>
    <t>1、线上说明书联调
2、产测接口整理（进度80%）</t>
  </si>
  <si>
    <t>1、vue3学习
2、菜谱UI调整
3、线上说明书h5页面bug修复</t>
  </si>
  <si>
    <t>1、线上说明书bug修复
2、产测工具login页面开发（进度50%）</t>
  </si>
  <si>
    <t>1、线上说明书bug修复
2、产测工具login页面开发（进度100%）
3、产测工具主体框架搭建（进度20%）</t>
  </si>
  <si>
    <t>1、【线上说明书】bug修复：19661、19660、19628、19608、19604、19602、19595、19576、19630
2、产测工具整体框架实现（进度30%：顶端栏包括登出功能）</t>
  </si>
  <si>
    <t>1、修复bug19726、19711</t>
  </si>
  <si>
    <t>1、网关web端开源码版权整理
2、产测工具主题框架搭建（进度50%：菜单栏的伸缩、axios完善（登录有效检验））</t>
  </si>
  <si>
    <t>1、菜谱h5调起app联调
2、产测工具主题框架搭建（进度70%：菜单数据解析和展示）</t>
  </si>
  <si>
    <t>产测工具主题框架搭建（进度100%：headtab实现、菜单icon实现）</t>
  </si>
  <si>
    <t>【产测工具】列表页面实现（进度40%）</t>
  </si>
  <si>
    <t>【产测工具】列表页面实现（进度100%）</t>
  </si>
  <si>
    <t>【产测工具】测试页面实现（进度20%）</t>
  </si>
  <si>
    <t>1、【产测工具】测试页面实现（进度40%）
2、【网关项目】迭代需求确认（警报推送过滤）
3、【中国区项目】用户协议&amp;隐私政策内容更新；不同页面涉及到的host统一配置化；</t>
  </si>
  <si>
    <t>1、【产测工具】测试页面实现（进度50%）
2、【中国区项目】用户协议&amp;隐私政策内容更新（已上线）</t>
  </si>
  <si>
    <t>1、【pharos】添加网关慢日志显示
2、【中国区项目】实现简易官网html页面</t>
  </si>
  <si>
    <t>1、【网关项目】迭代需求提测（警报推送过滤）
2、【产测工具】测试页面实现（进度70%：记住MAC地址、刷新&amp;自动刷新、筛选、清空结果区、删除单条记录）</t>
  </si>
  <si>
    <t>病假</t>
  </si>
  <si>
    <t>1、【网关项目】bug修复（接口getHomePageAlertBasicInfo调用过于频繁）
2、【产测工具】测试页面实现（进度80%：删除单条记录）
3、【中国区项目】菜谱页面接口url的bug修复（不能用“//”,只能用“/”）</t>
  </si>
  <si>
    <t>1、【产测工具】测试页面实现（进度100%：测试功能实现）
2、【中国区项目】隐私政策和用户协议发布日期确定</t>
  </si>
  <si>
    <t>【产测工具】
1、routerMac获取渠道调整；
2、cs158和cs130 配置定义</t>
  </si>
  <si>
    <t>【产测工具】升级页面实现（进度10%，需要拆分组件）</t>
    <phoneticPr fontId="24" type="noConversion"/>
  </si>
  <si>
    <t>【产测工具】升级页面实现（进度100%）</t>
    <phoneticPr fontId="24" type="noConversion"/>
  </si>
  <si>
    <t>【产测工具】升级页面重新拆分整合（兼容固件升级和mcu升级，进度100%）</t>
    <phoneticPr fontId="24" type="noConversion"/>
  </si>
  <si>
    <t>【产测工具】页面跳转或者单品切换时的tab选中bug修复</t>
    <phoneticPr fontId="24" type="noConversion"/>
  </si>
  <si>
    <t>【产测工具】旧版测试页面搭建（样式已完成。差功能实现）</t>
    <phoneticPr fontId="24" type="noConversion"/>
  </si>
  <si>
    <t>【产测工具】旧版测试页面实现（进度100%）</t>
    <phoneticPr fontId="24" type="noConversion"/>
  </si>
  <si>
    <t>【网关项目】修正“浏览器tab从非激活状态转为激活状态时，警报弹出框一闪而过”的问题</t>
    <phoneticPr fontId="24" type="noConversion"/>
  </si>
  <si>
    <t>【产测工具】打印页面实现（进度40%，还差功能实现）</t>
    <phoneticPr fontId="24" type="noConversion"/>
  </si>
  <si>
    <t>【产测工具】打印页面实现（进度60%，打印功能实现ing）</t>
    <phoneticPr fontId="24" type="noConversion"/>
  </si>
  <si>
    <t>【产测工具】打印页面实现（进度100%）</t>
    <phoneticPr fontId="24" type="noConversion"/>
  </si>
  <si>
    <t>1、【产测工具】登录接口联调（未完成）
2、团建方案输出
3、周例会
4、菜谱优化项目UI评审会议参加</t>
    <phoneticPr fontId="24" type="noConversion"/>
  </si>
  <si>
    <t>【产测工具】cs130烤箱接口联调（进度40%）</t>
    <phoneticPr fontId="24" type="noConversion"/>
  </si>
  <si>
    <t>【产测工具】cs130烤箱接口联调（进度50%）</t>
    <phoneticPr fontId="24" type="noConversion"/>
  </si>
  <si>
    <t>1、【产测工具】cs130烤箱接口联调（进度55%）
2、【中国区项目】菜谱页面调整（时间转化显示）；新增CS100清洁提示页面。
3、【数据分析项目】需求会议参加&amp;项目排期</t>
    <phoneticPr fontId="24" type="noConversion"/>
  </si>
  <si>
    <t>1、【产测工具】cs130烤箱接口联调（进度80%）
2、【中国区项目】CS158清洁提示页面图片替换。
3、【数据分析项目】排期会议参加&amp;架构搭建</t>
    <phoneticPr fontId="24" type="noConversion"/>
  </si>
  <si>
    <t>1、【中国区项目】菜谱页面跳转链接更新；App下载重定向页面实现；cs100/158清洁提示页面图片更换；
2、【网关项目】任务排期</t>
    <phoneticPr fontId="24" type="noConversion"/>
  </si>
  <si>
    <t>【菜谱优化项目】h5页面实现（进度10%）</t>
    <phoneticPr fontId="24" type="noConversion"/>
  </si>
  <si>
    <t>1、【菜谱优化项目】h5页面实现（进度15%）
2、参加产品管理系统需求评审会议</t>
    <phoneticPr fontId="24" type="noConversion"/>
  </si>
  <si>
    <t>1、【菜谱优化项目】h5页面实现（进度30%）</t>
    <phoneticPr fontId="24" type="noConversion"/>
  </si>
  <si>
    <t>1、【菜谱优化项目】h5页面实现（进度60%）
2、参加《线上说明书》规划会议</t>
    <phoneticPr fontId="24" type="noConversion"/>
  </si>
  <si>
    <t>1、【菜谱优化项目】h5页面实现（进度80%，完成样式实现）
2、数据分析开发（进度10%）</t>
    <phoneticPr fontId="24" type="noConversion"/>
  </si>
  <si>
    <t>【产品管理系统】需求确认&amp;排期</t>
    <phoneticPr fontId="24" type="noConversion"/>
  </si>
  <si>
    <t>1、【数据分析】用户数据overview实现
2、中国区菜谱页面兼容烤箱（进度90%）
3、网关需求会议参与</t>
    <phoneticPr fontId="24" type="noConversion"/>
  </si>
  <si>
    <t>【数据分析】用户数据日增量实现</t>
    <phoneticPr fontId="24" type="noConversion"/>
  </si>
  <si>
    <t>1、【数据分析】设备页面实现（进度40%）
2、【中国区菜谱】兼容烤箱（进度100%：增加烤箱的模式显示，文案修改）</t>
    <phoneticPr fontId="24" type="noConversion"/>
  </si>
  <si>
    <t>1、【数据分析】需求评审会议参加
2、【数据分析】接口联调（进度20%）</t>
    <phoneticPr fontId="24" type="noConversion"/>
  </si>
  <si>
    <t>《线上说明书-classic200s》进度30%</t>
    <phoneticPr fontId="24" type="noConversion"/>
  </si>
  <si>
    <t>《线上说明书-classic200s》进度100%</t>
    <phoneticPr fontId="24" type="noConversion"/>
  </si>
  <si>
    <t>1、菜谱接口联调
2、产测接口联调
3、线上说明书联调</t>
    <phoneticPr fontId="24" type="noConversion"/>
  </si>
  <si>
    <t>1、菜谱接口联调
2、产测接口联调
3、线上说明书联调
4、core200s线上说明书实现</t>
    <phoneticPr fontId="24" type="noConversion"/>
  </si>
  <si>
    <t>1、菜谱接口联调（已完成pc端）
2、产测接口联调</t>
    <phoneticPr fontId="24" type="noConversion"/>
  </si>
  <si>
    <t>1、菜谱接口联调（完成mobile端）
2、产测接口联调</t>
    <phoneticPr fontId="24" type="noConversion"/>
  </si>
  <si>
    <t>1、菜谱接口联调（完成mobile端）
2、产测接口联调
3、线上说明书文案修改</t>
    <phoneticPr fontId="24" type="noConversion"/>
  </si>
  <si>
    <t>【菜谱优化项目】联调（进度100%）</t>
    <phoneticPr fontId="24" type="noConversion"/>
  </si>
  <si>
    <t>1、菜谱页面部署
2、产测接口联调
3、线上说明书跟进测试&amp;bug修改</t>
    <phoneticPr fontId="24" type="noConversion"/>
  </si>
  <si>
    <t>产测联调（基本完成）</t>
    <phoneticPr fontId="24" type="noConversion"/>
  </si>
  <si>
    <t>1、【线上说明书】修复bug22449、22591、22561、22425、22626
2、【产测工具】部署ci</t>
    <phoneticPr fontId="24" type="noConversion"/>
  </si>
  <si>
    <t>【产测工具】ci环境测试bug修复</t>
    <phoneticPr fontId="24" type="noConversion"/>
  </si>
  <si>
    <t>1、【产测工具】对接了2个单品
2、【产测工具】bug修复
3、线上说明书样式调整
4、菜谱分享缩略图可行性研究</t>
    <phoneticPr fontId="24" type="noConversion"/>
  </si>
  <si>
    <t>1、菜谱分享封面图实现讨论
2、产测工具联调
3、vesync app/fit 隐私政策h5页面更新（未完）</t>
    <phoneticPr fontId="24" type="noConversion"/>
  </si>
  <si>
    <t>1、vesyncApp、vesyncFitApp隐私政策页面实现
2、菜谱h5页面适配ipad端（bug22841）
3、菜谱分享页封面实现讨论</t>
    <phoneticPr fontId="24" type="noConversion"/>
  </si>
  <si>
    <t>【产测工具】
1、setting配置文件”设置&amp;合并“规则优化
2、自动测试逻辑调整</t>
    <phoneticPr fontId="24" type="noConversion"/>
  </si>
  <si>
    <t>【产测工具】
1、自动测试逻辑调整
2、routermac逻辑调整</t>
    <phoneticPr fontId="24" type="noConversion"/>
  </si>
  <si>
    <t>1、【产测工具】bug修复&amp;单品对接（空气类）
2、【中国区菜谱】适配pad
3、【线上说明书】兼容ios9</t>
    <phoneticPr fontId="24" type="noConversion"/>
  </si>
  <si>
    <t>【产测工具】bug修复&amp;单品对接（厨电类）</t>
    <phoneticPr fontId="24" type="noConversion"/>
  </si>
  <si>
    <t>【产测工具】
1、单品对接（插座类）
2、新增接口getUserInfo的对接</t>
    <phoneticPr fontId="24" type="noConversion"/>
  </si>
  <si>
    <t>【产测工具】
1、bug修复
2、10a欧规插座和131空净的扫描测试功能实现</t>
    <phoneticPr fontId="24" type="noConversion"/>
  </si>
  <si>
    <t>【菜谱优化】bug修复23219、23226、23227、23228、23180、23179、23178
【产测工具】扫描测试bug修复（ing，打印中断vue渲染）</t>
    <phoneticPr fontId="24" type="noConversion"/>
  </si>
  <si>
    <t>【菜谱优化】
1、bug修复23178、23239
2、UI调整
【产测工具】
单品对接（wifi灯泡）</t>
    <phoneticPr fontId="24" type="noConversion"/>
  </si>
  <si>
    <t>【产测工具】单品对接：cct灯泡，rgb灯泡，esf00称，inwallswitch开关，3way开关，dimmer开关</t>
    <phoneticPr fontId="24" type="noConversion"/>
  </si>
  <si>
    <t>【产测工具】
1、打印问题解决（clodop版本）
2、bug修复</t>
    <phoneticPr fontId="24" type="noConversion"/>
  </si>
  <si>
    <t>【产测工具】bug修复&amp;优化</t>
    <phoneticPr fontId="24" type="noConversion"/>
  </si>
  <si>
    <t>1、【产测工具】优化&amp;bug修复
2、【菜谱优化】bug修复</t>
    <phoneticPr fontId="24" type="noConversion"/>
  </si>
  <si>
    <t>1、【网关】需求会议参与
2、【菜谱优化】文案修改
3、【产测工具】交互优化&amp;部署配置文件调整</t>
    <phoneticPr fontId="24" type="noConversion"/>
  </si>
  <si>
    <t>1、【网关】需求会议参与、开始round1开发
2、【产测工具】写提测邮件
3、组织周例会&amp;发邮件</t>
    <phoneticPr fontId="24" type="noConversion"/>
  </si>
  <si>
    <t>1、【中国区】隐私政策和用户协议文案修改（时间）
2、【网关2期】keypadcode展示（已完成）</t>
    <phoneticPr fontId="24" type="noConversion"/>
  </si>
  <si>
    <t>【网关2期】keypadcode修改（60%）</t>
    <phoneticPr fontId="24" type="noConversion"/>
  </si>
  <si>
    <t>【网关2期round1】完成</t>
    <phoneticPr fontId="24" type="noConversion"/>
  </si>
  <si>
    <t>【产测工具】bug修复：23563、23556、23557、23499、23506、23509、23511</t>
    <phoneticPr fontId="24" type="noConversion"/>
  </si>
  <si>
    <t>1、【网关2期round1】联调
2、【产测工具】bug修复：23649、23639</t>
    <phoneticPr fontId="24" type="noConversion"/>
  </si>
  <si>
    <t>1、【网关2期round1】联调
2、【产测工具】bug修复：23542、23651、23540、23539、23518、23520、23504、23488、23648、23661</t>
    <phoneticPr fontId="24" type="noConversion"/>
  </si>
  <si>
    <t>【产测工具】bug修复：23691、23723、23726、23592、23742、23637、23507</t>
    <phoneticPr fontId="24" type="noConversion"/>
  </si>
  <si>
    <t>【产测工具】
1、交互优化
2、bug修复：23778、23786</t>
    <phoneticPr fontId="24" type="noConversion"/>
  </si>
  <si>
    <t>【产测工具】
1、交互优化
2、修复bug23767
【pharos导航页面修改】
二级菜单实现（已完成）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</si>
</sst>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"/>
  </numFmts>
  <fonts count="26" x14ac:knownFonts="1">
    <font>
      <sz val="11"/>
      <color theme="1" tint="0.24994659260841701"/>
      <name val="Microsoft YaHei UI"/>
      <charset val="134"/>
    </font>
    <font>
      <sz val="11"/>
      <color theme="1" tint="0.14990691854609822"/>
      <name val="Microsoft YaHei UI"/>
      <charset val="134"/>
    </font>
    <font>
      <sz val="10"/>
      <color theme="1" tint="0.14990691854609822"/>
      <name val="Microsoft YaHei UI"/>
      <charset val="134"/>
    </font>
    <font>
      <sz val="12"/>
      <color theme="1" tint="0.14990691854609822"/>
      <name val="Microsoft YaHei UI"/>
      <charset val="134"/>
    </font>
    <font>
      <sz val="9"/>
      <color theme="1" tint="0.14990691854609822"/>
      <name val="Microsoft YaHei UI"/>
      <charset val="134"/>
    </font>
    <font>
      <sz val="35"/>
      <color theme="8" tint="-0.499984740745262"/>
      <name val="Microsoft YaHei UI"/>
      <charset val="134"/>
    </font>
    <font>
      <sz val="35"/>
      <color theme="1" tint="0.14990691854609822"/>
      <name val="Microsoft YaHei UI"/>
      <charset val="134"/>
    </font>
    <font>
      <sz val="12"/>
      <color theme="8" tint="-0.499984740745262"/>
      <name val="Microsoft YaHei UI"/>
      <charset val="134"/>
    </font>
    <font>
      <sz val="12"/>
      <color theme="1" tint="0.34998626667073579"/>
      <name val="Microsoft YaHei UI"/>
      <charset val="134"/>
    </font>
    <font>
      <sz val="35"/>
      <color theme="5" tint="-0.499984740745262"/>
      <name val="Microsoft YaHei UI"/>
      <charset val="134"/>
    </font>
    <font>
      <sz val="12"/>
      <color theme="5" tint="-0.499984740745262"/>
      <name val="Microsoft YaHei UI"/>
      <charset val="134"/>
    </font>
    <font>
      <sz val="35"/>
      <color theme="7" tint="-0.499984740745262"/>
      <name val="Microsoft YaHei UI"/>
      <charset val="134"/>
    </font>
    <font>
      <sz val="12"/>
      <color theme="7" tint="-0.499984740745262"/>
      <name val="Microsoft YaHei UI"/>
      <charset val="134"/>
    </font>
    <font>
      <sz val="35"/>
      <color theme="9" tint="-0.499984740745262"/>
      <name val="Microsoft YaHei UI"/>
      <charset val="134"/>
    </font>
    <font>
      <sz val="12"/>
      <color theme="9" tint="-0.499984740745262"/>
      <name val="Microsoft YaHei UI"/>
      <charset val="134"/>
    </font>
    <font>
      <sz val="12"/>
      <color theme="8" tint="-0.249977111117893"/>
      <name val="Microsoft YaHei UI"/>
      <charset val="134"/>
    </font>
    <font>
      <b/>
      <sz val="11"/>
      <color theme="1" tint="0.34998626667073579"/>
      <name val="Microsoft YaHei UI"/>
      <charset val="134"/>
    </font>
    <font>
      <sz val="11"/>
      <color theme="4" tint="-0.24994659260841701"/>
      <name val="Microsoft YaHei UI"/>
      <charset val="134"/>
    </font>
    <font>
      <sz val="35"/>
      <color theme="4"/>
      <name val="Microsoft YaHei UI"/>
      <charset val="134"/>
    </font>
    <font>
      <sz val="12"/>
      <color theme="4" tint="-0.24994659260841701"/>
      <name val="Microsoft YaHei UI"/>
      <charset val="134"/>
    </font>
    <font>
      <sz val="11"/>
      <name val="Microsoft YaHei UI"/>
      <charset val="134"/>
    </font>
    <font>
      <sz val="11"/>
      <color theme="1" tint="0.24994659260841701"/>
      <name val="宋体"/>
      <charset val="134"/>
    </font>
    <font>
      <b/>
      <sz val="11"/>
      <color theme="1" tint="0.14990691854609822"/>
      <name val="Microsoft YaHei UI"/>
      <charset val="134"/>
    </font>
    <font>
      <sz val="11"/>
      <color theme="1" tint="0.24994659260841701"/>
      <name val="Microsoft YaHei UI"/>
      <charset val="134"/>
    </font>
    <font>
      <sz val="9"/>
      <name val="Microsoft YaHei UI"/>
      <family val="2"/>
      <charset val="134"/>
    </font>
    <font>
      <sz val="11"/>
      <color theme="1" tint="0.14990691854609822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/>
      <right/>
      <top/>
      <bottom style="medium">
        <color theme="5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/>
      <top/>
      <bottom style="medium">
        <color theme="9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4" tint="-0.24994659260841701"/>
      </bottom>
      <diagonal/>
    </border>
  </borders>
  <cellStyleXfs count="9">
    <xf numFmtId="0" fontId="0" fillId="0" borderId="0" applyFill="0" applyBorder="0">
      <alignment vertical="top"/>
    </xf>
    <xf numFmtId="0" fontId="19" fillId="0" borderId="0">
      <alignment horizontal="left" indent="1"/>
    </xf>
    <xf numFmtId="0" fontId="16" fillId="6" borderId="0" applyBorder="0" applyProtection="0">
      <alignment horizontal="left" vertical="top" wrapText="1" indent="1"/>
    </xf>
    <xf numFmtId="0" fontId="18" fillId="0" borderId="0" applyFill="0" applyBorder="0" applyProtection="0">
      <alignment vertical="center"/>
    </xf>
    <xf numFmtId="0" fontId="17" fillId="0" borderId="9" applyNumberFormat="0" applyFill="0" applyProtection="0">
      <alignment horizontal="left" vertical="center" indent="1"/>
    </xf>
    <xf numFmtId="0" fontId="17" fillId="0" borderId="0" applyFill="0" applyProtection="0"/>
    <xf numFmtId="0" fontId="23" fillId="0" borderId="0" applyFill="0" applyProtection="0"/>
    <xf numFmtId="0" fontId="20" fillId="6" borderId="0" applyNumberFormat="0" applyFont="0" applyBorder="0" applyAlignment="0">
      <alignment horizontal="left" vertical="center" indent="1"/>
    </xf>
    <xf numFmtId="176" fontId="8" fillId="0" borderId="0" applyFill="0" applyBorder="0">
      <alignment horizontal="left" vertical="center" indent="1"/>
    </xf>
  </cellStyleXfs>
  <cellXfs count="72">
    <xf numFmtId="0" fontId="0" fillId="0" borderId="0" xfId="0">
      <alignment vertical="top"/>
    </xf>
    <xf numFmtId="0" fontId="1" fillId="0" borderId="0" xfId="0" applyFont="1" applyFill="1" applyBorder="1">
      <alignment vertical="top"/>
    </xf>
    <xf numFmtId="0" fontId="2" fillId="0" borderId="0" xfId="0" applyFont="1" applyFill="1" applyBorder="1">
      <alignment vertical="top"/>
    </xf>
    <xf numFmtId="0" fontId="3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left" vertical="top" wrapText="1" indent="1"/>
    </xf>
    <xf numFmtId="0" fontId="1" fillId="0" borderId="0" xfId="0" applyFont="1">
      <alignment vertical="top"/>
    </xf>
    <xf numFmtId="0" fontId="1" fillId="0" borderId="0" xfId="4" applyFont="1" applyFill="1" applyBorder="1" applyAlignment="1">
      <alignment vertical="center"/>
    </xf>
    <xf numFmtId="0" fontId="6" fillId="0" borderId="0" xfId="3" applyFont="1" applyFill="1" applyAlignment="1">
      <alignment horizontal="left" vertical="center"/>
    </xf>
    <xf numFmtId="0" fontId="7" fillId="0" borderId="1" xfId="4" applyFont="1" applyFill="1" applyBorder="1" applyAlignment="1">
      <alignment horizontal="left" vertical="top" indent="1"/>
    </xf>
    <xf numFmtId="0" fontId="3" fillId="0" borderId="0" xfId="0" applyFont="1" applyAlignment="1">
      <alignment horizontal="left" vertical="center" indent="1"/>
    </xf>
    <xf numFmtId="176" fontId="3" fillId="0" borderId="0" xfId="8" applyNumberFormat="1" applyFont="1" applyBorder="1" applyAlignment="1">
      <alignment horizontal="left" vertical="center" indent="1"/>
    </xf>
    <xf numFmtId="0" fontId="4" fillId="0" borderId="0" xfId="0" applyFont="1" applyAlignment="1">
      <alignment horizontal="left" vertical="top" wrapText="1" indent="1"/>
    </xf>
    <xf numFmtId="0" fontId="0" fillId="0" borderId="0" xfId="0" applyFont="1" applyBorder="1">
      <alignment vertical="top"/>
    </xf>
    <xf numFmtId="176" fontId="8" fillId="2" borderId="0" xfId="8" applyNumberFormat="1" applyFont="1" applyFill="1" applyBorder="1" applyAlignment="1">
      <alignment horizontal="left" vertical="center" indent="1"/>
    </xf>
    <xf numFmtId="0" fontId="0" fillId="2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10" fillId="0" borderId="2" xfId="4" applyFont="1" applyFill="1" applyBorder="1" applyAlignment="1">
      <alignment horizontal="left" vertical="top" indent="1"/>
    </xf>
    <xf numFmtId="176" fontId="8" fillId="3" borderId="0" xfId="8" applyNumberFormat="1" applyFont="1" applyFill="1" applyBorder="1" applyAlignment="1">
      <alignment horizontal="left" vertical="center" indent="1"/>
    </xf>
    <xf numFmtId="0" fontId="0" fillId="3" borderId="0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3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2" fillId="0" borderId="3" xfId="4" applyFont="1" applyFill="1" applyBorder="1" applyAlignment="1">
      <alignment horizontal="left" vertical="top" indent="1"/>
    </xf>
    <xf numFmtId="176" fontId="8" fillId="4" borderId="0" xfId="8" applyNumberFormat="1" applyFont="1" applyFill="1" applyBorder="1" applyAlignment="1">
      <alignment horizontal="left" vertical="center" indent="1"/>
    </xf>
    <xf numFmtId="0" fontId="0" fillId="4" borderId="0" xfId="0" applyFont="1" applyFill="1" applyBorder="1" applyAlignment="1">
      <alignment vertical="top"/>
    </xf>
    <xf numFmtId="0" fontId="0" fillId="4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14" fillId="0" borderId="4" xfId="4" applyFont="1" applyFill="1" applyBorder="1" applyAlignment="1">
      <alignment horizontal="left" vertical="top" indent="1"/>
    </xf>
    <xf numFmtId="176" fontId="8" fillId="5" borderId="0" xfId="8" applyNumberFormat="1" applyFont="1" applyFill="1" applyBorder="1" applyAlignment="1">
      <alignment horizontal="left" vertical="center" indent="1"/>
    </xf>
    <xf numFmtId="0" fontId="0" fillId="5" borderId="0" xfId="0" applyFont="1" applyFill="1" applyBorder="1" applyAlignment="1">
      <alignment vertical="top"/>
    </xf>
    <xf numFmtId="0" fontId="0" fillId="5" borderId="0" xfId="0" applyFont="1" applyFill="1" applyBorder="1" applyAlignment="1">
      <alignment vertical="top" wrapText="1"/>
    </xf>
    <xf numFmtId="0" fontId="0" fillId="2" borderId="0" xfId="0" applyFont="1" applyFill="1" applyBorder="1" applyAlignment="1">
      <alignment vertical="top" wrapText="1"/>
    </xf>
    <xf numFmtId="0" fontId="0" fillId="2" borderId="0" xfId="0" applyNumberFormat="1" applyFont="1" applyFill="1" applyBorder="1" applyAlignment="1">
      <alignment vertical="top" wrapText="1"/>
    </xf>
    <xf numFmtId="0" fontId="2" fillId="0" borderId="5" xfId="6" applyFont="1" applyFill="1" applyBorder="1" applyAlignment="1">
      <alignment horizontal="center" vertical="center"/>
    </xf>
    <xf numFmtId="0" fontId="2" fillId="0" borderId="6" xfId="6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25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5" fillId="0" borderId="0" xfId="3" applyFont="1" applyFill="1" applyBorder="1">
      <alignment vertical="center"/>
    </xf>
    <xf numFmtId="0" fontId="15" fillId="0" borderId="1" xfId="5" applyFont="1" applyFill="1" applyBorder="1" applyAlignment="1">
      <alignment horizontal="center" vertical="top"/>
    </xf>
    <xf numFmtId="0" fontId="1" fillId="0" borderId="0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2" applyFont="1" applyFill="1" applyBorder="1" applyAlignment="1">
      <alignment horizontal="left" vertical="center" wrapText="1" indent="1"/>
    </xf>
    <xf numFmtId="0" fontId="0" fillId="2" borderId="0" xfId="0" applyFont="1" applyFill="1" applyBorder="1">
      <alignment vertical="top"/>
    </xf>
    <xf numFmtId="0" fontId="13" fillId="0" borderId="0" xfId="3" applyFont="1" applyFill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1" fillId="5" borderId="0" xfId="2" applyFont="1" applyFill="1" applyBorder="1" applyAlignment="1">
      <alignment horizontal="left" vertical="center" wrapText="1" indent="1"/>
    </xf>
    <xf numFmtId="0" fontId="0" fillId="5" borderId="0" xfId="0" applyFont="1" applyFill="1" applyBorder="1">
      <alignment vertical="top"/>
    </xf>
    <xf numFmtId="0" fontId="11" fillId="0" borderId="0" xfId="3" applyFont="1" applyFill="1" applyBorder="1">
      <alignment vertical="center"/>
    </xf>
    <xf numFmtId="0" fontId="1" fillId="4" borderId="0" xfId="2" applyFont="1" applyFill="1" applyBorder="1" applyAlignment="1">
      <alignment horizontal="left" vertical="center" wrapText="1" indent="1"/>
    </xf>
    <xf numFmtId="0" fontId="0" fillId="4" borderId="0" xfId="0" applyFont="1" applyFill="1" applyBorder="1">
      <alignment vertical="top"/>
    </xf>
    <xf numFmtId="0" fontId="9" fillId="0" borderId="0" xfId="3" applyFont="1" applyFill="1" applyBorder="1">
      <alignment vertical="center"/>
    </xf>
    <xf numFmtId="0" fontId="1" fillId="3" borderId="0" xfId="2" applyFont="1" applyFill="1" applyBorder="1" applyAlignment="1">
      <alignment horizontal="left" vertical="center" wrapText="1" indent="1"/>
    </xf>
    <xf numFmtId="0" fontId="0" fillId="3" borderId="0" xfId="0" applyFont="1" applyFill="1" applyBorder="1">
      <alignment vertical="top"/>
    </xf>
  </cellXfs>
  <cellStyles count="9">
    <cellStyle name="标题" xfId="3" builtinId="15"/>
    <cellStyle name="标题 1" xfId="4" builtinId="16"/>
    <cellStyle name="标题 2" xfId="5" builtinId="17"/>
    <cellStyle name="标题 3" xfId="6" builtinId="18"/>
    <cellStyle name="标题 4" xfId="2" builtinId="19"/>
    <cellStyle name="常规" xfId="0" builtinId="0"/>
    <cellStyle name="日" xfId="8"/>
    <cellStyle name="设置条目" xfId="1"/>
    <cellStyle name="镶边" xfId="7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图片 2" descr="冬天的建筑物和一棵树" title="页眉冬季"/>
        <xdr:cNvPicPr>
          <a:picLocks noChangeAspect="1"/>
        </xdr:cNvPicPr>
      </xdr:nvPicPr>
      <xdr:blipFill>
        <a:blip xmlns:r="http://schemas.openxmlformats.org/officeDocument/2006/relationships" r:embed="rId1" cstate="hqprint"/>
        <a:srcRect/>
        <a:stretch>
          <a:fillRect/>
        </a:stretch>
      </xdr:blipFill>
      <xdr:spPr>
        <a:xfrm>
          <a:off x="54483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冬天的建筑物和一棵树" title="页眉冬季"/>
        <xdr:cNvPicPr>
          <a:picLocks noChangeAspect="1"/>
        </xdr:cNvPicPr>
      </xdr:nvPicPr>
      <xdr:blipFill>
        <a:blip xmlns:r="http://schemas.openxmlformats.org/officeDocument/2006/relationships" r:embed="rId1" cstate="hqprint"/>
        <a:srcRect/>
        <a:stretch>
          <a:fillRect/>
        </a:stretch>
      </xdr:blipFill>
      <xdr:spPr>
        <a:xfrm>
          <a:off x="54483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6</xdr:col>
      <xdr:colOff>1419225</xdr:colOff>
      <xdr:row>1</xdr:row>
      <xdr:rowOff>1143000</xdr:rowOff>
    </xdr:to>
    <xdr:pic>
      <xdr:nvPicPr>
        <xdr:cNvPr id="3" name="图片 2" descr="春天的建筑物和一棵树" title="页眉春季"/>
        <xdr:cNvPicPr>
          <a:picLocks noChangeAspect="1"/>
        </xdr:cNvPicPr>
      </xdr:nvPicPr>
      <xdr:blipFill>
        <a:blip xmlns:r="http://schemas.openxmlformats.org/officeDocument/2006/relationships" r:embed="rId1" cstate="hqprint"/>
        <a:srcRect/>
        <a:stretch>
          <a:fillRect/>
        </a:stretch>
      </xdr:blipFill>
      <xdr:spPr>
        <a:xfrm>
          <a:off x="554355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6</xdr:col>
      <xdr:colOff>409575</xdr:colOff>
      <xdr:row>1</xdr:row>
      <xdr:rowOff>1143000</xdr:rowOff>
    </xdr:to>
    <xdr:pic>
      <xdr:nvPicPr>
        <xdr:cNvPr id="2" name="图片 1" descr="春天的建筑物和一棵树" title="页眉春季"/>
        <xdr:cNvPicPr>
          <a:picLocks noChangeAspect="1"/>
        </xdr:cNvPicPr>
      </xdr:nvPicPr>
      <xdr:blipFill>
        <a:blip xmlns:r="http://schemas.openxmlformats.org/officeDocument/2006/relationships" r:embed="rId1" cstate="hqprint"/>
        <a:srcRect/>
        <a:stretch>
          <a:fillRect/>
        </a:stretch>
      </xdr:blipFill>
      <xdr:spPr>
        <a:xfrm>
          <a:off x="9039225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8</xdr:col>
      <xdr:colOff>19050</xdr:colOff>
      <xdr:row>1</xdr:row>
      <xdr:rowOff>1143000</xdr:rowOff>
    </xdr:to>
    <xdr:pic>
      <xdr:nvPicPr>
        <xdr:cNvPr id="2" name="图片 1" descr="春天的建筑物和一棵树" title="页眉春季"/>
        <xdr:cNvPicPr>
          <a:picLocks noChangeAspect="1"/>
        </xdr:cNvPicPr>
      </xdr:nvPicPr>
      <xdr:blipFill>
        <a:blip xmlns:r="http://schemas.openxmlformats.org/officeDocument/2006/relationships" r:embed="rId1" cstate="hqprint"/>
        <a:srcRect/>
        <a:stretch>
          <a:fillRect/>
        </a:stretch>
      </xdr:blipFill>
      <xdr:spPr>
        <a:xfrm>
          <a:off x="12620625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图片 2" descr="夏天的建筑物和一棵树" title="页眉夏季"/>
        <xdr:cNvPicPr>
          <a:picLocks noChangeAspect="1"/>
        </xdr:cNvPicPr>
      </xdr:nvPicPr>
      <xdr:blipFill>
        <a:blip xmlns:r="http://schemas.openxmlformats.org/officeDocument/2006/relationships" r:embed="rId1" cstate="hqprint"/>
        <a:srcRect/>
        <a:stretch>
          <a:fillRect/>
        </a:stretch>
      </xdr:blipFill>
      <xdr:spPr>
        <a:xfrm>
          <a:off x="54483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6</xdr:col>
      <xdr:colOff>295275</xdr:colOff>
      <xdr:row>1</xdr:row>
      <xdr:rowOff>1143000</xdr:rowOff>
    </xdr:to>
    <xdr:pic>
      <xdr:nvPicPr>
        <xdr:cNvPr id="2" name="图片 1" descr="夏天的建筑物和一棵树" title="页眉夏季"/>
        <xdr:cNvPicPr>
          <a:picLocks noChangeAspect="1"/>
        </xdr:cNvPicPr>
      </xdr:nvPicPr>
      <xdr:blipFill>
        <a:blip xmlns:r="http://schemas.openxmlformats.org/officeDocument/2006/relationships" r:embed="rId1" cstate="hqprint"/>
        <a:srcRect/>
        <a:stretch>
          <a:fillRect/>
        </a:stretch>
      </xdr:blipFill>
      <xdr:spPr>
        <a:xfrm>
          <a:off x="7553325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6</xdr:col>
      <xdr:colOff>2733675</xdr:colOff>
      <xdr:row>1</xdr:row>
      <xdr:rowOff>1143000</xdr:rowOff>
    </xdr:to>
    <xdr:pic>
      <xdr:nvPicPr>
        <xdr:cNvPr id="2" name="图片 1" descr="夏天的建筑物和一棵树" title="页眉夏季"/>
        <xdr:cNvPicPr>
          <a:picLocks noChangeAspect="1"/>
        </xdr:cNvPicPr>
      </xdr:nvPicPr>
      <xdr:blipFill>
        <a:blip xmlns:r="http://schemas.openxmlformats.org/officeDocument/2006/relationships" r:embed="rId1" cstate="hqprint"/>
        <a:srcRect/>
        <a:stretch>
          <a:fillRect/>
        </a:stretch>
      </xdr:blipFill>
      <xdr:spPr>
        <a:xfrm>
          <a:off x="8543925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5</xdr:col>
      <xdr:colOff>4114800</xdr:colOff>
      <xdr:row>1</xdr:row>
      <xdr:rowOff>1143000</xdr:rowOff>
    </xdr:to>
    <xdr:pic>
      <xdr:nvPicPr>
        <xdr:cNvPr id="3" name="图片 2" descr="秋天的建筑物和一棵树" title="页眉​​秋季"/>
        <xdr:cNvPicPr>
          <a:picLocks noChangeAspect="1"/>
        </xdr:cNvPicPr>
      </xdr:nvPicPr>
      <xdr:blipFill>
        <a:blip xmlns:r="http://schemas.openxmlformats.org/officeDocument/2006/relationships" r:embed="rId1" cstate="hqprint"/>
        <a:srcRect/>
        <a:stretch>
          <a:fillRect/>
        </a:stretch>
      </xdr:blipFill>
      <xdr:spPr>
        <a:xfrm>
          <a:off x="5414010" y="114300"/>
          <a:ext cx="4187190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5</xdr:col>
      <xdr:colOff>1247775</xdr:colOff>
      <xdr:row>1</xdr:row>
      <xdr:rowOff>1143000</xdr:rowOff>
    </xdr:to>
    <xdr:pic>
      <xdr:nvPicPr>
        <xdr:cNvPr id="2" name="图片 1" descr="秋天的建筑物和一棵树" title="页眉​​秋季"/>
        <xdr:cNvPicPr>
          <a:picLocks noChangeAspect="1"/>
        </xdr:cNvPicPr>
      </xdr:nvPicPr>
      <xdr:blipFill>
        <a:blip xmlns:r="http://schemas.openxmlformats.org/officeDocument/2006/relationships" r:embed="rId1" cstate="hqprint"/>
        <a:srcRect/>
        <a:stretch>
          <a:fillRect/>
        </a:stretch>
      </xdr:blipFill>
      <xdr:spPr>
        <a:xfrm>
          <a:off x="5414010" y="114300"/>
          <a:ext cx="4187190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8</xdr:col>
      <xdr:colOff>95250</xdr:colOff>
      <xdr:row>1</xdr:row>
      <xdr:rowOff>1143000</xdr:rowOff>
    </xdr:to>
    <xdr:pic>
      <xdr:nvPicPr>
        <xdr:cNvPr id="2" name="图片 1" descr="秋天的建筑物和一棵树" title="页眉​​秋季"/>
        <xdr:cNvPicPr>
          <a:picLocks noChangeAspect="1"/>
        </xdr:cNvPicPr>
      </xdr:nvPicPr>
      <xdr:blipFill>
        <a:blip xmlns:r="http://schemas.openxmlformats.org/officeDocument/2006/relationships" r:embed="rId1" cstate="hqprint"/>
        <a:srcRect/>
        <a:stretch>
          <a:fillRect/>
        </a:stretch>
      </xdr:blipFill>
      <xdr:spPr>
        <a:xfrm>
          <a:off x="5414010" y="114300"/>
          <a:ext cx="4187190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冬天的建筑物和一棵树" title="页眉冬季"/>
        <xdr:cNvPicPr>
          <a:picLocks noChangeAspect="1"/>
        </xdr:cNvPicPr>
      </xdr:nvPicPr>
      <xdr:blipFill>
        <a:blip xmlns:r="http://schemas.openxmlformats.org/officeDocument/2006/relationships" r:embed="rId1" cstate="hqprint"/>
        <a:srcRect/>
        <a:stretch>
          <a:fillRect/>
        </a:stretch>
      </xdr:blipFill>
      <xdr:spPr>
        <a:xfrm>
          <a:off x="5448300" y="114300"/>
          <a:ext cx="41529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5">
      <a:majorFont>
        <a:latin typeface="Cambria"/>
        <a:ea typeface=""/>
        <a:cs typeface=""/>
      </a:majorFont>
      <a:minorFont>
        <a:latin typeface="Lucida Br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L15"/>
  <sheetViews>
    <sheetView showGridLines="0" showRowColHeaders="0" topLeftCell="A10" workbookViewId="0">
      <selection activeCell="D7" sqref="D7"/>
    </sheetView>
  </sheetViews>
  <sheetFormatPr defaultColWidth="8.88671875" defaultRowHeight="16.5" x14ac:dyDescent="0.3"/>
  <cols>
    <col min="1" max="1" width="1.77734375" style="5" customWidth="1"/>
    <col min="2" max="8" width="15.44140625" style="5" customWidth="1"/>
    <col min="9" max="9" width="1.77734375" style="1" customWidth="1"/>
    <col min="10" max="10" width="8.77734375" style="1" customWidth="1"/>
    <col min="11" max="12" width="12.44140625" style="1" customWidth="1"/>
    <col min="13" max="13" width="1.77734375" style="1" customWidth="1"/>
    <col min="14" max="16384" width="8.88671875" style="1"/>
  </cols>
  <sheetData>
    <row r="1" spans="1:12" ht="9" customHeight="1" x14ac:dyDescent="0.3">
      <c r="I1" s="1" t="s">
        <v>0</v>
      </c>
    </row>
    <row r="2" spans="1:12" ht="100.5" customHeight="1" x14ac:dyDescent="0.3">
      <c r="B2" s="55" t="str">
        <f>CalendarYear&amp;"年"&amp;"1月 "</f>
        <v xml:space="preserve">2020年1月 </v>
      </c>
      <c r="C2" s="55"/>
      <c r="D2" s="55"/>
      <c r="E2" s="6"/>
      <c r="F2" s="6"/>
      <c r="G2" s="6"/>
      <c r="H2" s="7"/>
    </row>
    <row r="3" spans="1:12" s="2" customFormat="1" ht="19.5" customHeight="1" x14ac:dyDescent="0.3">
      <c r="A3" s="5"/>
      <c r="B3" s="8" t="str">
        <f>WeekStart</f>
        <v>星期日</v>
      </c>
      <c r="C3" s="8" t="str">
        <f t="shared" ref="C3:H3" si="0">TEXT(C4,"aaaa")</f>
        <v>星期一</v>
      </c>
      <c r="D3" s="8" t="str">
        <f t="shared" si="0"/>
        <v>星期二</v>
      </c>
      <c r="E3" s="8" t="str">
        <f t="shared" si="0"/>
        <v>星期三</v>
      </c>
      <c r="F3" s="8" t="str">
        <f t="shared" si="0"/>
        <v>星期四</v>
      </c>
      <c r="G3" s="8" t="str">
        <f t="shared" si="0"/>
        <v>星期五</v>
      </c>
      <c r="H3" s="8" t="str">
        <f t="shared" si="0"/>
        <v>星期六</v>
      </c>
      <c r="K3" s="56" t="s">
        <v>1</v>
      </c>
      <c r="L3" s="56"/>
    </row>
    <row r="4" spans="1:12" s="3" customFormat="1" ht="19.5" customHeight="1" x14ac:dyDescent="0.3">
      <c r="A4" s="9"/>
      <c r="B4" s="10">
        <f t="array" ref="B4:H4">DaysAndWeeks+DATE(CalendarYear,1,1)-WEEKDAY(DATE(CalendarYear,1,1),(WeekStart="星期一")+1)+1</f>
        <v>43828</v>
      </c>
      <c r="C4" s="10">
        <v>43829</v>
      </c>
      <c r="D4" s="10">
        <v>43830</v>
      </c>
      <c r="E4" s="10">
        <v>43831</v>
      </c>
      <c r="F4" s="10">
        <v>43832</v>
      </c>
      <c r="G4" s="10">
        <v>43833</v>
      </c>
      <c r="H4" s="10">
        <v>43834</v>
      </c>
      <c r="K4" s="33" t="s">
        <v>2</v>
      </c>
      <c r="L4" s="34" t="s">
        <v>3</v>
      </c>
    </row>
    <row r="5" spans="1:12" s="4" customFormat="1" ht="66" x14ac:dyDescent="0.3">
      <c r="A5" s="11"/>
      <c r="B5" s="12"/>
      <c r="C5" s="12"/>
      <c r="D5" s="12"/>
      <c r="E5" s="12" t="s">
        <v>4</v>
      </c>
      <c r="F5" s="19" t="s">
        <v>5</v>
      </c>
      <c r="G5" s="19" t="s">
        <v>6</v>
      </c>
      <c r="H5" s="12"/>
      <c r="K5" s="35">
        <v>2020</v>
      </c>
      <c r="L5" s="36" t="s">
        <v>7</v>
      </c>
    </row>
    <row r="6" spans="1:12" s="3" customFormat="1" ht="17.25" x14ac:dyDescent="0.3">
      <c r="A6" s="9"/>
      <c r="B6" s="13">
        <f t="array" ref="B6:H6">DaysAndWeeks+DATE(CalendarYear,1,1)-WEEKDAY(DATE(CalendarYear,1,1),(WeekStart="星期一")+1)+8</f>
        <v>43835</v>
      </c>
      <c r="C6" s="13">
        <v>43836</v>
      </c>
      <c r="D6" s="13">
        <v>43837</v>
      </c>
      <c r="E6" s="13">
        <v>43838</v>
      </c>
      <c r="F6" s="13">
        <v>43839</v>
      </c>
      <c r="G6" s="13">
        <v>43840</v>
      </c>
      <c r="H6" s="13">
        <v>43841</v>
      </c>
    </row>
    <row r="7" spans="1:12" s="4" customFormat="1" ht="148.5" x14ac:dyDescent="0.3">
      <c r="A7" s="11"/>
      <c r="B7" s="14"/>
      <c r="C7" s="31" t="s">
        <v>8</v>
      </c>
      <c r="D7" s="31" t="s">
        <v>9</v>
      </c>
      <c r="E7" s="32" t="s">
        <v>10</v>
      </c>
      <c r="F7" s="31" t="s">
        <v>11</v>
      </c>
      <c r="G7" s="31" t="s">
        <v>12</v>
      </c>
      <c r="H7" s="14"/>
    </row>
    <row r="8" spans="1:12" s="3" customFormat="1" ht="19.5" customHeight="1" x14ac:dyDescent="0.3">
      <c r="A8" s="9"/>
      <c r="B8" s="10">
        <f t="array" ref="B8:H8">DaysAndWeeks+DATE(CalendarYear,1,1)-WEEKDAY(DATE(CalendarYear,1,1),(WeekStart="星期一")+1)+15</f>
        <v>43842</v>
      </c>
      <c r="C8" s="10">
        <v>43843</v>
      </c>
      <c r="D8" s="10">
        <v>43844</v>
      </c>
      <c r="E8" s="10">
        <v>43845</v>
      </c>
      <c r="F8" s="10">
        <v>43846</v>
      </c>
      <c r="G8" s="10">
        <v>43847</v>
      </c>
      <c r="H8" s="10">
        <v>43848</v>
      </c>
    </row>
    <row r="9" spans="1:12" s="4" customFormat="1" ht="148.5" x14ac:dyDescent="0.3">
      <c r="A9" s="11"/>
      <c r="B9" s="15"/>
      <c r="C9" s="21" t="s">
        <v>13</v>
      </c>
      <c r="D9" s="21" t="s">
        <v>14</v>
      </c>
      <c r="E9" s="21" t="s">
        <v>15</v>
      </c>
      <c r="F9" s="57" t="s">
        <v>16</v>
      </c>
      <c r="G9" s="58"/>
      <c r="H9" s="15"/>
    </row>
    <row r="10" spans="1:12" s="3" customFormat="1" ht="19.5" customHeight="1" x14ac:dyDescent="0.3">
      <c r="A10" s="9"/>
      <c r="B10" s="13">
        <f t="array" ref="B10:H10">DaysAndWeeks+DATE(CalendarYear,1,1)-WEEKDAY(DATE(CalendarYear,1,1),(WeekStart="星期一")+1)+22</f>
        <v>43849</v>
      </c>
      <c r="C10" s="13">
        <v>43850</v>
      </c>
      <c r="D10" s="13">
        <v>43851</v>
      </c>
      <c r="E10" s="13">
        <v>43852</v>
      </c>
      <c r="F10" s="13">
        <v>43853</v>
      </c>
      <c r="G10" s="13">
        <v>43854</v>
      </c>
      <c r="H10" s="13">
        <v>43855</v>
      </c>
    </row>
    <row r="11" spans="1:12" s="4" customFormat="1" ht="66" x14ac:dyDescent="0.3">
      <c r="A11" s="11"/>
      <c r="B11" s="31" t="s">
        <v>17</v>
      </c>
      <c r="C11" s="31" t="s">
        <v>18</v>
      </c>
      <c r="D11" s="31" t="s">
        <v>19</v>
      </c>
      <c r="E11" s="14"/>
      <c r="F11" s="14"/>
      <c r="G11" s="14"/>
      <c r="H11" s="14"/>
    </row>
    <row r="12" spans="1:12" s="3" customFormat="1" ht="19.5" customHeight="1" x14ac:dyDescent="0.3">
      <c r="A12" s="9"/>
      <c r="B12" s="10">
        <f t="array" ref="B12:H12">DaysAndWeeks+DATE(CalendarYear,1,1)-WEEKDAY(DATE(CalendarYear,1,1),(WeekStart="星期一")+1)+29</f>
        <v>43856</v>
      </c>
      <c r="C12" s="10">
        <v>43857</v>
      </c>
      <c r="D12" s="10">
        <v>43858</v>
      </c>
      <c r="E12" s="10">
        <v>43859</v>
      </c>
      <c r="F12" s="10">
        <v>43860</v>
      </c>
      <c r="G12" s="10">
        <v>43861</v>
      </c>
      <c r="H12" s="10">
        <v>43862</v>
      </c>
    </row>
    <row r="13" spans="1:12" s="4" customFormat="1" ht="48" customHeight="1" x14ac:dyDescent="0.3">
      <c r="A13" s="11"/>
      <c r="B13" s="15"/>
      <c r="C13" s="15"/>
      <c r="D13" s="15"/>
      <c r="E13" s="15"/>
      <c r="F13" s="15"/>
      <c r="G13" s="15"/>
      <c r="H13" s="15"/>
    </row>
    <row r="14" spans="1:12" s="3" customFormat="1" ht="19.5" customHeight="1" x14ac:dyDescent="0.3">
      <c r="A14" s="9"/>
      <c r="B14" s="13">
        <f t="array" ref="B14:C14">DaysAndWeeks+DATE(CalendarYear,1,1)-WEEKDAY(DATE(CalendarYear,1,1),(WeekStart="星期一")+1)+36</f>
        <v>43863</v>
      </c>
      <c r="C14" s="13">
        <v>43864</v>
      </c>
      <c r="D14" s="59" t="s">
        <v>20</v>
      </c>
      <c r="E14" s="59"/>
      <c r="F14" s="59"/>
      <c r="G14" s="59"/>
      <c r="H14" s="59"/>
    </row>
    <row r="15" spans="1:12" s="4" customFormat="1" ht="48" customHeight="1" x14ac:dyDescent="0.3">
      <c r="A15" s="11"/>
      <c r="B15" s="14"/>
      <c r="C15" s="14"/>
      <c r="D15" s="60"/>
      <c r="E15" s="60"/>
      <c r="F15" s="60"/>
      <c r="G15" s="60"/>
      <c r="H15" s="60"/>
    </row>
  </sheetData>
  <mergeCells count="5">
    <mergeCell ref="B2:D2"/>
    <mergeCell ref="K3:L3"/>
    <mergeCell ref="F9:G9"/>
    <mergeCell ref="D14:H14"/>
    <mergeCell ref="D15:H15"/>
  </mergeCells>
  <phoneticPr fontId="24" type="noConversion"/>
  <conditionalFormatting sqref="B4:G4">
    <cfRule type="expression" dxfId="23" priority="23">
      <formula>DAY(B4)&gt;8</formula>
    </cfRule>
  </conditionalFormatting>
  <conditionalFormatting sqref="B12:H12 B14:C14">
    <cfRule type="expression" dxfId="22" priority="24">
      <formula>AND(DAY(B12)&gt;=1,DAY(B12)&lt;=15)</formula>
    </cfRule>
  </conditionalFormatting>
  <dataValidations count="13">
    <dataValidation allowBlank="1" showInputMessage="1" showErrorMessage="1" prompt="在下方单元格中输入年份" sqref="K4"/>
    <dataValidation allowBlank="1" showInputMessage="1" showErrorMessage="1" prompt="输入年份，并在下面的单元格中选择日历开始日期。这些日历设置单元格将不会打印" sqref="K3"/>
    <dataValidation allowBlank="1" showInputMessage="1" showErrorMessage="1" prompt="在此工作簿中创建自定义的单月日历。使用此“1 月”工作表自定义年份以及所有月份的周开始日期。每月均位于单独的工作表上。" sqref="A1"/>
    <dataValidation allowBlank="1" showInputMessage="1" showErrorMessage="1" prompt="根据单元格 K5 中输入的年份自动更新此单元格中的年份。下方的日历具有上个月和下个月的日期，字体底纹较浅。" sqref="B2:D2"/>
    <dataValidation allowBlank="1" showInputMessage="1" showErrorMessage="1" prompt="此行包含此日历的工作日名称。此单元格包含一周的开始日期。若要更改周开始日期，请在此工作表的单元格 L5 中输入一个新的工作日。" sqref="B3"/>
    <dataValidation allowBlank="1" showInputMessage="1" showErrorMessage="1" prompt="自动确定工作日" sqref="C3:H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showErrorMessage="1" prompt="在下方单元格中选择周开始日期" sqref="L4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在此单元格中输入年份" sqref="K5"/>
    <dataValidation allowBlank="1" showInputMessage="1" prompt="在此单元格中输入每月备注" sqref="D15:H15"/>
    <dataValidation type="list" errorStyle="warning" allowBlank="1" showInputMessage="1" showErrorMessage="1" error="从列表中选择一天。选择“取消”，然后按 Alt+向下箭头键从下拉列表中选择一天" prompt="在此单元格中选择周开始日期。按 Alt+向下箭头键打开下拉列表，按向下箭头键，然后按 Enter 进行选择" sqref="L5">
      <formula1>"星期日, 星期一"</formula1>
    </dataValidation>
    <dataValidation allowBlank="1" showInputMessage="1" prompt="在下方单元格中输入每月备注" sqref="D14:H14"/>
  </dataValidations>
  <printOptions horizontalCentered="1"/>
  <pageMargins left="0.25" right="0.25" top="0.5" bottom="0.5" header="0.3" footer="0.3"/>
  <pageSetup paperSize="9" orientation="landscape"/>
  <headerFooter differentFirst="1"/>
  <customProperties>
    <customPr name="SheetChanged" r:id="rId1"/>
  </customPropertie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I15"/>
  <sheetViews>
    <sheetView showGridLines="0" showRowColHeaders="0" topLeftCell="A7" workbookViewId="0">
      <selection activeCell="D7" sqref="D7"/>
    </sheetView>
  </sheetViews>
  <sheetFormatPr defaultColWidth="8.88671875" defaultRowHeight="16.5" x14ac:dyDescent="0.3"/>
  <cols>
    <col min="1" max="1" width="1.77734375" style="5" customWidth="1"/>
    <col min="2" max="8" width="15.44140625" style="5" customWidth="1"/>
    <col min="9" max="9" width="1.77734375" style="5" customWidth="1"/>
    <col min="10" max="16384" width="8.88671875" style="5"/>
  </cols>
  <sheetData>
    <row r="1" spans="1:9" ht="9" customHeight="1" x14ac:dyDescent="0.3">
      <c r="I1" s="5" t="s">
        <v>0</v>
      </c>
    </row>
    <row r="2" spans="1:9" s="1" customFormat="1" ht="100.5" customHeight="1" x14ac:dyDescent="0.3">
      <c r="B2" s="55" t="str">
        <f>CalendarYear&amp;"年"&amp;"2月 "</f>
        <v xml:space="preserve">2020年2月 </v>
      </c>
      <c r="C2" s="55"/>
      <c r="D2" s="55"/>
      <c r="E2" s="6"/>
      <c r="F2" s="6"/>
      <c r="G2" s="6"/>
      <c r="H2" s="7"/>
    </row>
    <row r="3" spans="1:9" s="2" customFormat="1" ht="19.5" customHeight="1" x14ac:dyDescent="0.3">
      <c r="A3" s="5"/>
      <c r="B3" s="8" t="str">
        <f>WeekStart</f>
        <v>星期日</v>
      </c>
      <c r="C3" s="8" t="str">
        <f t="shared" ref="C3:H3" si="0">TEXT(C4,"aaaa")</f>
        <v>星期一</v>
      </c>
      <c r="D3" s="8" t="str">
        <f t="shared" si="0"/>
        <v>星期二</v>
      </c>
      <c r="E3" s="8" t="str">
        <f t="shared" si="0"/>
        <v>星期三</v>
      </c>
      <c r="F3" s="8" t="str">
        <f t="shared" si="0"/>
        <v>星期四</v>
      </c>
      <c r="G3" s="8" t="str">
        <f t="shared" si="0"/>
        <v>星期五</v>
      </c>
      <c r="H3" s="8" t="str">
        <f t="shared" si="0"/>
        <v>星期六</v>
      </c>
    </row>
    <row r="4" spans="1:9" s="3" customFormat="1" ht="19.5" customHeight="1" x14ac:dyDescent="0.3">
      <c r="A4" s="9"/>
      <c r="B4" s="10">
        <f t="array" ref="B4:H4">DaysAndWeeks+DATE(CalendarYear,2,1)-WEEKDAY(DATE(CalendarYear,2,1),(WeekStart="星期一")+1)+1</f>
        <v>43856</v>
      </c>
      <c r="C4" s="10">
        <v>43857</v>
      </c>
      <c r="D4" s="10">
        <v>43858</v>
      </c>
      <c r="E4" s="10">
        <v>43859</v>
      </c>
      <c r="F4" s="10">
        <v>43860</v>
      </c>
      <c r="G4" s="10">
        <v>43861</v>
      </c>
      <c r="H4" s="10">
        <v>43862</v>
      </c>
    </row>
    <row r="5" spans="1:9" s="4" customFormat="1" ht="48" customHeight="1" x14ac:dyDescent="0.3">
      <c r="A5" s="11"/>
      <c r="B5" s="12"/>
      <c r="C5" s="12"/>
      <c r="D5" s="12"/>
      <c r="E5" s="12"/>
      <c r="F5" s="12"/>
      <c r="G5" s="12"/>
      <c r="H5" s="12"/>
    </row>
    <row r="6" spans="1:9" s="3" customFormat="1" ht="19.5" customHeight="1" x14ac:dyDescent="0.3">
      <c r="A6" s="9"/>
      <c r="B6" s="13">
        <f t="array" ref="B6:H6">DaysAndWeeks+DATE(CalendarYear,2,1)-WEEKDAY(DATE(CalendarYear,2,1),(WeekStart="星期一")+1)+8</f>
        <v>43863</v>
      </c>
      <c r="C6" s="13">
        <v>43864</v>
      </c>
      <c r="D6" s="13">
        <v>43865</v>
      </c>
      <c r="E6" s="13">
        <v>43866</v>
      </c>
      <c r="F6" s="13">
        <v>43867</v>
      </c>
      <c r="G6" s="13">
        <v>43868</v>
      </c>
      <c r="H6" s="13">
        <v>43869</v>
      </c>
    </row>
    <row r="7" spans="1:9" s="4" customFormat="1" ht="48" customHeight="1" x14ac:dyDescent="0.3">
      <c r="A7" s="11"/>
      <c r="B7" s="14"/>
      <c r="C7" s="31"/>
      <c r="D7" s="14"/>
      <c r="E7" s="14"/>
      <c r="F7" s="14"/>
      <c r="G7" s="14"/>
      <c r="H7" s="14"/>
    </row>
    <row r="8" spans="1:9" s="3" customFormat="1" ht="19.5" customHeight="1" x14ac:dyDescent="0.3">
      <c r="A8" s="9"/>
      <c r="B8" s="10">
        <f t="array" ref="B8:H8">DaysAndWeeks+DATE(CalendarYear,2,1)-WEEKDAY(DATE(CalendarYear,2,1),(WeekStart="星期一")+1)+15</f>
        <v>43870</v>
      </c>
      <c r="C8" s="10">
        <v>43871</v>
      </c>
      <c r="D8" s="10">
        <v>43872</v>
      </c>
      <c r="E8" s="10">
        <v>43873</v>
      </c>
      <c r="F8" s="10">
        <v>43874</v>
      </c>
      <c r="G8" s="10">
        <v>43875</v>
      </c>
      <c r="H8" s="10">
        <v>43876</v>
      </c>
    </row>
    <row r="9" spans="1:9" s="4" customFormat="1" ht="48" customHeight="1" x14ac:dyDescent="0.3">
      <c r="A9" s="11"/>
      <c r="B9" s="15"/>
      <c r="C9" s="15"/>
      <c r="D9" s="15"/>
      <c r="E9" s="15"/>
      <c r="F9" s="15"/>
      <c r="G9" s="15"/>
      <c r="H9" s="15"/>
    </row>
    <row r="10" spans="1:9" s="3" customFormat="1" ht="19.5" customHeight="1" x14ac:dyDescent="0.3">
      <c r="A10" s="9"/>
      <c r="B10" s="13">
        <f t="array" ref="B10:H10">DaysAndWeeks+DATE(CalendarYear,2,1)-WEEKDAY(DATE(CalendarYear,2,1),(WeekStart="星期一")+1)+22</f>
        <v>43877</v>
      </c>
      <c r="C10" s="13">
        <v>43878</v>
      </c>
      <c r="D10" s="13">
        <v>43879</v>
      </c>
      <c r="E10" s="13">
        <v>43880</v>
      </c>
      <c r="F10" s="13">
        <v>43881</v>
      </c>
      <c r="G10" s="13">
        <v>43882</v>
      </c>
      <c r="H10" s="13">
        <v>43883</v>
      </c>
    </row>
    <row r="11" spans="1:9" s="4" customFormat="1" ht="48" customHeight="1" x14ac:dyDescent="0.3">
      <c r="A11" s="11"/>
      <c r="B11" s="14"/>
      <c r="C11" s="14"/>
      <c r="D11" s="14"/>
      <c r="E11" s="14"/>
      <c r="F11" s="14"/>
      <c r="G11" s="14"/>
      <c r="H11" s="14"/>
    </row>
    <row r="12" spans="1:9" s="3" customFormat="1" ht="19.5" customHeight="1" x14ac:dyDescent="0.3">
      <c r="A12" s="9"/>
      <c r="B12" s="10">
        <f t="array" ref="B12:H12">DaysAndWeeks+DATE(CalendarYear,2,1)-WEEKDAY(DATE(CalendarYear,2,1),(WeekStart="星期一")+1)+29</f>
        <v>43884</v>
      </c>
      <c r="C12" s="10">
        <v>43885</v>
      </c>
      <c r="D12" s="10">
        <v>43886</v>
      </c>
      <c r="E12" s="10">
        <v>43887</v>
      </c>
      <c r="F12" s="10">
        <v>43888</v>
      </c>
      <c r="G12" s="10">
        <v>43889</v>
      </c>
      <c r="H12" s="10">
        <v>43890</v>
      </c>
    </row>
    <row r="13" spans="1:9" s="4" customFormat="1" ht="48" customHeight="1" x14ac:dyDescent="0.3">
      <c r="A13" s="11"/>
      <c r="B13" s="15"/>
      <c r="C13" s="15"/>
      <c r="D13" s="15"/>
      <c r="E13" s="15"/>
      <c r="F13" s="15"/>
      <c r="G13" s="15"/>
      <c r="H13" s="15"/>
    </row>
    <row r="14" spans="1:9" s="3" customFormat="1" ht="19.5" customHeight="1" x14ac:dyDescent="0.3">
      <c r="A14" s="9"/>
      <c r="B14" s="13">
        <f t="array" ref="B14:C14">DaysAndWeeks+DATE(CalendarYear,2,1)-WEEKDAY(DATE(CalendarYear,2,1),(WeekStart="星期一")+1)+36</f>
        <v>43891</v>
      </c>
      <c r="C14" s="13">
        <v>43892</v>
      </c>
      <c r="D14" s="59" t="s">
        <v>20</v>
      </c>
      <c r="E14" s="59"/>
      <c r="F14" s="59"/>
      <c r="G14" s="59"/>
      <c r="H14" s="59"/>
    </row>
    <row r="15" spans="1:9" s="4" customFormat="1" ht="48" customHeight="1" x14ac:dyDescent="0.3">
      <c r="A15" s="11"/>
      <c r="B15" s="14"/>
      <c r="C15" s="14"/>
      <c r="D15" s="60"/>
      <c r="E15" s="60"/>
      <c r="F15" s="60"/>
      <c r="G15" s="60"/>
      <c r="H15" s="60"/>
    </row>
  </sheetData>
  <mergeCells count="3">
    <mergeCell ref="B2:D2"/>
    <mergeCell ref="D14:H14"/>
    <mergeCell ref="D15:H15"/>
  </mergeCells>
  <phoneticPr fontId="24" type="noConversion"/>
  <conditionalFormatting sqref="B4:G4">
    <cfRule type="expression" dxfId="21" priority="1">
      <formula>DAY(B4)&gt;8</formula>
    </cfRule>
  </conditionalFormatting>
  <conditionalFormatting sqref="B12:H12 B14:C14">
    <cfRule type="expression" dxfId="20" priority="2">
      <formula>AND(DAY(B12)&gt;=1,DAY(B12)&lt;=15)</formula>
    </cfRule>
  </conditionalFormatting>
  <dataValidations count="8">
    <dataValidation allowBlank="1" showInputMessage="1" prompt="在下方单元格中输入每月备注" sqref="D14:H14"/>
    <dataValidation allowBlank="1" showInputMessage="1" showErrorMessage="1" prompt="2 月日历" sqref="A1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showErrorMessage="1" prompt="自动确定工作日" sqref="C3:H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prompt="在此单元格中输入每月备注" sqref="D15:H15"/>
  </dataValidations>
  <printOptions horizontalCentered="1"/>
  <pageMargins left="0.25" right="0.25" top="0.5" bottom="0.5" header="0.3" footer="0.3"/>
  <pageSetup paperSize="9" orientation="landscape"/>
  <headerFooter differentFirs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1:I15"/>
  <sheetViews>
    <sheetView showGridLines="0" showRowColHeaders="0" topLeftCell="A10" workbookViewId="0">
      <selection activeCell="E11" sqref="E11"/>
    </sheetView>
  </sheetViews>
  <sheetFormatPr defaultColWidth="8.88671875" defaultRowHeight="16.5" x14ac:dyDescent="0.3"/>
  <cols>
    <col min="1" max="1" width="1.77734375" style="5" customWidth="1"/>
    <col min="2" max="2" width="15.44140625" style="5" customWidth="1"/>
    <col min="3" max="3" width="15.33203125" style="5" customWidth="1"/>
    <col min="4" max="4" width="16.77734375" style="5" customWidth="1"/>
    <col min="5" max="5" width="15.33203125" style="5" customWidth="1"/>
    <col min="6" max="6" width="31.88671875" style="5" customWidth="1"/>
    <col min="7" max="7" width="20.44140625" style="5" customWidth="1"/>
    <col min="8" max="8" width="15.44140625" style="5" customWidth="1"/>
    <col min="9" max="9" width="1.77734375" style="5" customWidth="1"/>
    <col min="10" max="10" width="10.6640625" style="5" customWidth="1"/>
    <col min="11" max="16384" width="8.88671875" style="5"/>
  </cols>
  <sheetData>
    <row r="1" spans="1:9" ht="9" customHeight="1" x14ac:dyDescent="0.3">
      <c r="I1" s="5" t="s">
        <v>0</v>
      </c>
    </row>
    <row r="2" spans="1:9" s="1" customFormat="1" ht="100.5" customHeight="1" x14ac:dyDescent="0.3">
      <c r="B2" s="61" t="str">
        <f>CalendarYear&amp;"年"&amp;"3月 "</f>
        <v xml:space="preserve">2020年3月 </v>
      </c>
      <c r="C2" s="61"/>
      <c r="D2" s="61"/>
      <c r="E2" s="6"/>
      <c r="F2" s="6"/>
      <c r="G2" s="6"/>
      <c r="H2" s="7"/>
    </row>
    <row r="3" spans="1:9" s="2" customFormat="1" ht="19.5" customHeight="1" x14ac:dyDescent="0.3">
      <c r="A3" s="5"/>
      <c r="B3" s="27" t="str">
        <f>WeekStart</f>
        <v>星期日</v>
      </c>
      <c r="C3" s="27" t="str">
        <f t="shared" ref="C3:H3" si="0">TEXT(C4,"aaaa")</f>
        <v>星期一</v>
      </c>
      <c r="D3" s="27" t="str">
        <f t="shared" si="0"/>
        <v>星期二</v>
      </c>
      <c r="E3" s="27" t="str">
        <f t="shared" si="0"/>
        <v>星期三</v>
      </c>
      <c r="F3" s="27" t="str">
        <f t="shared" si="0"/>
        <v>星期四</v>
      </c>
      <c r="G3" s="27" t="str">
        <f t="shared" si="0"/>
        <v>星期五</v>
      </c>
      <c r="H3" s="27" t="str">
        <f t="shared" si="0"/>
        <v>星期六</v>
      </c>
    </row>
    <row r="4" spans="1:9" s="3" customFormat="1" ht="19.5" customHeight="1" x14ac:dyDescent="0.3">
      <c r="A4" s="9"/>
      <c r="B4" s="10">
        <f t="array" ref="B4:H4">DaysAndWeeks+DATE(CalendarYear,3,1)-WEEKDAY(DATE(CalendarYear,3,1),(WeekStart="星期一")+1)+1</f>
        <v>43891</v>
      </c>
      <c r="C4" s="10">
        <v>43892</v>
      </c>
      <c r="D4" s="10">
        <v>43893</v>
      </c>
      <c r="E4" s="10">
        <v>43894</v>
      </c>
      <c r="F4" s="10">
        <v>43895</v>
      </c>
      <c r="G4" s="10">
        <v>43896</v>
      </c>
      <c r="H4" s="10">
        <v>43897</v>
      </c>
    </row>
    <row r="5" spans="1:9" s="4" customFormat="1" ht="48" customHeight="1" x14ac:dyDescent="0.3">
      <c r="A5" s="11"/>
      <c r="B5" s="12"/>
      <c r="C5" s="62" t="s">
        <v>21</v>
      </c>
      <c r="D5" s="62"/>
      <c r="E5" s="62"/>
      <c r="F5" s="62"/>
      <c r="G5" s="62"/>
      <c r="H5" s="12"/>
    </row>
    <row r="6" spans="1:9" s="3" customFormat="1" ht="19.5" customHeight="1" x14ac:dyDescent="0.3">
      <c r="A6" s="9"/>
      <c r="B6" s="28">
        <f t="array" ref="B6:H6">DaysAndWeeks+DATE(CalendarYear,3,1)-WEEKDAY(DATE(CalendarYear,3,1),(WeekStart="星期一")+1)+8</f>
        <v>43898</v>
      </c>
      <c r="C6" s="28">
        <v>43899</v>
      </c>
      <c r="D6" s="28">
        <v>43900</v>
      </c>
      <c r="E6" s="28">
        <v>43901</v>
      </c>
      <c r="F6" s="28">
        <v>43902</v>
      </c>
      <c r="G6" s="28">
        <v>43903</v>
      </c>
      <c r="H6" s="28">
        <v>43904</v>
      </c>
    </row>
    <row r="7" spans="1:9" s="4" customFormat="1" ht="48" customHeight="1" x14ac:dyDescent="0.3">
      <c r="A7" s="11"/>
      <c r="B7" s="29"/>
      <c r="C7" s="63" t="s">
        <v>21</v>
      </c>
      <c r="D7" s="63"/>
      <c r="E7" s="63"/>
      <c r="F7" s="63"/>
      <c r="G7" s="63"/>
      <c r="H7" s="29"/>
    </row>
    <row r="8" spans="1:9" s="3" customFormat="1" ht="19.5" customHeight="1" x14ac:dyDescent="0.3">
      <c r="A8" s="9"/>
      <c r="B8" s="10">
        <f t="array" ref="B8:H8">DaysAndWeeks+DATE(CalendarYear,3,1)-WEEKDAY(DATE(CalendarYear,3,1),(WeekStart="星期一")+1)+15</f>
        <v>43905</v>
      </c>
      <c r="C8" s="10">
        <v>43906</v>
      </c>
      <c r="D8" s="10">
        <v>43907</v>
      </c>
      <c r="E8" s="10">
        <v>43908</v>
      </c>
      <c r="F8" s="10">
        <v>43909</v>
      </c>
      <c r="G8" s="10">
        <v>43910</v>
      </c>
      <c r="H8" s="10">
        <v>43911</v>
      </c>
    </row>
    <row r="9" spans="1:9" s="4" customFormat="1" ht="99" x14ac:dyDescent="0.3">
      <c r="A9" s="11"/>
      <c r="B9" s="15"/>
      <c r="C9" s="21" t="s">
        <v>22</v>
      </c>
      <c r="D9" s="21" t="s">
        <v>23</v>
      </c>
      <c r="E9" s="21" t="s">
        <v>24</v>
      </c>
      <c r="F9" s="15" t="s">
        <v>25</v>
      </c>
      <c r="G9" s="15" t="s">
        <v>26</v>
      </c>
      <c r="H9" s="15"/>
    </row>
    <row r="10" spans="1:9" s="3" customFormat="1" ht="17.25" x14ac:dyDescent="0.3">
      <c r="A10" s="9"/>
      <c r="B10" s="28">
        <f t="array" ref="B10:H10">DaysAndWeeks+DATE(CalendarYear,3,1)-WEEKDAY(DATE(CalendarYear,3,1),(WeekStart="星期一")+1)+22</f>
        <v>43912</v>
      </c>
      <c r="C10" s="28">
        <v>43913</v>
      </c>
      <c r="D10" s="28">
        <v>43914</v>
      </c>
      <c r="E10" s="28">
        <v>43915</v>
      </c>
      <c r="F10" s="28">
        <v>43916</v>
      </c>
      <c r="G10" s="28">
        <v>43917</v>
      </c>
      <c r="H10" s="28">
        <v>43918</v>
      </c>
    </row>
    <row r="11" spans="1:9" s="4" customFormat="1" ht="148.5" x14ac:dyDescent="0.3">
      <c r="A11" s="11"/>
      <c r="B11" s="29"/>
      <c r="C11" s="30" t="s">
        <v>27</v>
      </c>
      <c r="D11" s="30" t="s">
        <v>28</v>
      </c>
      <c r="E11" s="30" t="s">
        <v>29</v>
      </c>
      <c r="F11" s="30" t="s">
        <v>30</v>
      </c>
      <c r="G11" s="30" t="s">
        <v>31</v>
      </c>
      <c r="H11" s="29"/>
    </row>
    <row r="12" spans="1:9" s="3" customFormat="1" ht="17.25" x14ac:dyDescent="0.3">
      <c r="A12" s="9"/>
      <c r="B12" s="10">
        <f t="array" ref="B12:H12">DaysAndWeeks+DATE(CalendarYear,3,1)-WEEKDAY(DATE(CalendarYear,3,1),(WeekStart="星期一")+1)+29</f>
        <v>43919</v>
      </c>
      <c r="C12" s="10">
        <v>43920</v>
      </c>
      <c r="D12" s="10">
        <v>43921</v>
      </c>
      <c r="E12" s="10">
        <v>43922</v>
      </c>
      <c r="F12" s="10">
        <v>43923</v>
      </c>
      <c r="G12" s="10">
        <v>43924</v>
      </c>
      <c r="H12" s="10">
        <v>43925</v>
      </c>
    </row>
    <row r="13" spans="1:9" s="4" customFormat="1" ht="297" x14ac:dyDescent="0.3">
      <c r="A13" s="11"/>
      <c r="B13" s="15"/>
      <c r="C13" s="19" t="s">
        <v>32</v>
      </c>
      <c r="D13" s="19" t="s">
        <v>33</v>
      </c>
      <c r="E13" s="15"/>
      <c r="F13" s="15"/>
      <c r="G13" s="15"/>
      <c r="H13" s="15"/>
    </row>
    <row r="14" spans="1:9" s="3" customFormat="1" ht="19.5" customHeight="1" x14ac:dyDescent="0.3">
      <c r="A14" s="9"/>
      <c r="B14" s="28">
        <f t="array" ref="B14:C14">DaysAndWeeks+DATE(CalendarYear,3,1)-WEEKDAY(DATE(CalendarYear,3,1),(WeekStart="星期一")+1)+36</f>
        <v>43926</v>
      </c>
      <c r="C14" s="28">
        <v>43927</v>
      </c>
      <c r="D14" s="64" t="s">
        <v>20</v>
      </c>
      <c r="E14" s="64"/>
      <c r="F14" s="64"/>
      <c r="G14" s="64"/>
      <c r="H14" s="64"/>
    </row>
    <row r="15" spans="1:9" s="4" customFormat="1" ht="48" customHeight="1" x14ac:dyDescent="0.3">
      <c r="A15" s="11"/>
      <c r="B15" s="29"/>
      <c r="C15" s="29"/>
      <c r="D15" s="65"/>
      <c r="E15" s="65"/>
      <c r="F15" s="65"/>
      <c r="G15" s="65"/>
      <c r="H15" s="65"/>
    </row>
  </sheetData>
  <mergeCells count="5">
    <mergeCell ref="B2:D2"/>
    <mergeCell ref="C5:G5"/>
    <mergeCell ref="C7:G7"/>
    <mergeCell ref="D14:H14"/>
    <mergeCell ref="D15:H15"/>
  </mergeCells>
  <phoneticPr fontId="24" type="noConversion"/>
  <conditionalFormatting sqref="B4:G4">
    <cfRule type="expression" dxfId="19" priority="1">
      <formula>DAY(B4)&gt;8</formula>
    </cfRule>
  </conditionalFormatting>
  <conditionalFormatting sqref="B12:H12 B14:C14">
    <cfRule type="expression" dxfId="18" priority="2">
      <formula>AND(DAY(B12)&gt;=1,DAY(B12)&lt;=15)</formula>
    </cfRule>
  </conditionalFormatting>
  <dataValidations count="8"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showErrorMessage="1" prompt="3 月日历" sqref="A1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自动确定工作日" sqref="C3:H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prompt="在下方单元格中输入每月备注" sqref="D14:H14"/>
    <dataValidation allowBlank="1" showInputMessage="1" prompt="在此单元格中输入每月备注" sqref="D15:H15"/>
  </dataValidations>
  <printOptions horizontalCentered="1"/>
  <pageMargins left="0.25" right="0.25" top="0.5" bottom="0.5" header="0.3" footer="0.3"/>
  <pageSetup paperSize="9" orientation="landscape"/>
  <headerFooter differentFirs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1:I15"/>
  <sheetViews>
    <sheetView showGridLines="0" showRowColHeaders="0" topLeftCell="A9" workbookViewId="0">
      <selection activeCell="F13" sqref="F13"/>
    </sheetView>
  </sheetViews>
  <sheetFormatPr defaultColWidth="8.88671875" defaultRowHeight="16.5" x14ac:dyDescent="0.3"/>
  <cols>
    <col min="1" max="1" width="1.77734375" style="5" customWidth="1"/>
    <col min="2" max="2" width="15.44140625" style="5" customWidth="1"/>
    <col min="3" max="3" width="23.21875" style="5" customWidth="1"/>
    <col min="4" max="4" width="22.33203125" style="5" customWidth="1"/>
    <col min="5" max="5" width="42.6640625" style="5" customWidth="1"/>
    <col min="6" max="6" width="43.6640625" style="5" customWidth="1"/>
    <col min="7" max="7" width="28" style="5" customWidth="1"/>
    <col min="8" max="8" width="15.44140625" style="5" customWidth="1"/>
    <col min="9" max="9" width="1.77734375" style="5" customWidth="1"/>
    <col min="10" max="10" width="10.6640625" style="5" customWidth="1"/>
    <col min="11" max="16384" width="8.88671875" style="5"/>
  </cols>
  <sheetData>
    <row r="1" spans="1:9" ht="9" customHeight="1" x14ac:dyDescent="0.3">
      <c r="I1" s="5" t="s">
        <v>0</v>
      </c>
    </row>
    <row r="2" spans="1:9" s="1" customFormat="1" ht="100.5" customHeight="1" x14ac:dyDescent="0.3">
      <c r="B2" s="61" t="str">
        <f>CalendarYear&amp;"年"&amp;"4月 "</f>
        <v xml:space="preserve">2020年4月 </v>
      </c>
      <c r="C2" s="61"/>
      <c r="D2" s="61"/>
      <c r="E2" s="6"/>
      <c r="F2" s="6"/>
      <c r="G2" s="6"/>
      <c r="H2" s="7"/>
    </row>
    <row r="3" spans="1:9" s="2" customFormat="1" ht="19.5" customHeight="1" x14ac:dyDescent="0.3">
      <c r="A3" s="5"/>
      <c r="B3" s="27" t="str">
        <f>WeekStart</f>
        <v>星期日</v>
      </c>
      <c r="C3" s="27" t="str">
        <f t="shared" ref="C3:H3" si="0">TEXT(C4,"aaaa")</f>
        <v>星期一</v>
      </c>
      <c r="D3" s="27" t="str">
        <f t="shared" si="0"/>
        <v>星期二</v>
      </c>
      <c r="E3" s="27" t="str">
        <f t="shared" si="0"/>
        <v>星期三</v>
      </c>
      <c r="F3" s="27" t="str">
        <f t="shared" si="0"/>
        <v>星期四</v>
      </c>
      <c r="G3" s="27" t="str">
        <f t="shared" si="0"/>
        <v>星期五</v>
      </c>
      <c r="H3" s="27" t="str">
        <f t="shared" si="0"/>
        <v>星期六</v>
      </c>
    </row>
    <row r="4" spans="1:9" s="3" customFormat="1" ht="19.5" customHeight="1" x14ac:dyDescent="0.3">
      <c r="A4" s="9"/>
      <c r="B4" s="10">
        <f t="array" ref="B4:H4">DaysAndWeeks+DATE(CalendarYear,4,1)-WEEKDAY(DATE(CalendarYear,4,1),(WeekStart="星期一")+1)+1</f>
        <v>43919</v>
      </c>
      <c r="C4" s="10">
        <v>43920</v>
      </c>
      <c r="D4" s="10">
        <v>43921</v>
      </c>
      <c r="E4" s="10">
        <v>43922</v>
      </c>
      <c r="F4" s="10">
        <v>43923</v>
      </c>
      <c r="G4" s="10">
        <v>43924</v>
      </c>
      <c r="H4" s="10">
        <v>43925</v>
      </c>
    </row>
    <row r="5" spans="1:9" s="4" customFormat="1" ht="264" x14ac:dyDescent="0.3">
      <c r="A5" s="11"/>
      <c r="B5" s="12"/>
      <c r="C5"/>
      <c r="D5"/>
      <c r="E5" s="12" t="s">
        <v>34</v>
      </c>
      <c r="F5" s="19" t="s">
        <v>35</v>
      </c>
      <c r="G5" s="19" t="s">
        <v>36</v>
      </c>
      <c r="H5" s="12"/>
    </row>
    <row r="6" spans="1:9" s="3" customFormat="1" ht="17.25" x14ac:dyDescent="0.3">
      <c r="A6" s="9"/>
      <c r="B6" s="28">
        <f t="array" ref="B6:H6">DaysAndWeeks+DATE(CalendarYear,4,1)-WEEKDAY(DATE(CalendarYear,4,1),(WeekStart="星期一")+1)+8</f>
        <v>43926</v>
      </c>
      <c r="C6" s="28">
        <v>43927</v>
      </c>
      <c r="D6" s="28">
        <v>43928</v>
      </c>
      <c r="E6" s="28">
        <v>43929</v>
      </c>
      <c r="F6" s="28">
        <v>43930</v>
      </c>
      <c r="G6" s="28">
        <v>43931</v>
      </c>
      <c r="H6" s="28">
        <v>43932</v>
      </c>
    </row>
    <row r="7" spans="1:9" s="4" customFormat="1" ht="148.5" x14ac:dyDescent="0.3">
      <c r="A7" s="11"/>
      <c r="B7" s="29"/>
      <c r="C7" s="29" t="s">
        <v>37</v>
      </c>
      <c r="D7" s="30" t="s">
        <v>38</v>
      </c>
      <c r="E7" s="30" t="s">
        <v>39</v>
      </c>
      <c r="F7" s="30" t="s">
        <v>40</v>
      </c>
      <c r="G7" s="29" t="s">
        <v>41</v>
      </c>
      <c r="H7" s="29"/>
    </row>
    <row r="8" spans="1:9" s="3" customFormat="1" ht="17.25" x14ac:dyDescent="0.3">
      <c r="A8" s="9"/>
      <c r="B8" s="10">
        <f t="array" ref="B8:H8">DaysAndWeeks+DATE(CalendarYear,4,1)-WEEKDAY(DATE(CalendarYear,4,1),(WeekStart="星期一")+1)+15</f>
        <v>43933</v>
      </c>
      <c r="C8" s="10">
        <v>43934</v>
      </c>
      <c r="D8" s="10">
        <v>43935</v>
      </c>
      <c r="E8" s="10">
        <v>43936</v>
      </c>
      <c r="F8" s="10">
        <v>43937</v>
      </c>
      <c r="G8" s="10">
        <v>43938</v>
      </c>
      <c r="H8" s="10">
        <v>43939</v>
      </c>
    </row>
    <row r="9" spans="1:9" s="4" customFormat="1" ht="115.5" x14ac:dyDescent="0.3">
      <c r="A9" s="11"/>
      <c r="B9" s="15"/>
      <c r="C9" s="21" t="s">
        <v>42</v>
      </c>
      <c r="D9" s="21" t="s">
        <v>43</v>
      </c>
      <c r="E9" s="15" t="s">
        <v>44</v>
      </c>
      <c r="F9" s="15" t="s">
        <v>45</v>
      </c>
      <c r="G9" s="21" t="s">
        <v>46</v>
      </c>
      <c r="H9" s="15"/>
    </row>
    <row r="10" spans="1:9" s="3" customFormat="1" ht="17.25" x14ac:dyDescent="0.3">
      <c r="A10" s="9"/>
      <c r="B10" s="28">
        <f t="array" ref="B10:H10">DaysAndWeeks+DATE(CalendarYear,4,1)-WEEKDAY(DATE(CalendarYear,4,1),(WeekStart="星期一")+1)+22</f>
        <v>43940</v>
      </c>
      <c r="C10" s="28">
        <v>43941</v>
      </c>
      <c r="D10" s="28">
        <v>43942</v>
      </c>
      <c r="E10" s="28">
        <v>43943</v>
      </c>
      <c r="F10" s="28">
        <v>43944</v>
      </c>
      <c r="G10" s="28">
        <v>43945</v>
      </c>
      <c r="H10" s="28">
        <v>43946</v>
      </c>
    </row>
    <row r="11" spans="1:9" s="4" customFormat="1" x14ac:dyDescent="0.3">
      <c r="A11" s="11"/>
      <c r="B11" s="29"/>
      <c r="C11" s="29" t="s">
        <v>47</v>
      </c>
      <c r="D11" s="29" t="s">
        <v>48</v>
      </c>
      <c r="E11" s="29" t="s">
        <v>49</v>
      </c>
      <c r="F11" s="29" t="s">
        <v>50</v>
      </c>
      <c r="G11" s="29" t="s">
        <v>51</v>
      </c>
      <c r="H11" s="29"/>
    </row>
    <row r="12" spans="1:9" s="3" customFormat="1" ht="19.5" customHeight="1" x14ac:dyDescent="0.3">
      <c r="A12" s="9"/>
      <c r="B12" s="10">
        <f t="array" ref="B12:H12">DaysAndWeeks+DATE(CalendarYear,4,1)-WEEKDAY(DATE(CalendarYear,4,1),(WeekStart="星期一")+1)+29</f>
        <v>43947</v>
      </c>
      <c r="C12" s="10">
        <v>43948</v>
      </c>
      <c r="D12" s="10">
        <v>43949</v>
      </c>
      <c r="E12" s="10">
        <v>43950</v>
      </c>
      <c r="F12" s="10">
        <v>43951</v>
      </c>
      <c r="G12" s="10">
        <v>43952</v>
      </c>
      <c r="H12" s="10">
        <v>43953</v>
      </c>
    </row>
    <row r="13" spans="1:9" s="4" customFormat="1" ht="48" customHeight="1" x14ac:dyDescent="0.3">
      <c r="A13" s="11"/>
      <c r="B13" s="15" t="s">
        <v>52</v>
      </c>
      <c r="C13" s="15" t="s">
        <v>53</v>
      </c>
      <c r="D13" s="15" t="s">
        <v>54</v>
      </c>
      <c r="E13" s="21" t="s">
        <v>55</v>
      </c>
      <c r="F13" s="15" t="s">
        <v>56</v>
      </c>
      <c r="G13" s="15"/>
      <c r="H13" s="15"/>
    </row>
    <row r="14" spans="1:9" s="3" customFormat="1" ht="19.5" customHeight="1" x14ac:dyDescent="0.3">
      <c r="A14" s="9"/>
      <c r="B14" s="28">
        <f t="array" ref="B14:C14">DaysAndWeeks+DATE(CalendarYear,4,1)-WEEKDAY(DATE(CalendarYear,4,1),(WeekStart="星期一")+1)+36</f>
        <v>43954</v>
      </c>
      <c r="C14" s="28">
        <v>43955</v>
      </c>
      <c r="D14" s="64" t="s">
        <v>20</v>
      </c>
      <c r="E14" s="64"/>
      <c r="F14" s="64"/>
      <c r="G14" s="64"/>
      <c r="H14" s="64"/>
    </row>
    <row r="15" spans="1:9" s="4" customFormat="1" ht="48" customHeight="1" x14ac:dyDescent="0.3">
      <c r="A15" s="11"/>
      <c r="B15" s="29"/>
      <c r="C15" s="29"/>
      <c r="D15" s="65"/>
      <c r="E15" s="65"/>
      <c r="F15" s="65"/>
      <c r="G15" s="65"/>
      <c r="H15" s="65"/>
    </row>
  </sheetData>
  <mergeCells count="3">
    <mergeCell ref="B2:D2"/>
    <mergeCell ref="D14:H14"/>
    <mergeCell ref="D15:H15"/>
  </mergeCells>
  <phoneticPr fontId="24" type="noConversion"/>
  <conditionalFormatting sqref="B4:G4">
    <cfRule type="expression" dxfId="17" priority="1">
      <formula>DAY(B4)&gt;8</formula>
    </cfRule>
  </conditionalFormatting>
  <conditionalFormatting sqref="B12:H12 B14:C14">
    <cfRule type="expression" dxfId="16" priority="2">
      <formula>AND(DAY(B12)&gt;=1,DAY(B12)&lt;=15)</formula>
    </cfRule>
  </conditionalFormatting>
  <dataValidations count="8">
    <dataValidation allowBlank="1" showInputMessage="1" prompt="在此单元格中输入每月备注" sqref="D15:H15"/>
    <dataValidation allowBlank="1" showInputMessage="1" showErrorMessage="1" prompt="4 月日历" sqref="A1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showErrorMessage="1" prompt="自动确定工作日" sqref="C3:H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prompt="在下方单元格中输入每月备注" sqref="D14:H14"/>
  </dataValidations>
  <printOptions horizontalCentered="1"/>
  <pageMargins left="0.25" right="0.25" top="0.5" bottom="0.5" header="0.3" footer="0.3"/>
  <pageSetup paperSize="9" orientation="landscape"/>
  <headerFooter differentFirs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1:I15"/>
  <sheetViews>
    <sheetView showGridLines="0" showRowColHeaders="0" topLeftCell="D16" workbookViewId="0">
      <selection activeCell="G13" sqref="G13"/>
    </sheetView>
  </sheetViews>
  <sheetFormatPr defaultColWidth="8.88671875" defaultRowHeight="16.5" x14ac:dyDescent="0.3"/>
  <cols>
    <col min="1" max="1" width="1.77734375" style="5" customWidth="1"/>
    <col min="2" max="2" width="15.44140625" style="5" customWidth="1"/>
    <col min="3" max="3" width="15.33203125" style="5" customWidth="1"/>
    <col min="4" max="5" width="57.33203125" style="5" customWidth="1"/>
    <col min="6" max="6" width="16.44140625" style="5" customWidth="1"/>
    <col min="7" max="7" width="16.33203125" style="5" customWidth="1"/>
    <col min="8" max="8" width="15.44140625" style="5" customWidth="1"/>
    <col min="9" max="9" width="1.77734375" style="5" customWidth="1"/>
    <col min="10" max="10" width="10.6640625" style="5" customWidth="1"/>
    <col min="11" max="16384" width="8.88671875" style="5"/>
  </cols>
  <sheetData>
    <row r="1" spans="1:9" ht="9" customHeight="1" x14ac:dyDescent="0.3">
      <c r="I1" s="5" t="s">
        <v>0</v>
      </c>
    </row>
    <row r="2" spans="1:9" s="1" customFormat="1" ht="100.5" customHeight="1" x14ac:dyDescent="0.3">
      <c r="B2" s="61" t="str">
        <f>CalendarYear&amp;"年"&amp;"5月 "</f>
        <v xml:space="preserve">2020年5月 </v>
      </c>
      <c r="C2" s="61"/>
      <c r="D2" s="61"/>
      <c r="E2" s="6"/>
      <c r="F2" s="6"/>
      <c r="G2" s="6"/>
      <c r="H2" s="7"/>
    </row>
    <row r="3" spans="1:9" s="2" customFormat="1" ht="19.5" customHeight="1" x14ac:dyDescent="0.3">
      <c r="A3" s="5"/>
      <c r="B3" s="27" t="str">
        <f>WeekStart</f>
        <v>星期日</v>
      </c>
      <c r="C3" s="27" t="str">
        <f t="shared" ref="C3:H3" si="0">TEXT(C4,"aaaa")</f>
        <v>星期一</v>
      </c>
      <c r="D3" s="27" t="str">
        <f t="shared" si="0"/>
        <v>星期二</v>
      </c>
      <c r="E3" s="27" t="str">
        <f t="shared" si="0"/>
        <v>星期三</v>
      </c>
      <c r="F3" s="27" t="str">
        <f t="shared" si="0"/>
        <v>星期四</v>
      </c>
      <c r="G3" s="27" t="str">
        <f t="shared" si="0"/>
        <v>星期五</v>
      </c>
      <c r="H3" s="27" t="str">
        <f t="shared" si="0"/>
        <v>星期六</v>
      </c>
    </row>
    <row r="4" spans="1:9" s="3" customFormat="1" ht="19.5" customHeight="1" x14ac:dyDescent="0.3">
      <c r="A4" s="9"/>
      <c r="B4" s="10">
        <f t="array" ref="B4:H4">DaysAndWeeks+DATE(CalendarYear,5,1)-WEEKDAY(DATE(CalendarYear,5,1),(WeekStart="星期一")+1)+1</f>
        <v>43947</v>
      </c>
      <c r="C4" s="10">
        <v>43948</v>
      </c>
      <c r="D4" s="10">
        <v>43949</v>
      </c>
      <c r="E4" s="10">
        <v>43950</v>
      </c>
      <c r="F4" s="10">
        <v>43951</v>
      </c>
      <c r="G4" s="10">
        <v>43952</v>
      </c>
      <c r="H4" s="10">
        <v>43953</v>
      </c>
    </row>
    <row r="5" spans="1:9" s="4" customFormat="1" ht="48" customHeight="1" x14ac:dyDescent="0.3">
      <c r="A5" s="11"/>
      <c r="B5" s="12"/>
      <c r="C5" s="12"/>
      <c r="D5" s="12"/>
      <c r="E5" s="12"/>
      <c r="F5" s="12"/>
      <c r="G5" s="12"/>
      <c r="H5" s="12"/>
    </row>
    <row r="6" spans="1:9" s="3" customFormat="1" ht="19.5" customHeight="1" x14ac:dyDescent="0.3">
      <c r="A6" s="9"/>
      <c r="B6" s="28">
        <f t="array" ref="B6:H6">DaysAndWeeks+DATE(CalendarYear,5,1)-WEEKDAY(DATE(CalendarYear,5,1),(WeekStart="星期一")+1)+8</f>
        <v>43954</v>
      </c>
      <c r="C6" s="28">
        <v>43955</v>
      </c>
      <c r="D6" s="28">
        <v>43956</v>
      </c>
      <c r="E6" s="28">
        <v>43957</v>
      </c>
      <c r="F6" s="28">
        <v>43958</v>
      </c>
      <c r="G6" s="28">
        <v>43959</v>
      </c>
      <c r="H6" s="28">
        <v>43960</v>
      </c>
    </row>
    <row r="7" spans="1:9" s="4" customFormat="1" ht="48" customHeight="1" x14ac:dyDescent="0.3">
      <c r="A7" s="11"/>
      <c r="B7" s="29"/>
      <c r="C7" s="29"/>
      <c r="D7" s="29"/>
      <c r="E7" s="29"/>
      <c r="F7" s="29"/>
      <c r="G7" s="29"/>
      <c r="H7" s="29"/>
    </row>
    <row r="8" spans="1:9" s="3" customFormat="1" ht="19.5" customHeight="1" x14ac:dyDescent="0.3">
      <c r="A8" s="9"/>
      <c r="B8" s="10">
        <f t="array" ref="B8:H8">DaysAndWeeks+DATE(CalendarYear,5,1)-WEEKDAY(DATE(CalendarYear,5,1),(WeekStart="星期一")+1)+15</f>
        <v>43961</v>
      </c>
      <c r="C8" s="10">
        <v>43962</v>
      </c>
      <c r="D8" s="10">
        <v>43963</v>
      </c>
      <c r="E8" s="10">
        <v>43964</v>
      </c>
      <c r="F8" s="10">
        <v>43965</v>
      </c>
      <c r="G8" s="10">
        <v>43966</v>
      </c>
      <c r="H8" s="10">
        <v>43967</v>
      </c>
    </row>
    <row r="9" spans="1:9" s="4" customFormat="1" ht="99" x14ac:dyDescent="0.3">
      <c r="A9" s="11"/>
      <c r="B9" s="15"/>
      <c r="C9" s="21" t="s">
        <v>57</v>
      </c>
      <c r="D9" s="21" t="s">
        <v>58</v>
      </c>
      <c r="E9" s="15" t="s">
        <v>59</v>
      </c>
      <c r="F9" s="21" t="s">
        <v>60</v>
      </c>
      <c r="G9" s="21" t="s">
        <v>61</v>
      </c>
      <c r="H9" s="15"/>
    </row>
    <row r="10" spans="1:9" s="3" customFormat="1" ht="17.25" x14ac:dyDescent="0.3">
      <c r="A10" s="9"/>
      <c r="B10" s="28">
        <f t="array" ref="B10:H10">DaysAndWeeks+DATE(CalendarYear,5,1)-WEEKDAY(DATE(CalendarYear,5,1),(WeekStart="星期一")+1)+22</f>
        <v>43968</v>
      </c>
      <c r="C10" s="28">
        <v>43969</v>
      </c>
      <c r="D10" s="28">
        <v>43970</v>
      </c>
      <c r="E10" s="28">
        <v>43971</v>
      </c>
      <c r="F10" s="28">
        <v>43972</v>
      </c>
      <c r="G10" s="28">
        <v>43973</v>
      </c>
      <c r="H10" s="28">
        <v>43974</v>
      </c>
    </row>
    <row r="11" spans="1:9" s="4" customFormat="1" ht="198" x14ac:dyDescent="0.3">
      <c r="A11" s="11"/>
      <c r="B11" s="29"/>
      <c r="C11" s="30" t="s">
        <v>62</v>
      </c>
      <c r="D11" s="29" t="s">
        <v>63</v>
      </c>
      <c r="E11" s="30" t="s">
        <v>64</v>
      </c>
      <c r="F11" s="30" t="s">
        <v>65</v>
      </c>
      <c r="G11" s="30" t="s">
        <v>66</v>
      </c>
      <c r="H11" s="29"/>
    </row>
    <row r="12" spans="1:9" s="3" customFormat="1" ht="17.25" x14ac:dyDescent="0.3">
      <c r="A12" s="9"/>
      <c r="B12" s="10">
        <f t="array" ref="B12:H12">DaysAndWeeks+DATE(CalendarYear,5,1)-WEEKDAY(DATE(CalendarYear,5,1),(WeekStart="星期一")+1)+29</f>
        <v>43975</v>
      </c>
      <c r="C12" s="10">
        <v>43976</v>
      </c>
      <c r="D12" s="10">
        <v>43977</v>
      </c>
      <c r="E12" s="10">
        <v>43978</v>
      </c>
      <c r="F12" s="10">
        <v>43979</v>
      </c>
      <c r="G12" s="10">
        <v>43980</v>
      </c>
      <c r="H12" s="10">
        <v>43981</v>
      </c>
    </row>
    <row r="13" spans="1:9" s="4" customFormat="1" ht="330" x14ac:dyDescent="0.3">
      <c r="A13" s="11"/>
      <c r="B13" s="15"/>
      <c r="C13" s="21" t="s">
        <v>67</v>
      </c>
      <c r="D13" s="21" t="s">
        <v>68</v>
      </c>
      <c r="E13" s="21" t="s">
        <v>69</v>
      </c>
      <c r="F13" s="21" t="s">
        <v>70</v>
      </c>
      <c r="G13" s="21" t="s">
        <v>71</v>
      </c>
      <c r="H13" s="15"/>
    </row>
    <row r="14" spans="1:9" s="3" customFormat="1" ht="19.5" customHeight="1" x14ac:dyDescent="0.3">
      <c r="A14" s="9"/>
      <c r="B14" s="28">
        <f t="array" ref="B14:C14">DaysAndWeeks+DATE(CalendarYear,5,1)-WEEKDAY(DATE(CalendarYear,5,1),(WeekStart="星期一")+1)+36</f>
        <v>43982</v>
      </c>
      <c r="C14" s="28">
        <v>43983</v>
      </c>
      <c r="D14" s="64" t="s">
        <v>20</v>
      </c>
      <c r="E14" s="64"/>
      <c r="F14" s="64"/>
      <c r="G14" s="64"/>
      <c r="H14" s="64"/>
    </row>
    <row r="15" spans="1:9" s="4" customFormat="1" ht="48" customHeight="1" x14ac:dyDescent="0.3">
      <c r="A15" s="11"/>
      <c r="B15" s="29"/>
      <c r="C15" s="29"/>
      <c r="D15" s="65"/>
      <c r="E15" s="65"/>
      <c r="F15" s="65"/>
      <c r="G15" s="65"/>
      <c r="H15" s="65"/>
    </row>
  </sheetData>
  <mergeCells count="3">
    <mergeCell ref="B2:D2"/>
    <mergeCell ref="D14:H14"/>
    <mergeCell ref="D15:H15"/>
  </mergeCells>
  <phoneticPr fontId="24" type="noConversion"/>
  <conditionalFormatting sqref="B4:G4">
    <cfRule type="expression" dxfId="15" priority="1">
      <formula>DAY(B4)&gt;8</formula>
    </cfRule>
  </conditionalFormatting>
  <conditionalFormatting sqref="B12:H12 B14:C14">
    <cfRule type="expression" dxfId="14" priority="2">
      <formula>AND(DAY(B12)&gt;=1,DAY(B12)&lt;=15)</formula>
    </cfRule>
  </conditionalFormatting>
  <dataValidations count="8"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showErrorMessage="1" prompt="5 月日历" sqref="A1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自动确定工作日" sqref="C3:H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prompt="在下方单元格中输入每月备注" sqref="D14:H14"/>
    <dataValidation allowBlank="1" showInputMessage="1" prompt="在此单元格中输入每月备注" sqref="D15:H15"/>
  </dataValidations>
  <printOptions horizontalCentered="1"/>
  <pageMargins left="0.25" right="0.25" top="0.5" bottom="0.5" header="0.3" footer="0.3"/>
  <pageSetup paperSize="9" orientation="landscape"/>
  <headerFooter differentFirst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I15"/>
  <sheetViews>
    <sheetView showGridLines="0" showRowColHeaders="0" topLeftCell="A10" workbookViewId="0">
      <selection activeCell="D13" sqref="D13"/>
    </sheetView>
  </sheetViews>
  <sheetFormatPr defaultColWidth="8.88671875" defaultRowHeight="16.5" x14ac:dyDescent="0.3"/>
  <cols>
    <col min="1" max="1" width="1.77734375" style="5" customWidth="1"/>
    <col min="2" max="8" width="15.44140625" style="5" customWidth="1"/>
    <col min="9" max="9" width="1.77734375" style="5" customWidth="1"/>
    <col min="10" max="10" width="10.6640625" style="5" customWidth="1"/>
    <col min="11" max="16384" width="8.88671875" style="5"/>
  </cols>
  <sheetData>
    <row r="1" spans="1:9" ht="9" customHeight="1" x14ac:dyDescent="0.3">
      <c r="I1" s="5" t="s">
        <v>0</v>
      </c>
    </row>
    <row r="2" spans="1:9" s="1" customFormat="1" ht="100.5" customHeight="1" x14ac:dyDescent="0.3">
      <c r="B2" s="66" t="str">
        <f>CalendarYear&amp;"年"&amp;"6月 "</f>
        <v xml:space="preserve">2020年6月 </v>
      </c>
      <c r="C2" s="66"/>
      <c r="D2" s="66"/>
      <c r="E2" s="6"/>
      <c r="F2" s="6"/>
      <c r="G2" s="6"/>
      <c r="H2" s="7"/>
    </row>
    <row r="3" spans="1:9" s="2" customFormat="1" ht="19.5" customHeight="1" x14ac:dyDescent="0.3">
      <c r="A3" s="5"/>
      <c r="B3" s="22" t="str">
        <f>WeekStart</f>
        <v>星期日</v>
      </c>
      <c r="C3" s="22" t="str">
        <f t="shared" ref="C3:H3" si="0">TEXT(C4,"aaaa")</f>
        <v>星期一</v>
      </c>
      <c r="D3" s="22" t="str">
        <f t="shared" si="0"/>
        <v>星期二</v>
      </c>
      <c r="E3" s="22" t="str">
        <f t="shared" si="0"/>
        <v>星期三</v>
      </c>
      <c r="F3" s="22" t="str">
        <f t="shared" si="0"/>
        <v>星期四</v>
      </c>
      <c r="G3" s="22" t="str">
        <f t="shared" si="0"/>
        <v>星期五</v>
      </c>
      <c r="H3" s="22" t="str">
        <f t="shared" si="0"/>
        <v>星期六</v>
      </c>
    </row>
    <row r="4" spans="1:9" s="3" customFormat="1" ht="19.5" customHeight="1" x14ac:dyDescent="0.3">
      <c r="A4" s="9"/>
      <c r="B4" s="10">
        <f t="array" ref="B4:H4">DaysAndWeeks+DATE(CalendarYear,6,1)-WEEKDAY(DATE(CalendarYear,6,1),(WeekStart="星期一")+1)+1</f>
        <v>43982</v>
      </c>
      <c r="C4" s="10">
        <v>43983</v>
      </c>
      <c r="D4" s="10">
        <v>43984</v>
      </c>
      <c r="E4" s="10">
        <v>43985</v>
      </c>
      <c r="F4" s="10">
        <v>43986</v>
      </c>
      <c r="G4" s="10">
        <v>43987</v>
      </c>
      <c r="H4" s="10">
        <v>43988</v>
      </c>
    </row>
    <row r="5" spans="1:9" s="4" customFormat="1" ht="264" x14ac:dyDescent="0.3">
      <c r="A5" s="11">
        <v>1</v>
      </c>
      <c r="B5" s="12"/>
      <c r="C5" s="19" t="s">
        <v>72</v>
      </c>
      <c r="D5" s="19" t="s">
        <v>73</v>
      </c>
      <c r="E5" s="19" t="s">
        <v>74</v>
      </c>
      <c r="F5" s="19" t="s">
        <v>75</v>
      </c>
      <c r="G5" s="26" t="s">
        <v>76</v>
      </c>
      <c r="H5" s="12"/>
    </row>
    <row r="6" spans="1:9" s="3" customFormat="1" ht="19.5" customHeight="1" x14ac:dyDescent="0.3">
      <c r="A6" s="9"/>
      <c r="B6" s="23">
        <f t="array" ref="B6:H6">DaysAndWeeks+DATE(CalendarYear,6,1)-WEEKDAY(DATE(CalendarYear,6,1),(WeekStart="星期一")+1)+8</f>
        <v>43989</v>
      </c>
      <c r="C6" s="23">
        <v>43990</v>
      </c>
      <c r="D6" s="23">
        <v>43991</v>
      </c>
      <c r="E6" s="23">
        <v>43992</v>
      </c>
      <c r="F6" s="23">
        <v>43993</v>
      </c>
      <c r="G6" s="23">
        <v>43994</v>
      </c>
      <c r="H6" s="23">
        <v>43995</v>
      </c>
    </row>
    <row r="7" spans="1:9" s="4" customFormat="1" ht="132" x14ac:dyDescent="0.3">
      <c r="A7" s="11">
        <v>1</v>
      </c>
      <c r="B7" s="24"/>
      <c r="C7" s="24"/>
      <c r="D7" s="25" t="s">
        <v>77</v>
      </c>
      <c r="E7" s="24" t="s">
        <v>78</v>
      </c>
      <c r="F7" s="24" t="s">
        <v>79</v>
      </c>
      <c r="G7" s="24"/>
      <c r="H7" s="24"/>
    </row>
    <row r="8" spans="1:9" s="3" customFormat="1" ht="19.5" customHeight="1" x14ac:dyDescent="0.3">
      <c r="A8" s="9"/>
      <c r="B8" s="10">
        <f t="array" ref="B8:H8">DaysAndWeeks+DATE(CalendarYear,6,1)-WEEKDAY(DATE(CalendarYear,6,1),(WeekStart="星期一")+1)+15</f>
        <v>43996</v>
      </c>
      <c r="C8" s="10">
        <v>43997</v>
      </c>
      <c r="D8" s="10">
        <v>43998</v>
      </c>
      <c r="E8" s="10">
        <v>43999</v>
      </c>
      <c r="F8" s="10">
        <v>44000</v>
      </c>
      <c r="G8" s="10">
        <v>44001</v>
      </c>
      <c r="H8" s="10">
        <v>44002</v>
      </c>
    </row>
    <row r="9" spans="1:9" s="4" customFormat="1" ht="48" customHeight="1" x14ac:dyDescent="0.3">
      <c r="A9" s="11"/>
      <c r="B9" s="15"/>
      <c r="C9" s="15" t="s">
        <v>80</v>
      </c>
      <c r="D9" s="15"/>
      <c r="E9" s="15"/>
      <c r="F9" s="15" t="s">
        <v>81</v>
      </c>
      <c r="G9" s="15" t="s">
        <v>82</v>
      </c>
      <c r="H9" s="15"/>
    </row>
    <row r="10" spans="1:9" s="3" customFormat="1" ht="19.5" customHeight="1" x14ac:dyDescent="0.3">
      <c r="A10" s="9"/>
      <c r="B10" s="23">
        <f t="array" ref="B10:H10">DaysAndWeeks+DATE(CalendarYear,6,1)-WEEKDAY(DATE(CalendarYear,6,1),(WeekStart="星期一")+1)+22</f>
        <v>44003</v>
      </c>
      <c r="C10" s="23">
        <v>44004</v>
      </c>
      <c r="D10" s="23">
        <v>44005</v>
      </c>
      <c r="E10" s="23">
        <v>44006</v>
      </c>
      <c r="F10" s="23">
        <v>44007</v>
      </c>
      <c r="G10" s="23">
        <v>44008</v>
      </c>
      <c r="H10" s="23">
        <v>44009</v>
      </c>
    </row>
    <row r="11" spans="1:9" s="4" customFormat="1" ht="48" customHeight="1" x14ac:dyDescent="0.3">
      <c r="A11" s="11"/>
      <c r="B11" s="24"/>
      <c r="C11" s="24" t="s">
        <v>83</v>
      </c>
      <c r="D11" s="24"/>
      <c r="E11" s="24"/>
      <c r="F11" s="24"/>
      <c r="G11" s="24"/>
      <c r="H11" s="24"/>
    </row>
    <row r="12" spans="1:9" s="3" customFormat="1" ht="19.5" customHeight="1" x14ac:dyDescent="0.3">
      <c r="A12" s="9"/>
      <c r="B12" s="10">
        <f t="array" ref="B12:H12">DaysAndWeeks+DATE(CalendarYear,6,1)-WEEKDAY(DATE(CalendarYear,6,1),(WeekStart="星期一")+1)+29</f>
        <v>44010</v>
      </c>
      <c r="C12" s="10">
        <v>44011</v>
      </c>
      <c r="D12" s="10">
        <v>44012</v>
      </c>
      <c r="E12" s="10">
        <v>44013</v>
      </c>
      <c r="F12" s="10">
        <v>44014</v>
      </c>
      <c r="G12" s="10">
        <v>44015</v>
      </c>
      <c r="H12" s="10">
        <v>44016</v>
      </c>
    </row>
    <row r="13" spans="1:9" s="4" customFormat="1" ht="48" customHeight="1" x14ac:dyDescent="0.3">
      <c r="A13" s="11"/>
      <c r="B13" s="15"/>
      <c r="C13" s="15"/>
      <c r="D13" s="21" t="s">
        <v>84</v>
      </c>
      <c r="E13" s="15"/>
      <c r="F13" s="15"/>
      <c r="G13" s="15"/>
      <c r="H13" s="15"/>
    </row>
    <row r="14" spans="1:9" s="3" customFormat="1" ht="19.5" customHeight="1" x14ac:dyDescent="0.3">
      <c r="A14" s="9"/>
      <c r="B14" s="23">
        <f t="array" ref="B14:C14">DaysAndWeeks+DATE(CalendarYear,6,1)-WEEKDAY(DATE(CalendarYear,6,1),(WeekStart="星期一")+1)+36</f>
        <v>44017</v>
      </c>
      <c r="C14" s="23">
        <v>44018</v>
      </c>
      <c r="D14" s="67"/>
      <c r="E14" s="67"/>
      <c r="F14" s="67"/>
      <c r="G14" s="67"/>
      <c r="H14" s="67"/>
    </row>
    <row r="15" spans="1:9" s="4" customFormat="1" ht="48" customHeight="1" x14ac:dyDescent="0.3">
      <c r="A15" s="11"/>
      <c r="B15" s="24"/>
      <c r="C15" s="24"/>
      <c r="D15" s="68"/>
      <c r="E15" s="68"/>
      <c r="F15" s="68"/>
      <c r="G15" s="68"/>
      <c r="H15" s="68"/>
    </row>
  </sheetData>
  <mergeCells count="3">
    <mergeCell ref="B2:D2"/>
    <mergeCell ref="D14:H14"/>
    <mergeCell ref="D15:H15"/>
  </mergeCells>
  <phoneticPr fontId="24" type="noConversion"/>
  <conditionalFormatting sqref="B4:G4">
    <cfRule type="expression" dxfId="13" priority="1">
      <formula>DAY(B4)&gt;8</formula>
    </cfRule>
  </conditionalFormatting>
  <conditionalFormatting sqref="B12:H12 B14:C14">
    <cfRule type="expression" dxfId="12" priority="2">
      <formula>AND(DAY(B12)&gt;=1,DAY(B12)&lt;=15)</formula>
    </cfRule>
  </conditionalFormatting>
  <dataValidations count="8">
    <dataValidation allowBlank="1" showInputMessage="1" showErrorMessage="1" prompt="6 月日历" sqref="A1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showErrorMessage="1" prompt="自动确定工作日" sqref="C3:H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prompt="在下方单元格中输入每月备注" sqref="D14:H14"/>
    <dataValidation allowBlank="1" showInputMessage="1" prompt="在此单元格中输入每月备注" sqref="D15:H15"/>
  </dataValidations>
  <printOptions horizontalCentered="1"/>
  <pageMargins left="0.25" right="0.25" top="0.5" bottom="0.5" header="0.3" footer="0.3"/>
  <pageSetup paperSize="9" orientation="landscape"/>
  <headerFooter differentFirst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I15"/>
  <sheetViews>
    <sheetView showGridLines="0" showRowColHeaders="0" topLeftCell="A7" workbookViewId="0">
      <selection activeCell="G13" sqref="G13"/>
    </sheetView>
  </sheetViews>
  <sheetFormatPr defaultColWidth="8.88671875" defaultRowHeight="16.5" x14ac:dyDescent="0.3"/>
  <cols>
    <col min="1" max="1" width="1.77734375" style="5" customWidth="1"/>
    <col min="2" max="2" width="15.44140625" style="5" customWidth="1"/>
    <col min="3" max="3" width="24.44140625" style="5" customWidth="1"/>
    <col min="4" max="4" width="31.109375" style="5" customWidth="1"/>
    <col min="5" max="5" width="15.33203125" style="5" customWidth="1"/>
    <col min="6" max="6" width="45" style="5" customWidth="1"/>
    <col min="7" max="8" width="15.44140625" style="5" customWidth="1"/>
    <col min="9" max="9" width="1.77734375" style="5" customWidth="1"/>
    <col min="10" max="10" width="10.6640625" style="5" customWidth="1"/>
    <col min="11" max="16384" width="8.88671875" style="5"/>
  </cols>
  <sheetData>
    <row r="1" spans="1:9" ht="9" customHeight="1" x14ac:dyDescent="0.3">
      <c r="I1" s="5" t="s">
        <v>0</v>
      </c>
    </row>
    <row r="2" spans="1:9" s="1" customFormat="1" ht="100.5" customHeight="1" x14ac:dyDescent="0.3">
      <c r="B2" s="66" t="str">
        <f>CalendarYear&amp;"年"&amp;"7月 "</f>
        <v xml:space="preserve">2020年7月 </v>
      </c>
      <c r="C2" s="66"/>
      <c r="D2" s="66"/>
      <c r="E2" s="6"/>
      <c r="F2" s="6"/>
      <c r="G2" s="6"/>
      <c r="H2" s="7"/>
    </row>
    <row r="3" spans="1:9" s="2" customFormat="1" ht="19.5" customHeight="1" x14ac:dyDescent="0.3">
      <c r="A3" s="5"/>
      <c r="B3" s="22" t="str">
        <f>WeekStart</f>
        <v>星期日</v>
      </c>
      <c r="C3" s="22" t="str">
        <f t="shared" ref="C3:H3" si="0">TEXT(C4,"aaaa")</f>
        <v>星期一</v>
      </c>
      <c r="D3" s="22" t="str">
        <f t="shared" si="0"/>
        <v>星期二</v>
      </c>
      <c r="E3" s="22" t="str">
        <f t="shared" si="0"/>
        <v>星期三</v>
      </c>
      <c r="F3" s="22" t="str">
        <f t="shared" si="0"/>
        <v>星期四</v>
      </c>
      <c r="G3" s="22" t="str">
        <f t="shared" si="0"/>
        <v>星期五</v>
      </c>
      <c r="H3" s="22" t="str">
        <f t="shared" si="0"/>
        <v>星期六</v>
      </c>
    </row>
    <row r="4" spans="1:9" s="3" customFormat="1" ht="19.5" customHeight="1" x14ac:dyDescent="0.3">
      <c r="A4" s="9"/>
      <c r="B4" s="10">
        <f t="array" ref="B4:H4">DaysAndWeeks+DATE(CalendarYear,7,1)-WEEKDAY(DATE(CalendarYear,7,1),(WeekStart="星期一")+1)+1</f>
        <v>44010</v>
      </c>
      <c r="C4" s="10">
        <v>44011</v>
      </c>
      <c r="D4" s="10">
        <v>44012</v>
      </c>
      <c r="E4" s="10">
        <v>44013</v>
      </c>
      <c r="F4" s="10">
        <v>44014</v>
      </c>
      <c r="G4" s="10">
        <v>44015</v>
      </c>
      <c r="H4" s="10">
        <v>44016</v>
      </c>
    </row>
    <row r="5" spans="1:9" s="4" customFormat="1" ht="132" x14ac:dyDescent="0.3">
      <c r="A5" s="11"/>
      <c r="B5" s="12"/>
      <c r="C5" s="12"/>
      <c r="D5" s="12"/>
      <c r="E5" s="12" t="s">
        <v>85</v>
      </c>
      <c r="F5" s="19" t="s">
        <v>86</v>
      </c>
      <c r="G5" s="19" t="s">
        <v>87</v>
      </c>
      <c r="H5" s="12"/>
    </row>
    <row r="6" spans="1:9" s="3" customFormat="1" ht="17.25" x14ac:dyDescent="0.3">
      <c r="A6" s="9"/>
      <c r="B6" s="23">
        <f t="array" ref="B6:H6">DaysAndWeeks+DATE(CalendarYear,7,1)-WEEKDAY(DATE(CalendarYear,7,1),(WeekStart="星期一")+1)+8</f>
        <v>44017</v>
      </c>
      <c r="C6" s="23">
        <v>44018</v>
      </c>
      <c r="D6" s="23">
        <v>44019</v>
      </c>
      <c r="E6" s="23">
        <v>44020</v>
      </c>
      <c r="F6" s="23">
        <v>44021</v>
      </c>
      <c r="G6" s="23">
        <v>44022</v>
      </c>
      <c r="H6" s="23">
        <v>44023</v>
      </c>
    </row>
    <row r="7" spans="1:9" s="4" customFormat="1" ht="115.5" x14ac:dyDescent="0.3">
      <c r="A7" s="11"/>
      <c r="B7" s="24"/>
      <c r="C7" s="24" t="s">
        <v>88</v>
      </c>
      <c r="D7" s="25" t="s">
        <v>89</v>
      </c>
      <c r="E7" s="25" t="s">
        <v>90</v>
      </c>
      <c r="F7" s="25" t="s">
        <v>91</v>
      </c>
      <c r="G7" s="24"/>
      <c r="H7" s="24"/>
    </row>
    <row r="8" spans="1:9" s="3" customFormat="1" ht="19.5" customHeight="1" x14ac:dyDescent="0.3">
      <c r="A8" s="9"/>
      <c r="B8" s="10">
        <f t="array" ref="B8:H8">DaysAndWeeks+DATE(CalendarYear,7,1)-WEEKDAY(DATE(CalendarYear,7,1),(WeekStart="星期一")+1)+15</f>
        <v>44024</v>
      </c>
      <c r="C8" s="10">
        <v>44025</v>
      </c>
      <c r="D8" s="10">
        <v>44026</v>
      </c>
      <c r="E8" s="10">
        <v>44027</v>
      </c>
      <c r="F8" s="10">
        <v>44028</v>
      </c>
      <c r="G8" s="10">
        <v>44029</v>
      </c>
      <c r="H8" s="10">
        <v>44030</v>
      </c>
    </row>
    <row r="9" spans="1:9" s="4" customFormat="1" ht="181.5" x14ac:dyDescent="0.3">
      <c r="A9" s="11"/>
      <c r="B9" s="15"/>
      <c r="C9" s="21" t="s">
        <v>92</v>
      </c>
      <c r="D9" s="15" t="s">
        <v>93</v>
      </c>
      <c r="E9" s="21" t="s">
        <v>94</v>
      </c>
      <c r="F9" s="21" t="s">
        <v>95</v>
      </c>
      <c r="G9" s="21" t="s">
        <v>96</v>
      </c>
      <c r="H9" s="15"/>
    </row>
    <row r="10" spans="1:9" s="3" customFormat="1" ht="19.5" customHeight="1" x14ac:dyDescent="0.3">
      <c r="A10" s="9"/>
      <c r="B10" s="23">
        <f t="array" ref="B10:H10">DaysAndWeeks+DATE(CalendarYear,7,1)-WEEKDAY(DATE(CalendarYear,7,1),(WeekStart="星期一")+1)+22</f>
        <v>44031</v>
      </c>
      <c r="C10" s="23">
        <v>44032</v>
      </c>
      <c r="D10" s="23">
        <v>44033</v>
      </c>
      <c r="E10" s="23">
        <v>44034</v>
      </c>
      <c r="F10" s="23">
        <v>44035</v>
      </c>
      <c r="G10" s="23">
        <v>44036</v>
      </c>
      <c r="H10" s="23">
        <v>44037</v>
      </c>
    </row>
    <row r="11" spans="1:9" s="4" customFormat="1" ht="48" customHeight="1" x14ac:dyDescent="0.3">
      <c r="A11" s="11"/>
      <c r="B11" s="24"/>
      <c r="C11" s="24"/>
      <c r="D11" s="25" t="s">
        <v>97</v>
      </c>
      <c r="E11" s="25" t="s">
        <v>98</v>
      </c>
      <c r="F11" s="24" t="s">
        <v>99</v>
      </c>
      <c r="G11" s="24" t="s">
        <v>100</v>
      </c>
      <c r="H11" s="24"/>
    </row>
    <row r="12" spans="1:9" s="3" customFormat="1" ht="19.5" customHeight="1" x14ac:dyDescent="0.3">
      <c r="A12" s="9"/>
      <c r="B12" s="10">
        <f t="array" ref="B12:H12">DaysAndWeeks+DATE(CalendarYear,7,1)-WEEKDAY(DATE(CalendarYear,7,1),(WeekStart="星期一")+1)+29</f>
        <v>44038</v>
      </c>
      <c r="C12" s="10">
        <v>44039</v>
      </c>
      <c r="D12" s="10">
        <v>44040</v>
      </c>
      <c r="E12" s="10">
        <v>44041</v>
      </c>
      <c r="F12" s="10">
        <v>44042</v>
      </c>
      <c r="G12" s="10">
        <v>44043</v>
      </c>
      <c r="H12" s="10">
        <v>44044</v>
      </c>
    </row>
    <row r="13" spans="1:9" s="4" customFormat="1" ht="165" x14ac:dyDescent="0.3">
      <c r="A13" s="11"/>
      <c r="B13" s="15"/>
      <c r="C13" s="15" t="s">
        <v>101</v>
      </c>
      <c r="D13" s="15" t="s">
        <v>102</v>
      </c>
      <c r="E13" s="21" t="s">
        <v>103</v>
      </c>
      <c r="F13" s="15" t="s">
        <v>104</v>
      </c>
      <c r="G13" s="21" t="s">
        <v>105</v>
      </c>
      <c r="H13" s="15"/>
    </row>
    <row r="14" spans="1:9" s="3" customFormat="1" ht="19.5" customHeight="1" x14ac:dyDescent="0.3">
      <c r="A14" s="9"/>
      <c r="B14" s="23">
        <f t="array" ref="B14:C14">DaysAndWeeks+DATE(CalendarYear,7,1)-WEEKDAY(DATE(CalendarYear,7,1),(WeekStart="星期一")+1)+36</f>
        <v>44045</v>
      </c>
      <c r="C14" s="23">
        <v>44046</v>
      </c>
      <c r="D14" s="67" t="s">
        <v>20</v>
      </c>
      <c r="E14" s="67"/>
      <c r="F14" s="67"/>
      <c r="G14" s="67"/>
      <c r="H14" s="67"/>
    </row>
    <row r="15" spans="1:9" s="4" customFormat="1" ht="48" customHeight="1" x14ac:dyDescent="0.3">
      <c r="A15" s="11"/>
      <c r="B15" s="24"/>
      <c r="C15" s="24"/>
      <c r="D15" s="68"/>
      <c r="E15" s="68"/>
      <c r="F15" s="68"/>
      <c r="G15" s="68"/>
      <c r="H15" s="68"/>
    </row>
  </sheetData>
  <mergeCells count="3">
    <mergeCell ref="B2:D2"/>
    <mergeCell ref="D14:H14"/>
    <mergeCell ref="D15:H15"/>
  </mergeCells>
  <phoneticPr fontId="24" type="noConversion"/>
  <conditionalFormatting sqref="B4:G4">
    <cfRule type="expression" dxfId="11" priority="1">
      <formula>DAY(B4)&gt;8</formula>
    </cfRule>
  </conditionalFormatting>
  <conditionalFormatting sqref="B12:H12 B14:C14">
    <cfRule type="expression" dxfId="10" priority="2">
      <formula>AND(DAY(B12)&gt;=1,DAY(B12)&lt;=15)</formula>
    </cfRule>
  </conditionalFormatting>
  <dataValidations count="8"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7 月日历" sqref="A1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showErrorMessage="1" prompt="自动确定工作日" sqref="C3:H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prompt="在下方单元格中输入每月备注" sqref="D14:H14"/>
    <dataValidation allowBlank="1" showInputMessage="1" prompt="在此单元格中输入每月备注" sqref="D15:H15"/>
  </dataValidations>
  <printOptions horizontalCentered="1"/>
  <pageMargins left="0.25" right="0.25" top="0.5" bottom="0.5" header="0.3" footer="0.3"/>
  <pageSetup paperSize="9" orientation="landscape"/>
  <headerFooter differentFirst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I15"/>
  <sheetViews>
    <sheetView showGridLines="0" showRowColHeaders="0" topLeftCell="A2" workbookViewId="0">
      <selection activeCell="C16" sqref="C16"/>
    </sheetView>
  </sheetViews>
  <sheetFormatPr defaultColWidth="8.88671875" defaultRowHeight="16.5" x14ac:dyDescent="0.3"/>
  <cols>
    <col min="1" max="1" width="1.77734375" style="5" customWidth="1"/>
    <col min="2" max="2" width="15.44140625" style="5" customWidth="1"/>
    <col min="3" max="3" width="35.44140625" style="5" customWidth="1"/>
    <col min="4" max="4" width="29" style="5" customWidth="1"/>
    <col min="5" max="5" width="18" style="5" customWidth="1"/>
    <col min="6" max="6" width="16.5546875" style="5" customWidth="1"/>
    <col min="7" max="7" width="84.6640625" style="5" customWidth="1"/>
    <col min="8" max="8" width="4.88671875" style="5" customWidth="1"/>
    <col min="9" max="9" width="1.77734375" style="5" customWidth="1"/>
    <col min="10" max="10" width="10.6640625" style="5" customWidth="1"/>
    <col min="11" max="16384" width="8.88671875" style="5"/>
  </cols>
  <sheetData>
    <row r="1" spans="1:9" ht="9" customHeight="1" x14ac:dyDescent="0.3">
      <c r="I1" s="5" t="s">
        <v>0</v>
      </c>
    </row>
    <row r="2" spans="1:9" s="1" customFormat="1" ht="100.5" customHeight="1" x14ac:dyDescent="0.3">
      <c r="B2" s="66" t="str">
        <f>CalendarYear&amp;"年"&amp;"8月 "</f>
        <v xml:space="preserve">2020年8月 </v>
      </c>
      <c r="C2" s="66"/>
      <c r="D2" s="66"/>
      <c r="E2" s="6"/>
      <c r="F2" s="6"/>
      <c r="G2" s="6"/>
      <c r="H2" s="7"/>
    </row>
    <row r="3" spans="1:9" s="2" customFormat="1" ht="19.5" customHeight="1" x14ac:dyDescent="0.3">
      <c r="A3" s="5"/>
      <c r="B3" s="22" t="str">
        <f>WeekStart</f>
        <v>星期日</v>
      </c>
      <c r="C3" s="22" t="str">
        <f t="shared" ref="C3:H3" si="0">TEXT(C4,"aaaa")</f>
        <v>星期一</v>
      </c>
      <c r="D3" s="22" t="str">
        <f t="shared" si="0"/>
        <v>星期二</v>
      </c>
      <c r="E3" s="22" t="str">
        <f t="shared" si="0"/>
        <v>星期三</v>
      </c>
      <c r="F3" s="22" t="str">
        <f t="shared" si="0"/>
        <v>星期四</v>
      </c>
      <c r="G3" s="22" t="str">
        <f t="shared" si="0"/>
        <v>星期五</v>
      </c>
      <c r="H3" s="22" t="str">
        <f t="shared" si="0"/>
        <v>星期六</v>
      </c>
    </row>
    <row r="4" spans="1:9" s="3" customFormat="1" ht="19.5" customHeight="1" x14ac:dyDescent="0.3">
      <c r="A4" s="9"/>
      <c r="B4" s="10">
        <f t="array" ref="B4:H4">DaysAndWeeks+DATE(CalendarYear,8,1)-WEEKDAY(DATE(CalendarYear,8,1),(WeekStart="星期一")+1)+1</f>
        <v>44038</v>
      </c>
      <c r="C4" s="10">
        <v>44039</v>
      </c>
      <c r="D4" s="10">
        <v>44040</v>
      </c>
      <c r="E4" s="10">
        <v>44041</v>
      </c>
      <c r="F4" s="10">
        <v>44042</v>
      </c>
      <c r="G4" s="10">
        <v>44043</v>
      </c>
      <c r="H4" s="10">
        <v>44044</v>
      </c>
    </row>
    <row r="5" spans="1:9" s="4" customFormat="1" ht="48" customHeight="1" x14ac:dyDescent="0.3">
      <c r="A5" s="11"/>
      <c r="B5" s="12"/>
      <c r="C5" s="12"/>
      <c r="D5" s="12"/>
      <c r="E5" s="12"/>
      <c r="F5" s="12"/>
      <c r="G5" s="12"/>
      <c r="H5" s="12"/>
    </row>
    <row r="6" spans="1:9" s="3" customFormat="1" ht="19.5" customHeight="1" x14ac:dyDescent="0.3">
      <c r="A6" s="9"/>
      <c r="B6" s="23">
        <f t="array" ref="B6:H6">DaysAndWeeks+DATE(CalendarYear,8,1)-WEEKDAY(DATE(CalendarYear,8,1),(WeekStart="星期一")+1)+8</f>
        <v>44045</v>
      </c>
      <c r="C6" s="23">
        <v>44046</v>
      </c>
      <c r="D6" s="23">
        <v>44047</v>
      </c>
      <c r="E6" s="23">
        <v>44048</v>
      </c>
      <c r="F6" s="23">
        <v>44049</v>
      </c>
      <c r="G6" s="23">
        <v>44050</v>
      </c>
      <c r="H6" s="23">
        <v>44051</v>
      </c>
    </row>
    <row r="7" spans="1:9" s="4" customFormat="1" ht="48" customHeight="1" x14ac:dyDescent="0.3">
      <c r="A7" s="11"/>
      <c r="B7" s="24"/>
      <c r="C7" s="24" t="s">
        <v>106</v>
      </c>
      <c r="D7" s="24" t="s">
        <v>107</v>
      </c>
      <c r="E7" s="25" t="s">
        <v>108</v>
      </c>
      <c r="F7" s="24"/>
      <c r="G7" s="24" t="s">
        <v>109</v>
      </c>
      <c r="H7" s="24"/>
    </row>
    <row r="8" spans="1:9" s="3" customFormat="1" ht="19.5" customHeight="1" x14ac:dyDescent="0.3">
      <c r="A8" s="9"/>
      <c r="B8" s="10">
        <f t="array" ref="B8:H8">DaysAndWeeks+DATE(CalendarYear,8,1)-WEEKDAY(DATE(CalendarYear,8,1),(WeekStart="星期一")+1)+15</f>
        <v>44052</v>
      </c>
      <c r="C8" s="10">
        <v>44053</v>
      </c>
      <c r="D8" s="10">
        <v>44054</v>
      </c>
      <c r="E8" s="10">
        <v>44055</v>
      </c>
      <c r="F8" s="10">
        <v>44056</v>
      </c>
      <c r="G8" s="10">
        <v>44057</v>
      </c>
      <c r="H8" s="10">
        <v>44058</v>
      </c>
    </row>
    <row r="9" spans="1:9" s="4" customFormat="1" ht="99" x14ac:dyDescent="0.3">
      <c r="A9" s="11"/>
      <c r="B9" s="15"/>
      <c r="C9" s="15" t="s">
        <v>110</v>
      </c>
      <c r="D9" s="15" t="s">
        <v>111</v>
      </c>
      <c r="E9" s="21" t="s">
        <v>112</v>
      </c>
      <c r="F9" s="21" t="s">
        <v>113</v>
      </c>
      <c r="G9" s="15" t="s">
        <v>114</v>
      </c>
      <c r="H9" s="15"/>
    </row>
    <row r="10" spans="1:9" s="3" customFormat="1" ht="19.5" customHeight="1" x14ac:dyDescent="0.3">
      <c r="A10" s="9"/>
      <c r="B10" s="23">
        <f t="array" ref="B10:H10">DaysAndWeeks+DATE(CalendarYear,8,1)-WEEKDAY(DATE(CalendarYear,8,1),(WeekStart="星期一")+1)+22</f>
        <v>44059</v>
      </c>
      <c r="C10" s="23">
        <v>44060</v>
      </c>
      <c r="D10" s="23">
        <v>44061</v>
      </c>
      <c r="E10" s="23">
        <v>44062</v>
      </c>
      <c r="F10" s="23">
        <v>44063</v>
      </c>
      <c r="G10" s="23">
        <v>44064</v>
      </c>
      <c r="H10" s="23">
        <v>44065</v>
      </c>
    </row>
    <row r="11" spans="1:9" s="4" customFormat="1" ht="82.5" x14ac:dyDescent="0.3">
      <c r="A11" s="11"/>
      <c r="B11" s="24"/>
      <c r="C11" s="25" t="s">
        <v>115</v>
      </c>
      <c r="D11" s="25" t="s">
        <v>116</v>
      </c>
      <c r="E11" s="25" t="s">
        <v>117</v>
      </c>
      <c r="F11" s="24" t="s">
        <v>118</v>
      </c>
      <c r="G11" s="24" t="s">
        <v>119</v>
      </c>
      <c r="H11" s="24"/>
    </row>
    <row r="12" spans="1:9" s="3" customFormat="1" ht="19.5" customHeight="1" x14ac:dyDescent="0.3">
      <c r="A12" s="9"/>
      <c r="B12" s="10">
        <f t="array" ref="B12:H12">DaysAndWeeks+DATE(CalendarYear,8,1)-WEEKDAY(DATE(CalendarYear,8,1),(WeekStart="星期一")+1)+29</f>
        <v>44066</v>
      </c>
      <c r="C12" s="10">
        <v>44067</v>
      </c>
      <c r="D12" s="10">
        <v>44068</v>
      </c>
      <c r="E12" s="10">
        <v>44069</v>
      </c>
      <c r="F12" s="10">
        <v>44070</v>
      </c>
      <c r="G12" s="10">
        <v>44071</v>
      </c>
      <c r="H12" s="10">
        <v>44072</v>
      </c>
    </row>
    <row r="13" spans="1:9" s="4" customFormat="1" ht="48" customHeight="1" x14ac:dyDescent="0.3">
      <c r="A13" s="11"/>
      <c r="B13" s="15"/>
      <c r="C13" s="21" t="s">
        <v>120</v>
      </c>
      <c r="D13" s="15" t="s">
        <v>121</v>
      </c>
      <c r="E13" s="21" t="s">
        <v>122</v>
      </c>
      <c r="F13" s="15" t="s">
        <v>123</v>
      </c>
      <c r="G13" s="15" t="s">
        <v>124</v>
      </c>
      <c r="H13" s="15"/>
    </row>
    <row r="14" spans="1:9" s="3" customFormat="1" ht="19.5" customHeight="1" x14ac:dyDescent="0.3">
      <c r="A14" s="9"/>
      <c r="B14" s="23">
        <f t="array" ref="B14:C14">DaysAndWeeks+DATE(CalendarYear,8,1)-WEEKDAY(DATE(CalendarYear,8,1),(WeekStart="星期一")+1)+36</f>
        <v>44073</v>
      </c>
      <c r="C14" s="23">
        <v>44074</v>
      </c>
      <c r="D14" s="67" t="s">
        <v>20</v>
      </c>
      <c r="E14" s="67"/>
      <c r="F14" s="67"/>
      <c r="G14" s="67"/>
      <c r="H14" s="67"/>
    </row>
    <row r="15" spans="1:9" s="4" customFormat="1" ht="48" customHeight="1" x14ac:dyDescent="0.3">
      <c r="A15" s="11"/>
      <c r="B15" s="24"/>
      <c r="C15" s="25" t="s">
        <v>125</v>
      </c>
      <c r="D15" s="68"/>
      <c r="E15" s="68"/>
      <c r="F15" s="68"/>
      <c r="G15" s="68"/>
      <c r="H15" s="68"/>
    </row>
  </sheetData>
  <mergeCells count="3">
    <mergeCell ref="B2:D2"/>
    <mergeCell ref="D14:H14"/>
    <mergeCell ref="D15:H15"/>
  </mergeCells>
  <phoneticPr fontId="24" type="noConversion"/>
  <conditionalFormatting sqref="B4:G4">
    <cfRule type="expression" dxfId="9" priority="1">
      <formula>DAY(B4)&gt;8</formula>
    </cfRule>
  </conditionalFormatting>
  <conditionalFormatting sqref="B12:H12 B14:C14">
    <cfRule type="expression" dxfId="8" priority="2">
      <formula>AND(DAY(B12)&gt;=1,DAY(B12)&lt;=15)</formula>
    </cfRule>
  </conditionalFormatting>
  <dataValidations count="8">
    <dataValidation allowBlank="1" showInputMessage="1" showErrorMessage="1" prompt="8 月日历" sqref="A1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showErrorMessage="1" prompt="自动确定工作日" sqref="C3:H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prompt="在下方单元格中输入每月备注" sqref="D14:H14"/>
    <dataValidation allowBlank="1" showInputMessage="1" prompt="在此单元格中输入每月备注" sqref="D15:H15"/>
  </dataValidations>
  <printOptions horizontalCentered="1"/>
  <pageMargins left="0.25" right="0.25" top="0.5" bottom="0.5" header="0.3" footer="0.3"/>
  <pageSetup paperSize="9" orientation="landscape"/>
  <headerFooter differentFirst="1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I15"/>
  <sheetViews>
    <sheetView showGridLines="0" showRowColHeaders="0" topLeftCell="A10" workbookViewId="0">
      <selection activeCell="F18" sqref="F18"/>
    </sheetView>
  </sheetViews>
  <sheetFormatPr defaultColWidth="8.88671875" defaultRowHeight="16.5" x14ac:dyDescent="0.3"/>
  <cols>
    <col min="1" max="1" width="1.77734375" style="5" customWidth="1"/>
    <col min="2" max="2" width="15.44140625" style="5" customWidth="1"/>
    <col min="3" max="3" width="34.88671875" style="5" customWidth="1"/>
    <col min="4" max="4" width="33.77734375" style="5" customWidth="1"/>
    <col min="5" max="5" width="15.88671875" style="5" customWidth="1"/>
    <col min="6" max="6" width="56.88671875" style="5" customWidth="1"/>
    <col min="7" max="7" width="33.77734375" style="5" customWidth="1"/>
    <col min="8" max="8" width="15.44140625" style="5" customWidth="1"/>
    <col min="9" max="9" width="1.77734375" style="5" customWidth="1"/>
    <col min="10" max="10" width="10.6640625" style="5" customWidth="1"/>
    <col min="11" max="16384" width="8.88671875" style="5"/>
  </cols>
  <sheetData>
    <row r="1" spans="1:9" ht="9" customHeight="1" x14ac:dyDescent="0.3">
      <c r="I1" s="5" t="s">
        <v>0</v>
      </c>
    </row>
    <row r="2" spans="1:9" s="1" customFormat="1" ht="100.5" customHeight="1" x14ac:dyDescent="0.3">
      <c r="B2" s="69" t="str">
        <f>CalendarYear&amp;"年"&amp;"9月 "</f>
        <v xml:space="preserve">2020年9月 </v>
      </c>
      <c r="C2" s="69"/>
      <c r="D2" s="69"/>
      <c r="E2" s="6"/>
      <c r="F2" s="6"/>
      <c r="G2" s="6"/>
      <c r="H2" s="7"/>
    </row>
    <row r="3" spans="1:9" s="2" customFormat="1" ht="19.5" customHeight="1" x14ac:dyDescent="0.3">
      <c r="A3" s="5"/>
      <c r="B3" s="16" t="str">
        <f>WeekStart</f>
        <v>星期日</v>
      </c>
      <c r="C3" s="16" t="str">
        <f t="shared" ref="C3:H3" si="0">TEXT(C4,"aaaa")</f>
        <v>星期一</v>
      </c>
      <c r="D3" s="16" t="str">
        <f t="shared" si="0"/>
        <v>星期二</v>
      </c>
      <c r="E3" s="16" t="str">
        <f t="shared" si="0"/>
        <v>星期三</v>
      </c>
      <c r="F3" s="16" t="str">
        <f t="shared" si="0"/>
        <v>星期四</v>
      </c>
      <c r="G3" s="16" t="str">
        <f t="shared" si="0"/>
        <v>星期五</v>
      </c>
      <c r="H3" s="16" t="str">
        <f t="shared" si="0"/>
        <v>星期六</v>
      </c>
    </row>
    <row r="4" spans="1:9" s="3" customFormat="1" ht="19.5" customHeight="1" x14ac:dyDescent="0.3">
      <c r="A4" s="9"/>
      <c r="B4" s="10">
        <f t="array" ref="B4:H4">DaysAndWeeks+DATE(CalendarYear,9,1)-WEEKDAY(DATE(CalendarYear,9,1),(WeekStart="星期一")+1)+1</f>
        <v>44073</v>
      </c>
      <c r="C4" s="10">
        <v>44074</v>
      </c>
      <c r="D4" s="10">
        <v>44075</v>
      </c>
      <c r="E4" s="10">
        <v>44076</v>
      </c>
      <c r="F4" s="10">
        <v>44077</v>
      </c>
      <c r="G4" s="10">
        <v>44078</v>
      </c>
      <c r="H4" s="10">
        <v>44079</v>
      </c>
    </row>
    <row r="5" spans="1:9" s="4" customFormat="1" ht="82.5" x14ac:dyDescent="0.3">
      <c r="A5" s="11"/>
      <c r="B5" s="12"/>
      <c r="C5" s="12"/>
      <c r="D5" s="19" t="s">
        <v>126</v>
      </c>
      <c r="E5" s="19" t="s">
        <v>127</v>
      </c>
      <c r="F5" s="19" t="s">
        <v>128</v>
      </c>
      <c r="G5" s="19" t="s">
        <v>129</v>
      </c>
      <c r="H5" s="12"/>
    </row>
    <row r="6" spans="1:9" s="3" customFormat="1" ht="17.25" x14ac:dyDescent="0.3">
      <c r="A6" s="9"/>
      <c r="B6" s="17">
        <f t="array" ref="B6:H6">DaysAndWeeks+DATE(CalendarYear,9,1)-WEEKDAY(DATE(CalendarYear,9,1),(WeekStart="星期一")+1)+8</f>
        <v>44080</v>
      </c>
      <c r="C6" s="17">
        <v>44081</v>
      </c>
      <c r="D6" s="17">
        <v>44082</v>
      </c>
      <c r="E6" s="17">
        <v>44083</v>
      </c>
      <c r="F6" s="17">
        <v>44084</v>
      </c>
      <c r="G6" s="17">
        <v>44085</v>
      </c>
      <c r="H6" s="17">
        <v>44086</v>
      </c>
    </row>
    <row r="7" spans="1:9" s="4" customFormat="1" ht="99" x14ac:dyDescent="0.3">
      <c r="A7" s="11"/>
      <c r="B7" s="18"/>
      <c r="C7" s="18" t="s">
        <v>130</v>
      </c>
      <c r="D7" s="20" t="s">
        <v>131</v>
      </c>
      <c r="E7" s="20" t="s">
        <v>132</v>
      </c>
      <c r="F7" s="18" t="s">
        <v>133</v>
      </c>
      <c r="G7" s="18" t="s">
        <v>134</v>
      </c>
      <c r="H7" s="18"/>
    </row>
    <row r="8" spans="1:9" s="3" customFormat="1" ht="17.25" x14ac:dyDescent="0.3">
      <c r="A8" s="9"/>
      <c r="B8" s="10">
        <f t="array" ref="B8:H8">DaysAndWeeks+DATE(CalendarYear,9,1)-WEEKDAY(DATE(CalendarYear,9,1),(WeekStart="星期一")+1)+15</f>
        <v>44087</v>
      </c>
      <c r="C8" s="10">
        <v>44088</v>
      </c>
      <c r="D8" s="10">
        <v>44089</v>
      </c>
      <c r="E8" s="10">
        <v>44090</v>
      </c>
      <c r="F8" s="10">
        <v>44091</v>
      </c>
      <c r="G8" s="10">
        <v>44092</v>
      </c>
      <c r="H8" s="10">
        <v>44093</v>
      </c>
    </row>
    <row r="9" spans="1:9" s="4" customFormat="1" ht="181.5" x14ac:dyDescent="0.3">
      <c r="A9" s="11"/>
      <c r="B9" s="15"/>
      <c r="C9" s="15" t="s">
        <v>135</v>
      </c>
      <c r="D9" s="15" t="s">
        <v>136</v>
      </c>
      <c r="E9" s="21" t="s">
        <v>137</v>
      </c>
      <c r="F9" s="21" t="s">
        <v>138</v>
      </c>
      <c r="G9" s="21" t="s">
        <v>139</v>
      </c>
      <c r="H9" s="15"/>
    </row>
    <row r="10" spans="1:9" s="3" customFormat="1" ht="17.25" x14ac:dyDescent="0.3">
      <c r="A10" s="9"/>
      <c r="B10" s="17">
        <f t="array" ref="B10:H10">DaysAndWeeks+DATE(CalendarYear,9,1)-WEEKDAY(DATE(CalendarYear,9,1),(WeekStart="星期一")+1)+22</f>
        <v>44094</v>
      </c>
      <c r="C10" s="17">
        <v>44095</v>
      </c>
      <c r="D10" s="17">
        <v>44096</v>
      </c>
      <c r="E10" s="17">
        <v>44097</v>
      </c>
      <c r="F10" s="17">
        <v>44098</v>
      </c>
      <c r="G10" s="17">
        <v>44099</v>
      </c>
      <c r="H10" s="17">
        <v>44100</v>
      </c>
    </row>
    <row r="11" spans="1:9" s="4" customFormat="1" ht="214.5" x14ac:dyDescent="0.3">
      <c r="A11" s="11"/>
      <c r="B11" s="18"/>
      <c r="C11" s="20" t="s">
        <v>140</v>
      </c>
      <c r="D11" s="18" t="s">
        <v>141</v>
      </c>
      <c r="E11" s="20" t="s">
        <v>142</v>
      </c>
      <c r="F11" s="20" t="s">
        <v>143</v>
      </c>
      <c r="G11" s="20" t="s">
        <v>144</v>
      </c>
      <c r="H11" s="18"/>
    </row>
    <row r="12" spans="1:9" s="3" customFormat="1" ht="17.25" x14ac:dyDescent="0.3">
      <c r="A12" s="9"/>
      <c r="B12" s="10">
        <f t="array" ref="B12:H12">DaysAndWeeks+DATE(CalendarYear,9,1)-WEEKDAY(DATE(CalendarYear,9,1),(WeekStart="星期一")+1)+29</f>
        <v>44101</v>
      </c>
      <c r="C12" s="10">
        <v>44102</v>
      </c>
      <c r="D12" s="10">
        <v>44103</v>
      </c>
      <c r="E12" s="10">
        <v>44104</v>
      </c>
      <c r="F12" s="10">
        <v>44105</v>
      </c>
      <c r="G12" s="10">
        <v>44106</v>
      </c>
      <c r="H12" s="10">
        <v>44107</v>
      </c>
    </row>
    <row r="13" spans="1:9" s="4" customFormat="1" ht="66" x14ac:dyDescent="0.3">
      <c r="A13" s="11"/>
      <c r="B13" s="38" t="s">
        <v>145</v>
      </c>
      <c r="C13" s="38" t="s">
        <v>146</v>
      </c>
      <c r="D13" s="37" t="s">
        <v>147</v>
      </c>
      <c r="E13" s="37" t="s">
        <v>148</v>
      </c>
      <c r="F13" s="37"/>
      <c r="G13" s="15"/>
      <c r="H13" s="15"/>
    </row>
    <row r="14" spans="1:9" s="3" customFormat="1" ht="19.5" customHeight="1" x14ac:dyDescent="0.3">
      <c r="A14" s="9"/>
      <c r="B14" s="17">
        <f t="array" ref="B14:C14">DaysAndWeeks+DATE(CalendarYear,9,1)-WEEKDAY(DATE(CalendarYear,9,1),(WeekStart="星期一")+1)+36</f>
        <v>44108</v>
      </c>
      <c r="C14" s="17">
        <v>44109</v>
      </c>
      <c r="D14" s="70" t="s">
        <v>20</v>
      </c>
      <c r="E14" s="70"/>
      <c r="F14" s="70"/>
      <c r="G14" s="70"/>
      <c r="H14" s="70"/>
    </row>
    <row r="15" spans="1:9" s="4" customFormat="1" ht="48" customHeight="1" x14ac:dyDescent="0.3">
      <c r="A15" s="11"/>
      <c r="B15" s="18"/>
      <c r="C15" s="18"/>
      <c r="D15" s="71"/>
      <c r="E15" s="71"/>
      <c r="F15" s="71"/>
      <c r="G15" s="71"/>
      <c r="H15" s="71"/>
    </row>
  </sheetData>
  <mergeCells count="3">
    <mergeCell ref="B2:D2"/>
    <mergeCell ref="D14:H14"/>
    <mergeCell ref="D15:H15"/>
  </mergeCells>
  <phoneticPr fontId="24" type="noConversion"/>
  <conditionalFormatting sqref="B4:G4">
    <cfRule type="expression" dxfId="7" priority="1">
      <formula>DAY(B4)&gt;8</formula>
    </cfRule>
  </conditionalFormatting>
  <conditionalFormatting sqref="B12:H12 B14:C14">
    <cfRule type="expression" dxfId="6" priority="2">
      <formula>AND(DAY(B12)&gt;=1,DAY(B12)&lt;=15)</formula>
    </cfRule>
  </conditionalFormatting>
  <dataValidations count="8">
    <dataValidation allowBlank="1" showInputMessage="1" showErrorMessage="1" prompt="自动确定工作日" sqref="C3:H3"/>
    <dataValidation allowBlank="1" showInputMessage="1" showErrorMessage="1" prompt="9 月日历" sqref="A1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prompt="在下方单元格中输入每月备注" sqref="D14:H14"/>
    <dataValidation allowBlank="1" showInputMessage="1" prompt="在此单元格中输入每月备注" sqref="D15:H15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I15"/>
  <sheetViews>
    <sheetView showGridLines="0" showRowColHeaders="0" workbookViewId="0">
      <selection activeCell="F11" sqref="F11"/>
    </sheetView>
  </sheetViews>
  <sheetFormatPr defaultColWidth="8.88671875" defaultRowHeight="16.5" x14ac:dyDescent="0.3"/>
  <cols>
    <col min="1" max="1" width="1.77734375" style="5" customWidth="1"/>
    <col min="2" max="2" width="4.88671875" style="5" customWidth="1"/>
    <col min="3" max="3" width="72.77734375" style="5" customWidth="1"/>
    <col min="4" max="4" width="46.5546875" style="5" customWidth="1"/>
    <col min="5" max="5" width="49.33203125" style="5" customWidth="1"/>
    <col min="6" max="6" width="38.88671875" style="5" customWidth="1"/>
    <col min="7" max="7" width="51.6640625" style="5" customWidth="1"/>
    <col min="8" max="8" width="38.5546875" style="5" customWidth="1"/>
    <col min="9" max="9" width="1.77734375" style="5" customWidth="1"/>
    <col min="10" max="10" width="10.6640625" style="5" customWidth="1"/>
    <col min="11" max="16384" width="8.88671875" style="5"/>
  </cols>
  <sheetData>
    <row r="1" spans="1:9" ht="9" customHeight="1" x14ac:dyDescent="0.3">
      <c r="I1" s="5" t="s">
        <v>0</v>
      </c>
    </row>
    <row r="2" spans="1:9" s="1" customFormat="1" ht="100.5" customHeight="1" x14ac:dyDescent="0.3">
      <c r="B2" s="69" t="str">
        <f>CalendarYear&amp;"年"&amp;"10月 "</f>
        <v xml:space="preserve">2020年10月 </v>
      </c>
      <c r="C2" s="69"/>
      <c r="D2" s="69"/>
      <c r="E2" s="6"/>
      <c r="F2" s="6"/>
      <c r="G2" s="6"/>
      <c r="H2" s="7"/>
    </row>
    <row r="3" spans="1:9" s="2" customFormat="1" ht="19.5" customHeight="1" x14ac:dyDescent="0.3">
      <c r="A3" s="5"/>
      <c r="B3" s="16" t="str">
        <f>WeekStart</f>
        <v>星期日</v>
      </c>
      <c r="C3" s="16" t="str">
        <f t="shared" ref="C3:H3" si="0">TEXT(C4,"aaaa")</f>
        <v>星期一</v>
      </c>
      <c r="D3" s="16" t="str">
        <f t="shared" si="0"/>
        <v>星期二</v>
      </c>
      <c r="E3" s="16" t="str">
        <f t="shared" si="0"/>
        <v>星期三</v>
      </c>
      <c r="F3" s="16" t="str">
        <f t="shared" si="0"/>
        <v>星期四</v>
      </c>
      <c r="G3" s="16" t="str">
        <f t="shared" si="0"/>
        <v>星期五</v>
      </c>
      <c r="H3" s="16" t="str">
        <f t="shared" si="0"/>
        <v>星期六</v>
      </c>
    </row>
    <row r="4" spans="1:9" s="3" customFormat="1" ht="19.5" customHeight="1" x14ac:dyDescent="0.3">
      <c r="A4" s="9"/>
      <c r="B4" s="10">
        <f t="array" ref="B4:H4">DaysAndWeeks+DATE(CalendarYear,10,1)-WEEKDAY(DATE(CalendarYear,10,1),(WeekStart="星期一")+1)+1</f>
        <v>44101</v>
      </c>
      <c r="C4" s="10">
        <v>44102</v>
      </c>
      <c r="D4" s="10">
        <v>44103</v>
      </c>
      <c r="E4" s="10">
        <v>44104</v>
      </c>
      <c r="F4" s="10">
        <v>44105</v>
      </c>
      <c r="G4" s="10">
        <v>44106</v>
      </c>
      <c r="H4" s="10">
        <v>44107</v>
      </c>
    </row>
    <row r="5" spans="1:9" s="4" customFormat="1" ht="48" customHeight="1" x14ac:dyDescent="0.3">
      <c r="A5" s="11"/>
      <c r="B5" s="12"/>
      <c r="C5" s="12"/>
      <c r="D5" s="12"/>
      <c r="E5" s="12"/>
      <c r="F5" s="12"/>
      <c r="G5" s="12"/>
      <c r="H5" s="12"/>
    </row>
    <row r="6" spans="1:9" s="3" customFormat="1" ht="17.25" x14ac:dyDescent="0.3">
      <c r="A6" s="9"/>
      <c r="B6" s="17">
        <f t="array" ref="B6:H6">DaysAndWeeks+DATE(CalendarYear,10,1)-WEEKDAY(DATE(CalendarYear,10,1),(WeekStart="星期一")+1)+8</f>
        <v>44108</v>
      </c>
      <c r="C6" s="17">
        <v>44109</v>
      </c>
      <c r="D6" s="17">
        <v>44110</v>
      </c>
      <c r="E6" s="17">
        <v>44111</v>
      </c>
      <c r="F6" s="17">
        <v>44112</v>
      </c>
      <c r="G6" s="17">
        <v>44113</v>
      </c>
      <c r="H6" s="17">
        <v>44114</v>
      </c>
    </row>
    <row r="7" spans="1:9" s="4" customFormat="1" x14ac:dyDescent="0.3">
      <c r="A7" s="11"/>
      <c r="B7" s="18"/>
      <c r="C7" s="18"/>
      <c r="D7" s="18"/>
      <c r="E7" s="18"/>
      <c r="F7" s="18"/>
      <c r="G7" s="18" t="s">
        <v>149</v>
      </c>
      <c r="H7" s="18" t="s">
        <v>150</v>
      </c>
    </row>
    <row r="8" spans="1:9" s="3" customFormat="1" ht="17.25" x14ac:dyDescent="0.3">
      <c r="A8" s="9"/>
      <c r="B8" s="10">
        <f t="array" ref="B8:H8">DaysAndWeeks+DATE(CalendarYear,10,1)-WEEKDAY(DATE(CalendarYear,10,1),(WeekStart="星期一")+1)+15</f>
        <v>44115</v>
      </c>
      <c r="C8" s="10">
        <v>44116</v>
      </c>
      <c r="D8" s="10">
        <v>44117</v>
      </c>
      <c r="E8" s="10">
        <v>44118</v>
      </c>
      <c r="F8" s="10">
        <v>44119</v>
      </c>
      <c r="G8" s="10">
        <v>44120</v>
      </c>
      <c r="H8" s="10">
        <v>44121</v>
      </c>
    </row>
    <row r="9" spans="1:9" s="4" customFormat="1" ht="66" x14ac:dyDescent="0.3">
      <c r="A9" s="11"/>
      <c r="B9" s="15"/>
      <c r="C9" s="15" t="s">
        <v>151</v>
      </c>
      <c r="D9" s="15" t="s">
        <v>152</v>
      </c>
      <c r="E9" s="15" t="s">
        <v>153</v>
      </c>
      <c r="F9" s="15" t="s">
        <v>154</v>
      </c>
      <c r="G9" s="39" t="s">
        <v>155</v>
      </c>
      <c r="H9" s="15"/>
    </row>
    <row r="10" spans="1:9" s="3" customFormat="1" ht="17.25" x14ac:dyDescent="0.3">
      <c r="A10" s="9"/>
      <c r="B10" s="17">
        <f t="array" ref="B10:H10">DaysAndWeeks+DATE(CalendarYear,10,1)-WEEKDAY(DATE(CalendarYear,10,1),(WeekStart="星期一")+1)+22</f>
        <v>44122</v>
      </c>
      <c r="C10" s="17">
        <v>44123</v>
      </c>
      <c r="D10" s="17">
        <v>44124</v>
      </c>
      <c r="E10" s="17">
        <v>44125</v>
      </c>
      <c r="F10" s="17">
        <v>44126</v>
      </c>
      <c r="G10" s="17">
        <v>44127</v>
      </c>
      <c r="H10" s="17">
        <v>44128</v>
      </c>
    </row>
    <row r="11" spans="1:9" s="4" customFormat="1" ht="66" x14ac:dyDescent="0.3">
      <c r="A11" s="11"/>
      <c r="B11" s="18"/>
      <c r="C11" s="18" t="s">
        <v>156</v>
      </c>
      <c r="D11" s="18" t="s">
        <v>157</v>
      </c>
      <c r="E11" s="20" t="s">
        <v>158</v>
      </c>
      <c r="F11" s="20" t="s">
        <v>159</v>
      </c>
      <c r="G11" s="20" t="s">
        <v>160</v>
      </c>
      <c r="H11" s="18"/>
    </row>
    <row r="12" spans="1:9" s="3" customFormat="1" ht="17.25" x14ac:dyDescent="0.3">
      <c r="A12" s="9"/>
      <c r="B12" s="10">
        <f t="array" ref="B12:H12">DaysAndWeeks+DATE(CalendarYear,10,1)-WEEKDAY(DATE(CalendarYear,10,1),(WeekStart="星期一")+1)+29</f>
        <v>44129</v>
      </c>
      <c r="C12" s="10">
        <v>44130</v>
      </c>
      <c r="D12" s="10">
        <v>44131</v>
      </c>
      <c r="E12" s="10">
        <v>44132</v>
      </c>
      <c r="F12" s="10">
        <v>44133</v>
      </c>
      <c r="G12" s="10">
        <v>44134</v>
      </c>
      <c r="H12" s="10">
        <v>44135</v>
      </c>
    </row>
    <row r="13" spans="1:9" s="4" customFormat="1" ht="33" x14ac:dyDescent="0.3">
      <c r="A13" s="11"/>
      <c r="B13" s="15"/>
      <c r="C13" s="15" t="s">
        <v>161</v>
      </c>
      <c r="D13" s="40" t="s">
        <v>162</v>
      </c>
      <c r="E13" s="15" t="s">
        <v>163</v>
      </c>
      <c r="F13" s="41" t="s">
        <v>164</v>
      </c>
      <c r="G13" s="42" t="s">
        <v>165</v>
      </c>
      <c r="H13" s="15"/>
    </row>
    <row r="14" spans="1:9" s="3" customFormat="1" ht="17.25" x14ac:dyDescent="0.3">
      <c r="A14" s="9"/>
      <c r="B14" s="17">
        <f t="array" ref="B14:C14">DaysAndWeeks+DATE(CalendarYear,10,1)-WEEKDAY(DATE(CalendarYear,10,1),(WeekStart="星期一")+1)+36</f>
        <v>44136</v>
      </c>
      <c r="C14" s="17">
        <v>44137</v>
      </c>
      <c r="D14" s="70" t="s">
        <v>20</v>
      </c>
      <c r="E14" s="70"/>
      <c r="F14" s="70"/>
      <c r="G14" s="70"/>
      <c r="H14" s="70"/>
    </row>
    <row r="15" spans="1:9" s="4" customFormat="1" x14ac:dyDescent="0.3">
      <c r="A15" s="11"/>
      <c r="B15" s="18"/>
      <c r="C15" s="18"/>
      <c r="D15" s="71"/>
      <c r="E15" s="71"/>
      <c r="F15" s="71"/>
      <c r="G15" s="71"/>
      <c r="H15" s="71"/>
    </row>
  </sheetData>
  <mergeCells count="3">
    <mergeCell ref="B2:D2"/>
    <mergeCell ref="D14:H14"/>
    <mergeCell ref="D15:H15"/>
  </mergeCells>
  <phoneticPr fontId="24" type="noConversion"/>
  <conditionalFormatting sqref="B4:G4">
    <cfRule type="expression" dxfId="5" priority="1">
      <formula>DAY(B4)&gt;8</formula>
    </cfRule>
  </conditionalFormatting>
  <conditionalFormatting sqref="B12:H12 B14:C14">
    <cfRule type="expression" dxfId="4" priority="2">
      <formula>AND(DAY(B12)&gt;=1,DAY(B12)&lt;=15)</formula>
    </cfRule>
  </conditionalFormatting>
  <dataValidations count="8"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10 月日历" sqref="A1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showErrorMessage="1" prompt="自动确定工作日" sqref="C3:H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prompt="在下方单元格中输入每月备注" sqref="D14:H14"/>
    <dataValidation allowBlank="1" showInputMessage="1" prompt="在此单元格中输入每月备注" sqref="D15:H15"/>
  </dataValidations>
  <printOptions horizontalCentered="1"/>
  <pageMargins left="0.25" right="0.25" top="0.5" bottom="0.5" header="0.3" footer="0.3"/>
  <pageSetup paperSize="9" orientation="landscape"/>
  <headerFooter differentFirst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I15"/>
  <sheetViews>
    <sheetView showGridLines="0" showRowColHeaders="0" topLeftCell="A10" workbookViewId="0">
      <selection activeCell="C18" sqref="C18"/>
    </sheetView>
  </sheetViews>
  <sheetFormatPr defaultColWidth="8.88671875" defaultRowHeight="16.5" x14ac:dyDescent="0.3"/>
  <cols>
    <col min="1" max="1" width="1.77734375" style="5" customWidth="1"/>
    <col min="2" max="2" width="15.44140625" style="5" customWidth="1"/>
    <col min="3" max="3" width="31.44140625" style="5" customWidth="1"/>
    <col min="4" max="4" width="32.5546875" style="5" customWidth="1"/>
    <col min="5" max="6" width="15.44140625" style="5" customWidth="1"/>
    <col min="7" max="7" width="16.44140625" style="5" customWidth="1"/>
    <col min="8" max="8" width="15.44140625" style="5" customWidth="1"/>
    <col min="9" max="9" width="1.77734375" style="5" customWidth="1"/>
    <col min="10" max="10" width="10.6640625" style="5" customWidth="1"/>
    <col min="11" max="16384" width="8.88671875" style="5"/>
  </cols>
  <sheetData>
    <row r="1" spans="1:9" ht="9" customHeight="1" x14ac:dyDescent="0.3">
      <c r="I1" s="5" t="s">
        <v>0</v>
      </c>
    </row>
    <row r="2" spans="1:9" s="1" customFormat="1" ht="100.5" customHeight="1" x14ac:dyDescent="0.3">
      <c r="B2" s="69" t="str">
        <f>CalendarYear&amp;"年"&amp;"11月 "</f>
        <v xml:space="preserve">2020年11月 </v>
      </c>
      <c r="C2" s="69"/>
      <c r="D2" s="69"/>
      <c r="E2" s="6"/>
      <c r="F2" s="6"/>
      <c r="G2" s="6"/>
      <c r="H2" s="7"/>
    </row>
    <row r="3" spans="1:9" s="2" customFormat="1" ht="19.5" customHeight="1" x14ac:dyDescent="0.3">
      <c r="A3" s="5"/>
      <c r="B3" s="16" t="str">
        <f>WeekStart</f>
        <v>星期日</v>
      </c>
      <c r="C3" s="16" t="str">
        <f t="shared" ref="C3:H3" si="0">TEXT(C4,"aaaa")</f>
        <v>星期一</v>
      </c>
      <c r="D3" s="16" t="str">
        <f t="shared" si="0"/>
        <v>星期二</v>
      </c>
      <c r="E3" s="16" t="str">
        <f t="shared" si="0"/>
        <v>星期三</v>
      </c>
      <c r="F3" s="16" t="str">
        <f t="shared" si="0"/>
        <v>星期四</v>
      </c>
      <c r="G3" s="16" t="str">
        <f t="shared" si="0"/>
        <v>星期五</v>
      </c>
      <c r="H3" s="16" t="str">
        <f t="shared" si="0"/>
        <v>星期六</v>
      </c>
    </row>
    <row r="4" spans="1:9" s="3" customFormat="1" ht="19.5" customHeight="1" x14ac:dyDescent="0.3">
      <c r="A4" s="9"/>
      <c r="B4" s="10">
        <f t="array" ref="B4:H4">DaysAndWeeks+DATE(CalendarYear,11,1)-WEEKDAY(DATE(CalendarYear,11,1),(WeekStart="星期一")+1)+1</f>
        <v>44136</v>
      </c>
      <c r="C4" s="10">
        <v>44137</v>
      </c>
      <c r="D4" s="10">
        <v>44138</v>
      </c>
      <c r="E4" s="10">
        <v>44139</v>
      </c>
      <c r="F4" s="10">
        <v>44140</v>
      </c>
      <c r="G4" s="10">
        <v>44141</v>
      </c>
      <c r="H4" s="10">
        <v>44142</v>
      </c>
    </row>
    <row r="5" spans="1:9" s="4" customFormat="1" ht="132" x14ac:dyDescent="0.3">
      <c r="A5" s="11"/>
      <c r="B5" s="12"/>
      <c r="C5" s="12" t="s">
        <v>166</v>
      </c>
      <c r="D5" s="19" t="s">
        <v>167</v>
      </c>
      <c r="E5" s="12" t="s">
        <v>168</v>
      </c>
      <c r="F5" s="19" t="s">
        <v>169</v>
      </c>
      <c r="G5" s="26" t="s">
        <v>170</v>
      </c>
      <c r="H5" s="12"/>
    </row>
    <row r="6" spans="1:9" s="3" customFormat="1" ht="19.5" customHeight="1" x14ac:dyDescent="0.3">
      <c r="A6" s="9"/>
      <c r="B6" s="17">
        <f t="array" ref="B6:H6">DaysAndWeeks+DATE(CalendarYear,11,1)-WEEKDAY(DATE(CalendarYear,11,1),(WeekStart="星期一")+1)+8</f>
        <v>44143</v>
      </c>
      <c r="C6" s="17">
        <v>44144</v>
      </c>
      <c r="D6" s="17">
        <v>44145</v>
      </c>
      <c r="E6" s="17">
        <v>44146</v>
      </c>
      <c r="F6" s="17">
        <v>44147</v>
      </c>
      <c r="G6" s="17">
        <v>44148</v>
      </c>
      <c r="H6" s="17">
        <v>44149</v>
      </c>
    </row>
    <row r="7" spans="1:9" s="4" customFormat="1" ht="82.5" x14ac:dyDescent="0.3">
      <c r="A7" s="11"/>
      <c r="B7" s="18"/>
      <c r="C7" s="18" t="s">
        <v>171</v>
      </c>
      <c r="D7" s="18" t="s">
        <v>172</v>
      </c>
      <c r="E7" s="20" t="s">
        <v>173</v>
      </c>
      <c r="F7" s="20" t="s">
        <v>173</v>
      </c>
      <c r="G7" s="20" t="s">
        <v>174</v>
      </c>
      <c r="H7" s="18"/>
    </row>
    <row r="8" spans="1:9" s="3" customFormat="1" ht="19.5" customHeight="1" x14ac:dyDescent="0.3">
      <c r="A8" s="9"/>
      <c r="B8" s="10">
        <f t="array" ref="B8:H8">DaysAndWeeks+DATE(CalendarYear,11,1)-WEEKDAY(DATE(CalendarYear,11,1),(WeekStart="星期一")+1)+15</f>
        <v>44150</v>
      </c>
      <c r="C8" s="10">
        <v>44151</v>
      </c>
      <c r="D8" s="10">
        <v>44152</v>
      </c>
      <c r="E8" s="10">
        <v>44153</v>
      </c>
      <c r="F8" s="10">
        <v>44154</v>
      </c>
      <c r="G8" s="10">
        <v>44155</v>
      </c>
      <c r="H8" s="10">
        <v>44156</v>
      </c>
    </row>
    <row r="9" spans="1:9" s="4" customFormat="1" ht="48" customHeight="1" x14ac:dyDescent="0.3">
      <c r="A9" s="11"/>
      <c r="B9" s="15"/>
      <c r="C9" s="43" t="s">
        <v>175</v>
      </c>
      <c r="D9" s="44" t="s">
        <v>176</v>
      </c>
      <c r="E9" s="45" t="s">
        <v>177</v>
      </c>
      <c r="F9" s="15" t="s">
        <v>178</v>
      </c>
      <c r="G9" s="46" t="s">
        <v>179</v>
      </c>
      <c r="H9" s="15"/>
    </row>
    <row r="10" spans="1:9" s="3" customFormat="1" ht="19.5" customHeight="1" x14ac:dyDescent="0.3">
      <c r="A10" s="9"/>
      <c r="B10" s="17">
        <f t="array" ref="B10:H10">DaysAndWeeks+DATE(CalendarYear,11,1)-WEEKDAY(DATE(CalendarYear,11,1),(WeekStart="星期一")+1)+22</f>
        <v>44157</v>
      </c>
      <c r="C10" s="17">
        <v>44158</v>
      </c>
      <c r="D10" s="17">
        <v>44159</v>
      </c>
      <c r="E10" s="17">
        <v>44160</v>
      </c>
      <c r="F10" s="17">
        <v>44161</v>
      </c>
      <c r="G10" s="17">
        <v>44162</v>
      </c>
      <c r="H10" s="17">
        <v>44163</v>
      </c>
    </row>
    <row r="11" spans="1:9" s="4" customFormat="1" ht="48" customHeight="1" x14ac:dyDescent="0.3">
      <c r="A11" s="11"/>
      <c r="B11" s="18"/>
      <c r="C11" s="18" t="s">
        <v>180</v>
      </c>
      <c r="D11" s="20" t="s">
        <v>181</v>
      </c>
      <c r="E11" s="18" t="s">
        <v>182</v>
      </c>
      <c r="F11" s="20" t="s">
        <v>183</v>
      </c>
      <c r="G11" s="20" t="s">
        <v>184</v>
      </c>
      <c r="H11" s="18"/>
    </row>
    <row r="12" spans="1:9" s="3" customFormat="1" ht="19.5" customHeight="1" x14ac:dyDescent="0.3">
      <c r="A12" s="9"/>
      <c r="B12" s="10">
        <f t="array" ref="B12:H12">DaysAndWeeks+DATE(CalendarYear,11,1)-WEEKDAY(DATE(CalendarYear,11,1),(WeekStart="星期一")+1)+29</f>
        <v>44164</v>
      </c>
      <c r="C12" s="10">
        <v>44165</v>
      </c>
      <c r="D12" s="10">
        <v>44166</v>
      </c>
      <c r="E12" s="10">
        <v>44167</v>
      </c>
      <c r="F12" s="10">
        <v>44168</v>
      </c>
      <c r="G12" s="10">
        <v>44169</v>
      </c>
      <c r="H12" s="10">
        <v>44170</v>
      </c>
    </row>
    <row r="13" spans="1:9" s="4" customFormat="1" ht="48" customHeight="1" x14ac:dyDescent="0.3">
      <c r="A13" s="11"/>
      <c r="B13" s="15"/>
      <c r="C13" s="47" t="s">
        <v>185</v>
      </c>
      <c r="D13" s="48"/>
      <c r="E13" s="15"/>
      <c r="F13" s="15"/>
      <c r="G13" s="15"/>
      <c r="H13" s="15"/>
    </row>
    <row r="14" spans="1:9" s="3" customFormat="1" ht="19.5" customHeight="1" x14ac:dyDescent="0.3">
      <c r="A14" s="9"/>
      <c r="B14" s="17">
        <f t="array" ref="B14:C14">DaysAndWeeks+DATE(CalendarYear,11,1)-WEEKDAY(DATE(CalendarYear,11,1),(WeekStart="星期一")+1)+36</f>
        <v>44171</v>
      </c>
      <c r="C14" s="17">
        <v>44172</v>
      </c>
      <c r="D14" s="70" t="s">
        <v>20</v>
      </c>
      <c r="E14" s="70"/>
      <c r="F14" s="70"/>
      <c r="G14" s="70"/>
      <c r="H14" s="70"/>
    </row>
    <row r="15" spans="1:9" s="4" customFormat="1" ht="48" customHeight="1" x14ac:dyDescent="0.3">
      <c r="A15" s="11"/>
      <c r="B15" s="18"/>
      <c r="C15" s="18"/>
      <c r="D15" s="71"/>
      <c r="E15" s="71"/>
      <c r="F15" s="71"/>
      <c r="G15" s="71"/>
      <c r="H15" s="71"/>
    </row>
  </sheetData>
  <mergeCells count="3">
    <mergeCell ref="B2:D2"/>
    <mergeCell ref="D14:H14"/>
    <mergeCell ref="D15:H15"/>
  </mergeCells>
  <phoneticPr fontId="24" type="noConversion"/>
  <conditionalFormatting sqref="B4:G4">
    <cfRule type="expression" dxfId="3" priority="1">
      <formula>DAY(B4)&gt;8</formula>
    </cfRule>
  </conditionalFormatting>
  <conditionalFormatting sqref="B12:H12 B14:C14">
    <cfRule type="expression" dxfId="2" priority="2">
      <formula>AND(DAY(B12)&gt;=1,DAY(B12)&lt;=15)</formula>
    </cfRule>
  </conditionalFormatting>
  <dataValidations count="8">
    <dataValidation allowBlank="1" showInputMessage="1" prompt="在此单元格中输入每月备注" sqref="D15:H15"/>
    <dataValidation allowBlank="1" showInputMessage="1" showErrorMessage="1" prompt="11 月日历" sqref="A1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showErrorMessage="1" prompt="自动确定工作日" sqref="C3:H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prompt="在下方单元格中输入每月备注" sqref="D14:H14"/>
  </dataValidations>
  <printOptions horizontalCentered="1"/>
  <pageMargins left="0.25" right="0.25" top="0.5" bottom="0.5" header="0.3" footer="0.3"/>
  <pageSetup paperSize="9" orientation="landscape"/>
  <headerFooter differentFirst="1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I15"/>
  <sheetViews>
    <sheetView showGridLines="0" showRowColHeaders="0" tabSelected="1" topLeftCell="A13" workbookViewId="0">
      <selection activeCell="D14" sqref="D14:H14"/>
    </sheetView>
  </sheetViews>
  <sheetFormatPr defaultColWidth="8.88671875" defaultRowHeight="16.5" x14ac:dyDescent="0.3"/>
  <cols>
    <col min="1" max="1" width="1.77734375" style="5" customWidth="1"/>
    <col min="2" max="8" width="15.44140625" style="5" customWidth="1"/>
    <col min="9" max="9" width="1.77734375" style="5" customWidth="1"/>
    <col min="10" max="16384" width="8.88671875" style="5"/>
  </cols>
  <sheetData>
    <row r="1" spans="1:9" ht="9" customHeight="1" x14ac:dyDescent="0.3">
      <c r="I1" s="5" t="s">
        <v>0</v>
      </c>
    </row>
    <row r="2" spans="1:9" s="1" customFormat="1" ht="100.5" customHeight="1" x14ac:dyDescent="0.3">
      <c r="B2" s="55" t="str">
        <f>CalendarYear&amp;"年"&amp;"12月 "</f>
        <v xml:space="preserve">2020年12月 </v>
      </c>
      <c r="C2" s="55"/>
      <c r="D2" s="55"/>
      <c r="E2" s="6"/>
      <c r="F2" s="6"/>
      <c r="G2" s="6"/>
      <c r="H2" s="7"/>
    </row>
    <row r="3" spans="1:9" s="2" customFormat="1" ht="19.5" customHeight="1" x14ac:dyDescent="0.3">
      <c r="A3" s="5"/>
      <c r="B3" s="8" t="str">
        <f>WeekStart</f>
        <v>星期日</v>
      </c>
      <c r="C3" s="8" t="str">
        <f t="shared" ref="C3:H3" si="0">TEXT(C4,"aaaa")</f>
        <v>星期一</v>
      </c>
      <c r="D3" s="8" t="str">
        <f t="shared" si="0"/>
        <v>星期二</v>
      </c>
      <c r="E3" s="8" t="str">
        <f t="shared" si="0"/>
        <v>星期三</v>
      </c>
      <c r="F3" s="8" t="str">
        <f t="shared" si="0"/>
        <v>星期四</v>
      </c>
      <c r="G3" s="8" t="str">
        <f t="shared" si="0"/>
        <v>星期五</v>
      </c>
      <c r="H3" s="8" t="str">
        <f t="shared" si="0"/>
        <v>星期六</v>
      </c>
    </row>
    <row r="4" spans="1:9" s="3" customFormat="1" ht="19.5" customHeight="1" x14ac:dyDescent="0.3">
      <c r="A4" s="9"/>
      <c r="B4" s="10">
        <f t="array" ref="B4:H4">DaysAndWeeks+DATE(CalendarYear,12,1)-WEEKDAY(DATE(CalendarYear,12,1),(WeekStart="星期一")+1)+1</f>
        <v>44164</v>
      </c>
      <c r="C4" s="10">
        <v>44165</v>
      </c>
      <c r="D4" s="10">
        <v>44166</v>
      </c>
      <c r="E4" s="10">
        <v>44167</v>
      </c>
      <c r="F4" s="10">
        <v>44168</v>
      </c>
      <c r="G4" s="10">
        <v>44169</v>
      </c>
      <c r="H4" s="10">
        <v>44170</v>
      </c>
    </row>
    <row r="5" spans="1:9" s="4" customFormat="1" ht="48" customHeight="1" x14ac:dyDescent="0.3">
      <c r="A5" s="11"/>
      <c r="B5" s="12"/>
      <c r="C5" s="12"/>
      <c r="D5" s="19" t="s">
        <v>186</v>
      </c>
      <c r="E5" s="19" t="s">
        <v>187</v>
      </c>
      <c r="F5" s="19" t="s">
        <v>188</v>
      </c>
      <c r="G5" s="26" t="s">
        <v>189</v>
      </c>
      <c r="H5" s="12"/>
    </row>
    <row r="6" spans="1:9" s="3" customFormat="1" ht="19.5" customHeight="1" x14ac:dyDescent="0.3">
      <c r="A6" s="9"/>
      <c r="B6" s="13">
        <f t="array" ref="B6:H6">DaysAndWeeks+DATE(CalendarYear,12,1)-WEEKDAY(DATE(CalendarYear,12,1),(WeekStart="星期一")+1)+8</f>
        <v>44171</v>
      </c>
      <c r="C6" s="13">
        <v>44172</v>
      </c>
      <c r="D6" s="13">
        <v>44173</v>
      </c>
      <c r="E6" s="13">
        <v>44174</v>
      </c>
      <c r="F6" s="13">
        <v>44175</v>
      </c>
      <c r="G6" s="13">
        <v>44176</v>
      </c>
      <c r="H6" s="13">
        <v>44177</v>
      </c>
    </row>
    <row r="7" spans="1:9" s="4" customFormat="1" ht="48" customHeight="1" x14ac:dyDescent="0.3">
      <c r="A7" s="11"/>
      <c r="B7" s="14"/>
      <c r="C7" s="31" t="s">
        <v>190</v>
      </c>
      <c r="D7" s="31" t="s">
        <v>191</v>
      </c>
      <c r="E7" s="31" t="s">
        <v>192</v>
      </c>
      <c r="F7" s="31" t="s">
        <v>193</v>
      </c>
      <c r="G7" s="14" t="s">
        <v>194</v>
      </c>
      <c r="H7" s="14"/>
    </row>
    <row r="8" spans="1:9" s="3" customFormat="1" ht="19.5" customHeight="1" x14ac:dyDescent="0.3">
      <c r="A8" s="9"/>
      <c r="B8" s="10">
        <f t="array" ref="B8:H8">DaysAndWeeks+DATE(CalendarYear,12,1)-WEEKDAY(DATE(CalendarYear,12,1),(WeekStart="星期一")+1)+15</f>
        <v>44178</v>
      </c>
      <c r="C8" s="10">
        <v>44179</v>
      </c>
      <c r="D8" s="10">
        <v>44180</v>
      </c>
      <c r="E8" s="10">
        <v>44181</v>
      </c>
      <c r="F8" s="10">
        <v>44182</v>
      </c>
      <c r="G8" s="10">
        <v>44183</v>
      </c>
      <c r="H8" s="10">
        <v>44184</v>
      </c>
    </row>
    <row r="9" spans="1:9" s="4" customFormat="1" ht="115.5" x14ac:dyDescent="0.3">
      <c r="A9" s="11"/>
      <c r="B9" s="15"/>
      <c r="C9" s="49" t="s">
        <v>195</v>
      </c>
      <c r="D9" s="15" t="s">
        <v>196</v>
      </c>
      <c r="E9" s="50" t="s">
        <v>197</v>
      </c>
      <c r="F9" s="51" t="s">
        <v>198</v>
      </c>
      <c r="G9" s="52" t="s">
        <v>199</v>
      </c>
      <c r="H9" s="15"/>
    </row>
    <row r="10" spans="1:9" s="3" customFormat="1" ht="19.5" customHeight="1" x14ac:dyDescent="0.3">
      <c r="A10" s="9"/>
      <c r="B10" s="13">
        <f t="array" ref="B10:H10">DaysAndWeeks+DATE(CalendarYear,12,1)-WEEKDAY(DATE(CalendarYear,12,1),(WeekStart="星期一")+1)+22</f>
        <v>44185</v>
      </c>
      <c r="C10" s="13">
        <v>44186</v>
      </c>
      <c r="D10" s="13">
        <v>44187</v>
      </c>
      <c r="E10" s="13">
        <v>44188</v>
      </c>
      <c r="F10" s="13">
        <v>44189</v>
      </c>
      <c r="G10" s="13">
        <v>44190</v>
      </c>
      <c r="H10" s="13">
        <v>44191</v>
      </c>
    </row>
    <row r="11" spans="1:9" s="4" customFormat="1" ht="48" customHeight="1" x14ac:dyDescent="0.3">
      <c r="A11" s="11"/>
      <c r="B11" s="14"/>
      <c r="C11" s="31" t="s">
        <v>200</v>
      </c>
      <c r="D11" s="14" t="s">
        <v>201</v>
      </c>
      <c r="E11" s="14" t="s">
        <v>202</v>
      </c>
      <c r="F11" s="14" t="s">
        <v>203</v>
      </c>
      <c r="G11" s="31" t="s">
        <v>204</v>
      </c>
      <c r="H11" s="14"/>
    </row>
    <row r="12" spans="1:9" s="3" customFormat="1" ht="19.5" customHeight="1" x14ac:dyDescent="0.3">
      <c r="A12" s="9"/>
      <c r="B12" s="10">
        <f t="array" ref="B12:H12">DaysAndWeeks+DATE(CalendarYear,12,1)-WEEKDAY(DATE(CalendarYear,12,1),(WeekStart="星期一")+1)+29</f>
        <v>44192</v>
      </c>
      <c r="C12" s="10">
        <v>44193</v>
      </c>
      <c r="D12" s="10">
        <v>44194</v>
      </c>
      <c r="E12" s="10">
        <v>44195</v>
      </c>
      <c r="F12" s="10">
        <v>44196</v>
      </c>
      <c r="G12" s="10">
        <v>44197</v>
      </c>
      <c r="H12" s="10">
        <v>44198</v>
      </c>
    </row>
    <row r="13" spans="1:9" s="4" customFormat="1" ht="48" customHeight="1" x14ac:dyDescent="0.3">
      <c r="A13" s="11"/>
      <c r="B13" s="15"/>
      <c r="C13" s="53" t="s">
        <v>205</v>
      </c>
      <c r="D13" s="15" t="s">
        <v>206</v>
      </c>
      <c r="E13" s="54" t="s">
        <v>207</v>
      </c>
      <c r="F13" s="54" t="s">
        <v>208</v>
      </c>
      <c r="G13" s="15"/>
      <c r="H13" s="15"/>
    </row>
    <row r="14" spans="1:9" s="3" customFormat="1" ht="19.5" customHeight="1" x14ac:dyDescent="0.3">
      <c r="A14" s="9"/>
      <c r="B14" s="13">
        <f t="array" ref="B14:C14">DaysAndWeeks+DATE(CalendarYear,12,1)-WEEKDAY(DATE(CalendarYear,12,1),(WeekStart="星期一")+1)+36</f>
        <v>44199</v>
      </c>
      <c r="C14" s="13">
        <v>44200</v>
      </c>
      <c r="D14" s="59" t="s">
        <v>20</v>
      </c>
      <c r="E14" s="59"/>
      <c r="F14" s="59"/>
      <c r="G14" s="59"/>
      <c r="H14" s="59"/>
    </row>
    <row r="15" spans="1:9" s="4" customFormat="1" ht="48" customHeight="1" x14ac:dyDescent="0.3">
      <c r="A15" s="11"/>
      <c r="B15" s="14"/>
      <c r="C15" s="14"/>
      <c r="D15" s="60"/>
      <c r="E15" s="60"/>
      <c r="F15" s="60"/>
      <c r="G15" s="60"/>
      <c r="H15" s="60"/>
    </row>
  </sheetData>
  <mergeCells count="3">
    <mergeCell ref="B2:D2"/>
    <mergeCell ref="D14:H14"/>
    <mergeCell ref="D15:H15"/>
  </mergeCells>
  <phoneticPr fontId="24" type="noConversion"/>
  <conditionalFormatting sqref="B4:G4">
    <cfRule type="expression" dxfId="1" priority="1">
      <formula>DAY(B4)&gt;8</formula>
    </cfRule>
  </conditionalFormatting>
  <conditionalFormatting sqref="B12:H12 B14:C14">
    <cfRule type="expression" dxfId="0" priority="2">
      <formula>AND(DAY(B12)&gt;=1,DAY(B12)&lt;=15)</formula>
    </cfRule>
  </conditionalFormatting>
  <dataValidations count="8">
    <dataValidation allowBlank="1" showInputMessage="1" prompt="在下方单元格中输入每月备注" sqref="D14:H14"/>
    <dataValidation allowBlank="1" showInputMessage="1" showErrorMessage="1" prompt="12 月日历" sqref="A1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showErrorMessage="1" prompt="自动确定工作日" sqref="C3:H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prompt="在此单元格中输入每月备注" sqref="D15:H15"/>
  </dataValidations>
  <printOptions horizontalCentered="1"/>
  <pageMargins left="0.25" right="0.25" top="0.5" bottom="0.5" header="0.3" footer="0.3"/>
  <pageSetup paperSize="9" orientation="landscape"/>
  <headerFooter differentFirst="1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0" ma:contentTypeDescription="Create a new document." ma:contentTypeScope="" ma:versionID="e39e7e9e36de66d473ce04bb4ab2dbb8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9dc5994665da46609c24125788630d8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97501469-543E-4ECF-99B3-50F59D3BB66E}">
  <ds:schemaRefs/>
</ds:datastoreItem>
</file>

<file path=customXml/itemProps2.xml><?xml version="1.0" encoding="utf-8"?>
<ds:datastoreItem xmlns:ds="http://schemas.openxmlformats.org/officeDocument/2006/customXml" ds:itemID="{76CC3E5D-B587-4053-A3C4-C2DF55688C1B}">
  <ds:schemaRefs/>
</ds:datastoreItem>
</file>

<file path=customXml/itemProps3.xml><?xml version="1.0" encoding="utf-8"?>
<ds:datastoreItem xmlns:ds="http://schemas.openxmlformats.org/officeDocument/2006/customXml" ds:itemID="{13D21365-C633-41AF-AFCA-4E29F60F139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39</vt:i4>
      </vt:variant>
    </vt:vector>
  </HeadingPairs>
  <TitlesOfParts>
    <vt:vector size="51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'10 月'!Print_Area</vt:lpstr>
      <vt:lpstr>'11 月'!Print_Area</vt:lpstr>
      <vt:lpstr>'12 月'!Print_Area</vt:lpstr>
      <vt:lpstr>'2 月'!Print_Area</vt:lpstr>
      <vt:lpstr>'3 月'!Print_Area</vt:lpstr>
      <vt:lpstr>'4 月'!Print_Area</vt:lpstr>
      <vt:lpstr>'5 月'!Print_Area</vt:lpstr>
      <vt:lpstr>'6 月'!Print_Area</vt:lpstr>
      <vt:lpstr>'7 月'!Print_Area</vt:lpstr>
      <vt:lpstr>'8 月'!Print_Area</vt:lpstr>
      <vt:lpstr>'9 月'!Print_Area</vt:lpstr>
      <vt:lpstr>RowTitleRegion1..K3</vt:lpstr>
      <vt:lpstr>WeekStart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2020工作日志</dc:title>
  <cp:lastModifiedBy>XZOS</cp:lastModifiedBy>
  <dcterms:created xsi:type="dcterms:W3CDTF">2018-10-01T01:18:00Z</dcterms:created>
  <dcterms:modified xsi:type="dcterms:W3CDTF">2021-01-04T10:23:18Z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KSOProductBuildVer">
    <vt:lpwstr>2052-11.1.0.9999</vt:lpwstr>
  </property>
</Properties>
</file>