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tedance/Code/go/src/code.byted.org/mars/pri_auto_deploy/"/>
    </mc:Choice>
  </mc:AlternateContent>
  <xr:revisionPtr revIDLastSave="0" documentId="13_ncr:1_{FB53A0B6-24D6-704D-ADB3-F95ED417D56D}" xr6:coauthVersionLast="47" xr6:coauthVersionMax="47" xr10:uidLastSave="{00000000-0000-0000-0000-000000000000}"/>
  <bookViews>
    <workbookView xWindow="-38400" yWindow="500" windowWidth="38400" windowHeight="19440" activeTab="1" xr2:uid="{00000000-000D-0000-FFFF-FFFF00000000}"/>
  </bookViews>
  <sheets>
    <sheet name="说明" sheetId="2" r:id="rId1"/>
    <sheet name="项目信息输入" sheetId="3" r:id="rId2"/>
    <sheet name="100W日活-资源列表" sheetId="4" r:id="rId3"/>
    <sheet name="50W日活-资源列表" sheetId="5" r:id="rId4"/>
    <sheet name="POC-资源列表 (演示用，不提供高可用)" sheetId="6" r:id="rId5"/>
    <sheet name="配置项" sheetId="7" state="hidden" r:id="rId6"/>
    <sheet name="项目资源计算表" sheetId="8" state="hidden" r:id="rId7"/>
    <sheet name="选装部署install.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9" l="1"/>
  <c r="E37" i="3"/>
  <c r="B19" i="7" s="1"/>
  <c r="B43" i="3"/>
  <c r="B42" i="3"/>
  <c r="E41" i="3"/>
  <c r="B41" i="3"/>
  <c r="B40" i="3"/>
  <c r="B39" i="3"/>
  <c r="E38" i="3"/>
  <c r="B20" i="7" s="1"/>
  <c r="B38" i="3"/>
  <c r="B37" i="3"/>
  <c r="B36" i="3"/>
  <c r="B35" i="3"/>
  <c r="B34" i="3"/>
  <c r="D6" i="9"/>
  <c r="D5" i="9"/>
  <c r="D9" i="9"/>
  <c r="D11" i="9"/>
  <c r="G18" i="9"/>
  <c r="F18" i="9" s="1"/>
  <c r="B18" i="9" s="1"/>
  <c r="G17" i="9"/>
  <c r="F17" i="9" s="1"/>
  <c r="G16" i="9"/>
  <c r="F16" i="9" s="1"/>
  <c r="G15" i="9"/>
  <c r="F15" i="9" s="1"/>
  <c r="G14" i="9"/>
  <c r="F14" i="9" s="1"/>
  <c r="G13" i="9"/>
  <c r="F13" i="9" s="1"/>
  <c r="G12" i="9"/>
  <c r="F12" i="9"/>
  <c r="D12" i="9" s="1"/>
  <c r="C12" i="9"/>
  <c r="G11" i="9"/>
  <c r="F11" i="9" s="1"/>
  <c r="G10" i="9"/>
  <c r="F10" i="9" s="1"/>
  <c r="G9" i="9"/>
  <c r="F9" i="9" s="1"/>
  <c r="G8" i="9"/>
  <c r="C8" i="9" s="1"/>
  <c r="G7" i="9"/>
  <c r="C7" i="9" s="1"/>
  <c r="G6" i="9"/>
  <c r="F6" i="9"/>
  <c r="C6" i="9"/>
  <c r="G5" i="9"/>
  <c r="F5" i="9" s="1"/>
  <c r="G4" i="9"/>
  <c r="C4" i="9" s="1"/>
  <c r="G3" i="9"/>
  <c r="C3" i="9" s="1"/>
  <c r="O27" i="8"/>
  <c r="P25" i="8"/>
  <c r="O25" i="8"/>
  <c r="N25" i="8"/>
  <c r="M25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O10" i="8"/>
  <c r="P8" i="8"/>
  <c r="O8" i="8"/>
  <c r="N8" i="8"/>
  <c r="M8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B39" i="7"/>
  <c r="B38" i="7"/>
  <c r="B37" i="7"/>
  <c r="B36" i="7"/>
  <c r="B35" i="7"/>
  <c r="B34" i="7"/>
  <c r="B33" i="7"/>
  <c r="B32" i="7"/>
  <c r="B31" i="7"/>
  <c r="B28" i="7"/>
  <c r="B27" i="7"/>
  <c r="B26" i="7"/>
  <c r="B25" i="7"/>
  <c r="B24" i="7"/>
  <c r="B22" i="7"/>
  <c r="B21" i="7"/>
  <c r="B18" i="7"/>
  <c r="B17" i="7"/>
  <c r="B16" i="7"/>
  <c r="E9" i="7"/>
  <c r="B9" i="7"/>
  <c r="B8" i="7"/>
  <c r="B7" i="7"/>
  <c r="B6" i="7"/>
  <c r="E5" i="7"/>
  <c r="B5" i="7"/>
  <c r="B4" i="7"/>
  <c r="B3" i="7"/>
  <c r="B2" i="7"/>
  <c r="E7" i="7" s="1"/>
  <c r="E1" i="7"/>
  <c r="B1" i="7"/>
  <c r="B61" i="3"/>
  <c r="B60" i="3"/>
  <c r="B59" i="3"/>
  <c r="B58" i="3"/>
  <c r="B57" i="3"/>
  <c r="B56" i="3"/>
  <c r="B55" i="3"/>
  <c r="B51" i="3"/>
  <c r="B50" i="3"/>
  <c r="B49" i="3"/>
  <c r="E48" i="3"/>
  <c r="B30" i="7" s="1"/>
  <c r="B48" i="3"/>
  <c r="E47" i="3"/>
  <c r="B29" i="7" s="1"/>
  <c r="B47" i="3"/>
  <c r="B46" i="3"/>
  <c r="B45" i="3"/>
  <c r="B44" i="3"/>
  <c r="B23" i="7"/>
  <c r="B33" i="3"/>
  <c r="D25" i="3"/>
  <c r="D21" i="3"/>
  <c r="F8" i="9" l="1"/>
  <c r="D8" i="9" s="1"/>
  <c r="D12" i="8"/>
  <c r="E10" i="8"/>
  <c r="B8" i="8"/>
  <c r="B12" i="8"/>
  <c r="F7" i="9"/>
  <c r="D7" i="9" s="1"/>
  <c r="C8" i="8"/>
  <c r="C11" i="8"/>
  <c r="C12" i="8"/>
  <c r="E8" i="8"/>
  <c r="E11" i="8"/>
  <c r="D8" i="8"/>
  <c r="D10" i="8"/>
  <c r="B28" i="8"/>
  <c r="F28" i="8" s="1"/>
  <c r="G28" i="8" s="1"/>
  <c r="G14" i="5" s="1"/>
  <c r="D11" i="8"/>
  <c r="C28" i="8"/>
  <c r="E7" i="8"/>
  <c r="D7" i="8"/>
  <c r="C25" i="8"/>
  <c r="D28" i="8"/>
  <c r="E28" i="8"/>
  <c r="F8" i="8"/>
  <c r="G8" i="8" s="1"/>
  <c r="F12" i="8"/>
  <c r="G12" i="8" s="1"/>
  <c r="G15" i="4" s="1"/>
  <c r="B9" i="9"/>
  <c r="B11" i="9"/>
  <c r="B5" i="9"/>
  <c r="D10" i="9"/>
  <c r="B10" i="9"/>
  <c r="D13" i="9"/>
  <c r="B13" i="9"/>
  <c r="D14" i="9"/>
  <c r="B14" i="9"/>
  <c r="D15" i="9"/>
  <c r="B15" i="9"/>
  <c r="B16" i="9"/>
  <c r="D16" i="9"/>
  <c r="D17" i="9"/>
  <c r="B17" i="9"/>
  <c r="E8" i="7"/>
  <c r="E12" i="8"/>
  <c r="F3" i="9"/>
  <c r="C13" i="9"/>
  <c r="B9" i="8"/>
  <c r="B27" i="8"/>
  <c r="B7" i="9"/>
  <c r="C10" i="9"/>
  <c r="C9" i="8"/>
  <c r="B24" i="8"/>
  <c r="C27" i="8"/>
  <c r="D9" i="8"/>
  <c r="C24" i="8"/>
  <c r="D27" i="8"/>
  <c r="E9" i="8"/>
  <c r="B11" i="8"/>
  <c r="D24" i="8"/>
  <c r="E27" i="8"/>
  <c r="B29" i="8"/>
  <c r="C17" i="9"/>
  <c r="C16" i="9" s="1"/>
  <c r="E2" i="7"/>
  <c r="B12" i="7"/>
  <c r="E24" i="8"/>
  <c r="C29" i="8"/>
  <c r="F4" i="9"/>
  <c r="C14" i="9"/>
  <c r="E3" i="7"/>
  <c r="D29" i="8"/>
  <c r="B8" i="9"/>
  <c r="C11" i="9"/>
  <c r="E11" i="7"/>
  <c r="E29" i="8"/>
  <c r="E10" i="7"/>
  <c r="E4" i="7"/>
  <c r="B26" i="8"/>
  <c r="C5" i="9"/>
  <c r="C26" i="8"/>
  <c r="C18" i="9"/>
  <c r="D26" i="8"/>
  <c r="B12" i="9"/>
  <c r="C15" i="9"/>
  <c r="B7" i="8"/>
  <c r="C10" i="8"/>
  <c r="B25" i="8"/>
  <c r="E26" i="8"/>
  <c r="B10" i="8"/>
  <c r="E6" i="7"/>
  <c r="C7" i="8"/>
  <c r="B6" i="9"/>
  <c r="C9" i="9"/>
  <c r="D25" i="8"/>
  <c r="E25" i="8"/>
  <c r="B13" i="7" l="1"/>
  <c r="D20" i="9"/>
  <c r="I8" i="8"/>
  <c r="I10" i="4" s="1"/>
  <c r="H8" i="8"/>
  <c r="H8" i="4" s="1"/>
  <c r="J8" i="8"/>
  <c r="J12" i="8"/>
  <c r="J15" i="4" s="1"/>
  <c r="I12" i="8"/>
  <c r="I15" i="4" s="1"/>
  <c r="H28" i="8"/>
  <c r="H14" i="5" s="1"/>
  <c r="J28" i="8"/>
  <c r="H12" i="8"/>
  <c r="H15" i="4" s="1"/>
  <c r="I28" i="8"/>
  <c r="I7" i="6" s="1"/>
  <c r="G8" i="4"/>
  <c r="G10" i="4"/>
  <c r="G9" i="4"/>
  <c r="J7" i="6"/>
  <c r="J14" i="5"/>
  <c r="F26" i="8"/>
  <c r="G26" i="8" s="1"/>
  <c r="G7" i="5" s="1"/>
  <c r="F9" i="8"/>
  <c r="I9" i="8" s="1"/>
  <c r="I7" i="4" s="1"/>
  <c r="I8" i="4"/>
  <c r="F29" i="8"/>
  <c r="G29" i="8" s="1"/>
  <c r="F11" i="8"/>
  <c r="F10" i="8"/>
  <c r="G10" i="8"/>
  <c r="J8" i="4"/>
  <c r="J10" i="4"/>
  <c r="J9" i="4"/>
  <c r="H10" i="8"/>
  <c r="F7" i="8"/>
  <c r="H7" i="8" s="1"/>
  <c r="F24" i="8"/>
  <c r="I24" i="8" s="1"/>
  <c r="F27" i="8"/>
  <c r="H27" i="8" s="1"/>
  <c r="B3" i="9"/>
  <c r="D3" i="9"/>
  <c r="F25" i="8"/>
  <c r="H25" i="8" s="1"/>
  <c r="B4" i="9"/>
  <c r="H29" i="8"/>
  <c r="G7" i="8" l="1"/>
  <c r="H9" i="4"/>
  <c r="H10" i="4"/>
  <c r="I9" i="4"/>
  <c r="H26" i="8"/>
  <c r="H7" i="5" s="1"/>
  <c r="J29" i="8"/>
  <c r="J8" i="6" s="1"/>
  <c r="J25" i="8"/>
  <c r="J8" i="5" s="1"/>
  <c r="I26" i="8"/>
  <c r="I7" i="5" s="1"/>
  <c r="I14" i="5"/>
  <c r="J26" i="8"/>
  <c r="J7" i="5" s="1"/>
  <c r="I27" i="8"/>
  <c r="I5" i="5" s="1"/>
  <c r="J27" i="8"/>
  <c r="J5" i="5" s="1"/>
  <c r="H24" i="8"/>
  <c r="H12" i="5" s="1"/>
  <c r="G25" i="8"/>
  <c r="G8" i="5" s="1"/>
  <c r="J9" i="8"/>
  <c r="J7" i="4" s="1"/>
  <c r="I20" i="9"/>
  <c r="I29" i="8"/>
  <c r="I15" i="5" s="1"/>
  <c r="G8" i="6"/>
  <c r="G15" i="5"/>
  <c r="H4" i="5"/>
  <c r="H6" i="5"/>
  <c r="H5" i="5"/>
  <c r="I12" i="5"/>
  <c r="I11" i="5"/>
  <c r="I13" i="5"/>
  <c r="J10" i="8"/>
  <c r="I10" i="8"/>
  <c r="H4" i="4"/>
  <c r="H6" i="4"/>
  <c r="H5" i="4"/>
  <c r="H11" i="5"/>
  <c r="H13" i="5"/>
  <c r="H12" i="4"/>
  <c r="H11" i="4"/>
  <c r="H13" i="4"/>
  <c r="G4" i="4"/>
  <c r="G6" i="4"/>
  <c r="G5" i="4"/>
  <c r="B20" i="9"/>
  <c r="H8" i="6"/>
  <c r="H15" i="5"/>
  <c r="I11" i="8"/>
  <c r="I14" i="4" s="1"/>
  <c r="J11" i="8"/>
  <c r="J14" i="4" s="1"/>
  <c r="H11" i="8"/>
  <c r="H14" i="4" s="1"/>
  <c r="G9" i="8"/>
  <c r="G7" i="4" s="1"/>
  <c r="G27" i="8"/>
  <c r="G11" i="8"/>
  <c r="G14" i="4" s="1"/>
  <c r="H9" i="8"/>
  <c r="H7" i="4" s="1"/>
  <c r="J24" i="8"/>
  <c r="G24" i="8"/>
  <c r="G12" i="4"/>
  <c r="G11" i="4"/>
  <c r="G13" i="4"/>
  <c r="J7" i="8"/>
  <c r="I7" i="8"/>
  <c r="H8" i="5"/>
  <c r="H10" i="5"/>
  <c r="H9" i="5"/>
  <c r="I25" i="8"/>
  <c r="I4" i="5" l="1"/>
  <c r="J15" i="5"/>
  <c r="I6" i="5"/>
  <c r="J9" i="5"/>
  <c r="J10" i="5"/>
  <c r="J4" i="5"/>
  <c r="J6" i="5"/>
  <c r="I8" i="6"/>
  <c r="G9" i="5"/>
  <c r="G10" i="5"/>
  <c r="J12" i="5"/>
  <c r="J11" i="5"/>
  <c r="J13" i="5"/>
  <c r="J12" i="4"/>
  <c r="J13" i="4"/>
  <c r="J11" i="4"/>
  <c r="G12" i="5"/>
  <c r="G11" i="5"/>
  <c r="G13" i="5"/>
  <c r="J4" i="4"/>
  <c r="J6" i="4"/>
  <c r="J5" i="4"/>
  <c r="I4" i="4"/>
  <c r="I5" i="4"/>
  <c r="I6" i="4"/>
  <c r="I8" i="5"/>
  <c r="I9" i="5"/>
  <c r="I10" i="5"/>
  <c r="G4" i="5"/>
  <c r="G6" i="5"/>
  <c r="G5" i="5"/>
  <c r="I12" i="4"/>
  <c r="I11" i="4"/>
  <c r="I13" i="4"/>
</calcChain>
</file>

<file path=xl/sharedStrings.xml><?xml version="1.0" encoding="utf-8"?>
<sst xmlns="http://schemas.openxmlformats.org/spreadsheetml/2006/main" count="600" uniqueCount="204">
  <si>
    <t>MARS 低阶集成设计工具（LLD）</t>
  </si>
  <si>
    <t>版本</t>
  </si>
  <si>
    <t>日期</t>
  </si>
  <si>
    <t>责任人</t>
  </si>
  <si>
    <t>审核人</t>
  </si>
  <si>
    <t>备注</t>
  </si>
  <si>
    <t>V1.0</t>
  </si>
  <si>
    <t>简文浩</t>
  </si>
  <si>
    <t>模板初稿</t>
  </si>
  <si>
    <t>V1.1</t>
  </si>
  <si>
    <t>增加sso、maven配置输入</t>
  </si>
  <si>
    <t>V1.2</t>
  </si>
  <si>
    <t>优化文档结构</t>
  </si>
  <si>
    <t>V1.3</t>
  </si>
  <si>
    <t>李肖</t>
  </si>
  <si>
    <t>根据选装部署动态计算资源量</t>
  </si>
  <si>
    <t>V1.4</t>
  </si>
  <si>
    <t>根据选装部署信息生成install.list</t>
  </si>
  <si>
    <t>V1.5</t>
  </si>
  <si>
    <t>朱瑞斌</t>
  </si>
  <si>
    <t>选装部署支持apm和starry</t>
  </si>
  <si>
    <t>序号</t>
  </si>
  <si>
    <t>条目</t>
  </si>
  <si>
    <t>结果信息</t>
  </si>
  <si>
    <t>备注说明</t>
  </si>
  <si>
    <t>项目简称</t>
  </si>
  <si>
    <t>根据项目实际情况填写，最长不超过20个字符</t>
  </si>
  <si>
    <t>部署场景</t>
  </si>
  <si>
    <t>100W日活</t>
  </si>
  <si>
    <t>根据部署场景选择对应的资源列表页签，并填写服务器对应的ip</t>
  </si>
  <si>
    <t>服务类型</t>
  </si>
  <si>
    <t>基座服务</t>
  </si>
  <si>
    <t>部署</t>
  </si>
  <si>
    <t>必选</t>
  </si>
  <si>
    <t>DevOps</t>
  </si>
  <si>
    <t>根据客户实际需求选择</t>
  </si>
  <si>
    <t>Saveu服务（插件&amp;热修复）</t>
  </si>
  <si>
    <t>H5服务（JSBridge权限管理、离线包）</t>
  </si>
  <si>
    <t>框架服务</t>
  </si>
  <si>
    <t>组件平台服务</t>
  </si>
  <si>
    <t>不部署</t>
  </si>
  <si>
    <t>APM服务</t>
  </si>
  <si>
    <t>小程序服务</t>
  </si>
  <si>
    <t>移动网关</t>
  </si>
  <si>
    <t>远程配置</t>
  </si>
  <si>
    <t>移动推送</t>
  </si>
  <si>
    <t>云真机服务</t>
  </si>
  <si>
    <t>性能测试服务</t>
  </si>
  <si>
    <t>功能测试服务</t>
  </si>
  <si>
    <t>项目管理服务</t>
  </si>
  <si>
    <t>低代码服务</t>
  </si>
  <si>
    <t>客户输入信息</t>
  </si>
  <si>
    <t>客户提供</t>
  </si>
  <si>
    <t>前面选项为NA时，结果信息请选择“不涉及”</t>
  </si>
  <si>
    <t>客户SSO类型</t>
  </si>
  <si>
    <t>根据实际情况填写，具体信息在选择协议后参照表下方附录1填写</t>
  </si>
  <si>
    <t>告警配置-Webhook</t>
  </si>
  <si>
    <t>Webhook目的地址，按需提供</t>
  </si>
  <si>
    <t>告警配置-邮箱</t>
  </si>
  <si>
    <t>邮箱通知目的地址，按需提供</t>
  </si>
  <si>
    <t>针对“下载服务”回源加速场景下使用，需要暴露对应服务端口，不提供CDN时置为空</t>
  </si>
  <si>
    <t>网关域名</t>
  </si>
  <si>
    <t>下发服务网关域名</t>
  </si>
  <si>
    <t>示例：dispatch-mars.xxx.com</t>
  </si>
  <si>
    <t>下发服务网关域名协议类型</t>
  </si>
  <si>
    <t>控制台域名</t>
  </si>
  <si>
    <t>基座控制台域名</t>
  </si>
  <si>
    <t>示例：console-mars.xxx.com</t>
  </si>
  <si>
    <t>基座控制台域名协议类型</t>
  </si>
  <si>
    <t>附1-客户SSO配置</t>
  </si>
  <si>
    <t>配置信息（配置项为N/A时无需填写）</t>
  </si>
  <si>
    <t>填写客户sso系统中id值，该id将以超级管理员身份登录，不需要可配置default</t>
  </si>
  <si>
    <t>登出跳转地址，无则不填写</t>
  </si>
  <si>
    <t>样例：https://sso.bytedance.com/oauth2/authorize</t>
  </si>
  <si>
    <t>样例：https://sso.bytedance.com/oauth2/access_token</t>
  </si>
  <si>
    <t>样例：https://sso.bytedance.com/oauth2/userinfo</t>
  </si>
  <si>
    <t>oAuth协议client_id</t>
  </si>
  <si>
    <t>oAuth协议client_secret</t>
  </si>
  <si>
    <t>已配置自动关联，无需手动输入，客户sso需要提供信息时输出</t>
  </si>
  <si>
    <t>true</t>
  </si>
  <si>
    <t>是否使用SAML2.0协议中的NameID字段作为用户名（mars系统中唯一ID）</t>
  </si>
  <si>
    <t>不使用NameID作为用户名时获取用户名的字段</t>
  </si>
  <si>
    <t>none</t>
  </si>
  <si>
    <t>用于展示用户名称，如无可填写none，不提供显示名称平台将展示唯一ID</t>
  </si>
  <si>
    <t>用于平台发送邮件通知使用</t>
  </si>
  <si>
    <t>已配置自动关联，无需手动输入</t>
  </si>
  <si>
    <t>IdP服务id，示例：http://idphost/xxxx(分配给mars的id)</t>
  </si>
  <si>
    <t>IdP提供的验证证书</t>
  </si>
  <si>
    <t>IdP SSO登录地址</t>
  </si>
  <si>
    <t>附2-Maven仓库地址</t>
  </si>
  <si>
    <t>示例：https://maven.byted.org/repository/bytedance_android_snapshots/</t>
  </si>
  <si>
    <t>示例：https://maven.byted.org/repository/bytedance_android/</t>
  </si>
  <si>
    <t>Part 1：虚拟机列表</t>
  </si>
  <si>
    <t>机器名称</t>
  </si>
  <si>
    <t>类别</t>
  </si>
  <si>
    <t>服务</t>
  </si>
  <si>
    <t>MARS功能模块说明</t>
  </si>
  <si>
    <t>vCPU（C）</t>
  </si>
  <si>
    <t>MEM（GB）</t>
  </si>
  <si>
    <t>SysDisk（GB）</t>
  </si>
  <si>
    <t>DataDisk（GB）</t>
  </si>
  <si>
    <t>IP</t>
  </si>
  <si>
    <t>数据盘挂载点</t>
  </si>
  <si>
    <t>部署方式</t>
  </si>
  <si>
    <t>K8S-Master-1</t>
  </si>
  <si>
    <t>MARS Foundation</t>
  </si>
  <si>
    <t>MARS 系统管理服务</t>
  </si>
  <si>
    <t>需填写</t>
  </si>
  <si>
    <t>/data00</t>
  </si>
  <si>
    <t>VM</t>
  </si>
  <si>
    <t>K8S-Master-2</t>
  </si>
  <si>
    <t>K8S-Master-3</t>
  </si>
  <si>
    <t>K8S-Worker-1</t>
  </si>
  <si>
    <t>MARS 插件检测</t>
  </si>
  <si>
    <t>插件检测服务</t>
  </si>
  <si>
    <t>建议使用SSD磁盘</t>
  </si>
  <si>
    <t>K8S-Worker-2</t>
  </si>
  <si>
    <t>MARS data</t>
  </si>
  <si>
    <t>数据服务</t>
  </si>
  <si>
    <t>MARS基础中间件-MySQL，Redis，RocketMQ，Kafka</t>
  </si>
  <si>
    <t>K8S-Worker-3</t>
  </si>
  <si>
    <t>K8S-Worker-4</t>
  </si>
  <si>
    <t>K8S-Worker-5</t>
  </si>
  <si>
    <t>MARS 下发端</t>
  </si>
  <si>
    <t>下发端服务</t>
  </si>
  <si>
    <t>K8S-Worker-6</t>
  </si>
  <si>
    <t>K8S-Worker-7</t>
  </si>
  <si>
    <t>MARS-Android</t>
  </si>
  <si>
    <t>MARS DevOps</t>
  </si>
  <si>
    <t>Android打包</t>
  </si>
  <si>
    <t>MARS-iOS</t>
  </si>
  <si>
    <t>iOS打包（mac mini 或 mac pro）</t>
  </si>
  <si>
    <t>N/A</t>
  </si>
  <si>
    <t>MAC</t>
  </si>
  <si>
    <t>建议Mac mini intel 顶配/Mac</t>
  </si>
  <si>
    <t>MARS</t>
  </si>
  <si>
    <t>基座及poc试用服务</t>
  </si>
  <si>
    <t>Android打包、flutter打包</t>
  </si>
  <si>
    <t>服务器节点</t>
  </si>
  <si>
    <t>告警webhook</t>
  </si>
  <si>
    <t>cdn域名</t>
  </si>
  <si>
    <t>下发端域名</t>
  </si>
  <si>
    <t>下发端域名协议</t>
  </si>
  <si>
    <t>控制台域名协议</t>
  </si>
  <si>
    <t>sso协议类型</t>
  </si>
  <si>
    <t>插件检测节点</t>
  </si>
  <si>
    <t>所有服务器节点</t>
  </si>
  <si>
    <t>sso配置项开始</t>
  </si>
  <si>
    <t>sso配置项结束</t>
  </si>
  <si>
    <t>maven配置开始</t>
  </si>
  <si>
    <t>maven配置结束</t>
  </si>
  <si>
    <t>本页统计各业务实际需要的资源信息表，根据选装组件和日活信息，动态计算实际需要的资源 (本页可隐藏)</t>
  </si>
  <si>
    <t>100万日活表</t>
  </si>
  <si>
    <t>按业务划分详细用量</t>
  </si>
  <si>
    <t>汇总</t>
  </si>
  <si>
    <t>mars-base</t>
  </si>
  <si>
    <t>mars-devops</t>
  </si>
  <si>
    <t>mars-saveu</t>
  </si>
  <si>
    <t>mars-h5</t>
  </si>
  <si>
    <t>组件平台</t>
  </si>
  <si>
    <t>项目管理</t>
  </si>
  <si>
    <t>功能测试</t>
  </si>
  <si>
    <t>性能测试</t>
  </si>
  <si>
    <t>云真机</t>
  </si>
  <si>
    <t>总台数</t>
  </si>
  <si>
    <t>每台CPU（C）</t>
  </si>
  <si>
    <t>每台mem（G）</t>
  </si>
  <si>
    <t>每台sysdisk（GB）</t>
  </si>
  <si>
    <t>每台datadisk（GB)</t>
  </si>
  <si>
    <t>部署系数(根据选装部署计算)</t>
  </si>
  <si>
    <t>下发端（计算型）</t>
  </si>
  <si>
    <t>数据服务（IO型）</t>
  </si>
  <si>
    <t>插件检测（计算型）</t>
  </si>
  <si>
    <t>Master服务器</t>
  </si>
  <si>
    <t>Android打包机</t>
  </si>
  <si>
    <t>iOS打包机</t>
  </si>
  <si>
    <t>注：对于所有服务共用的资源，计算在base中</t>
  </si>
  <si>
    <t>50万日活表</t>
  </si>
  <si>
    <t>此处收集选装部署实际install.list文件内容，basedeploy和mars_charts的install.list</t>
  </si>
  <si>
    <t>mars.install.list</t>
  </si>
  <si>
    <t>mars.menu.list</t>
  </si>
  <si>
    <t>base.install.list（逗号分隔）</t>
  </si>
  <si>
    <t>实际是否部署</t>
  </si>
  <si>
    <t>是否显示菜单</t>
  </si>
  <si>
    <t>汇总mars的install.list文件</t>
  </si>
  <si>
    <t>汇总mars的menu.list文件</t>
  </si>
  <si>
    <t>全量的base.install.list</t>
  </si>
  <si>
    <t>base_env
sys_depend
python
consul
redis
mysql
jdk
zookeeper
hadoop
kafka
kafka_os
hbase
hive
spark
bigdata_client
docker
docker_registry
k8s
clickhouse
clickhouse_os
elastic
fluentbit
etcd
influxdb
telegraf
longhorn
k8s_svc
metrics_agent
rocketmq
monitor
client_tools
apminsight_agent
jmxtrans
mongodb
k8s_gpu</t>
  </si>
  <si>
    <t>汇总的BaseDeploy的install.list文件
（算法：遍历全量install.list，看是否在本列表中含有，生成最终的列表）</t>
  </si>
  <si>
    <t>192.168.1.105</t>
  </si>
  <si>
    <t>192.168.1.125</t>
  </si>
  <si>
    <t>192.168.1.119</t>
  </si>
  <si>
    <t>zhilian</t>
  </si>
  <si>
    <t>zhilian.pri-customer.vemarsdev.com</t>
  </si>
  <si>
    <t>使用CAS 2.0协议接入</t>
  </si>
  <si>
    <t>name</t>
  </si>
  <si>
    <t>phone_number</t>
  </si>
  <si>
    <t>email</t>
  </si>
  <si>
    <t>https://fegfbkefdmfm-demo.authing.cn/cas-idp/6281ef36227e414d07a35d4c</t>
  </si>
  <si>
    <t>https://fegfbkefdmfm-demo.authing.cn/cas-idp/6281ef36227e414d07a35d4c/logout</t>
  </si>
  <si>
    <t>https</t>
  </si>
  <si>
    <t>V1.6</t>
  </si>
  <si>
    <t>SSO支持CAS 2.0</t>
  </si>
  <si>
    <t>zhilian-api.pri-customer.vemarsdev.com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</si>
</sst>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_ "/>
    <numFmt numFmtId="166" formatCode="0;\-0;;@"/>
  </numFmts>
  <fonts count="76" x14ac:knownFonts="1">
    <font>
      <sz val="10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0"/>
      <color rgb="FF7F7F7F"/>
      <name val="Calibri"/>
      <family val="2"/>
    </font>
    <font>
      <sz val="10"/>
      <color rgb="FF7F7F7F"/>
      <name val="Calibri"/>
      <family val="2"/>
    </font>
    <font>
      <i/>
      <sz val="10"/>
      <color rgb="FFFF0000"/>
      <name val="Calibri"/>
      <family val="2"/>
    </font>
    <font>
      <sz val="10"/>
      <color rgb="FF7F7F7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b/>
      <sz val="12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7F7F7F"/>
      <name val="Calibri"/>
      <family val="2"/>
    </font>
    <font>
      <b/>
      <sz val="10"/>
      <color rgb="FF225BBA"/>
      <name val="Calibri"/>
      <family val="2"/>
    </font>
    <font>
      <sz val="12"/>
      <color rgb="FF000000"/>
      <name val="Calibri"/>
      <family val="2"/>
    </font>
    <font>
      <i/>
      <sz val="10"/>
      <color rgb="FF7F7F7F"/>
      <name val="Calibri"/>
      <family val="2"/>
    </font>
    <font>
      <b/>
      <sz val="10"/>
      <color rgb="FF7F7F7F"/>
      <name val="Calibri"/>
      <family val="2"/>
    </font>
    <font>
      <sz val="10"/>
      <color rgb="FF000000"/>
      <name val="Calibri"/>
      <family val="2"/>
    </font>
    <font>
      <b/>
      <sz val="14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7F7F7F"/>
      <name val="Calibri"/>
      <family val="2"/>
    </font>
    <font>
      <sz val="10"/>
      <color rgb="FFFF0000"/>
      <name val="Calibri"/>
      <family val="2"/>
    </font>
    <font>
      <b/>
      <sz val="10"/>
      <color rgb="FF7030A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225BBA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225BBA"/>
      <name val="Calibri"/>
      <family val="2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225BBA"/>
      </patternFill>
    </fill>
    <fill>
      <patternFill patternType="solid">
        <fgColor rgb="FFD8D8D8"/>
      </patternFill>
    </fill>
    <fill>
      <patternFill patternType="solid">
        <fgColor rgb="FF78E6DC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4" fillId="0" borderId="12" xfId="0" applyFont="1" applyBorder="1"/>
    <xf numFmtId="0" fontId="17" fillId="5" borderId="15" xfId="0" applyFont="1" applyFill="1" applyBorder="1" applyAlignment="1">
      <alignment horizontal="left" vertical="center"/>
    </xf>
    <xf numFmtId="0" fontId="19" fillId="6" borderId="17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49" fontId="25" fillId="10" borderId="23" xfId="0" applyNumberFormat="1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32" fillId="0" borderId="30" xfId="0" applyFont="1" applyBorder="1" applyAlignment="1">
      <alignment vertical="center" wrapText="1"/>
    </xf>
    <xf numFmtId="49" fontId="36" fillId="15" borderId="34" xfId="0" applyNumberFormat="1" applyFont="1" applyFill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/>
    </xf>
    <xf numFmtId="0" fontId="39" fillId="0" borderId="37" xfId="0" applyFont="1" applyBorder="1" applyAlignment="1">
      <alignment vertical="center"/>
    </xf>
    <xf numFmtId="0" fontId="40" fillId="0" borderId="38" xfId="0" applyFont="1" applyBorder="1" applyAlignment="1">
      <alignment horizontal="center" vertical="center"/>
    </xf>
    <xf numFmtId="0" fontId="41" fillId="0" borderId="39" xfId="0" applyFont="1" applyBorder="1" applyAlignment="1">
      <alignment vertical="center" wrapText="1"/>
    </xf>
    <xf numFmtId="165" fontId="44" fillId="0" borderId="42" xfId="0" applyNumberFormat="1" applyFont="1" applyBorder="1" applyAlignment="1">
      <alignment horizontal="center" vertical="center"/>
    </xf>
    <xf numFmtId="49" fontId="45" fillId="0" borderId="43" xfId="0" applyNumberFormat="1" applyFont="1" applyBorder="1" applyAlignment="1">
      <alignment horizontal="left" vertical="center"/>
    </xf>
    <xf numFmtId="165" fontId="46" fillId="0" borderId="44" xfId="0" applyNumberFormat="1" applyFont="1" applyBorder="1" applyAlignment="1">
      <alignment horizontal="left" vertical="center"/>
    </xf>
    <xf numFmtId="49" fontId="47" fillId="16" borderId="45" xfId="0" applyNumberFormat="1" applyFont="1" applyFill="1" applyBorder="1" applyAlignment="1">
      <alignment horizontal="center" vertical="center"/>
    </xf>
    <xf numFmtId="49" fontId="48" fillId="0" borderId="46" xfId="0" applyNumberFormat="1" applyFont="1" applyBorder="1" applyAlignment="1">
      <alignment horizontal="left" vertical="center"/>
    </xf>
    <xf numFmtId="165" fontId="49" fillId="0" borderId="47" xfId="0" applyNumberFormat="1" applyFont="1" applyBorder="1" applyAlignment="1">
      <alignment horizontal="center" vertical="center"/>
    </xf>
    <xf numFmtId="165" fontId="50" fillId="0" borderId="48" xfId="0" applyNumberFormat="1" applyFont="1" applyBorder="1" applyAlignment="1">
      <alignment horizontal="left" vertical="center"/>
    </xf>
    <xf numFmtId="0" fontId="51" fillId="0" borderId="49" xfId="0" applyFont="1" applyBorder="1" applyAlignment="1">
      <alignment vertical="center"/>
    </xf>
    <xf numFmtId="0" fontId="52" fillId="0" borderId="50" xfId="0" applyFont="1" applyBorder="1" applyAlignment="1">
      <alignment vertical="center" wrapText="1"/>
    </xf>
    <xf numFmtId="0" fontId="53" fillId="0" borderId="51" xfId="0" applyFont="1" applyBorder="1" applyAlignment="1">
      <alignment vertical="center" wrapText="1"/>
    </xf>
    <xf numFmtId="166" fontId="54" fillId="0" borderId="52" xfId="0" applyNumberFormat="1" applyFont="1" applyBorder="1" applyAlignment="1">
      <alignment vertical="center"/>
    </xf>
    <xf numFmtId="0" fontId="55" fillId="0" borderId="53" xfId="0" applyFont="1" applyBorder="1" applyAlignment="1">
      <alignment vertical="center"/>
    </xf>
    <xf numFmtId="0" fontId="56" fillId="0" borderId="54" xfId="0" applyFont="1" applyBorder="1" applyAlignment="1">
      <alignment vertical="center"/>
    </xf>
    <xf numFmtId="0" fontId="60" fillId="0" borderId="58" xfId="0" applyFont="1" applyBorder="1" applyAlignment="1">
      <alignment horizontal="center" vertical="center"/>
    </xf>
    <xf numFmtId="0" fontId="63" fillId="0" borderId="61" xfId="0" applyFont="1" applyBorder="1" applyAlignment="1">
      <alignment horizontal="center" vertical="center"/>
    </xf>
    <xf numFmtId="0" fontId="64" fillId="0" borderId="62" xfId="0" applyFont="1" applyBorder="1" applyAlignment="1">
      <alignment vertical="center" wrapText="1"/>
    </xf>
    <xf numFmtId="0" fontId="68" fillId="0" borderId="66" xfId="0" applyFont="1" applyBorder="1" applyAlignment="1">
      <alignment horizontal="center" vertical="center"/>
    </xf>
    <xf numFmtId="0" fontId="69" fillId="19" borderId="67" xfId="0" applyFont="1" applyFill="1" applyBorder="1" applyAlignment="1">
      <alignment vertical="center"/>
    </xf>
    <xf numFmtId="0" fontId="71" fillId="0" borderId="69" xfId="0" applyFont="1" applyBorder="1" applyAlignment="1">
      <alignment vertical="center"/>
    </xf>
    <xf numFmtId="0" fontId="73" fillId="0" borderId="71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7" xfId="0" applyFont="1" applyBorder="1" applyAlignment="1">
      <alignment vertical="center"/>
    </xf>
    <xf numFmtId="49" fontId="3" fillId="0" borderId="67" xfId="0" applyNumberFormat="1" applyFont="1" applyBorder="1" applyAlignment="1">
      <alignment vertical="center"/>
    </xf>
    <xf numFmtId="0" fontId="75" fillId="0" borderId="67" xfId="1" applyBorder="1" applyAlignment="1">
      <alignment vertical="center"/>
    </xf>
    <xf numFmtId="0" fontId="2" fillId="18" borderId="67" xfId="0" applyFont="1" applyFill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3" fillId="0" borderId="67" xfId="0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17" borderId="68" xfId="0" applyFont="1" applyFill="1" applyBorder="1" applyAlignment="1">
      <alignment horizontal="center" vertical="center"/>
    </xf>
    <xf numFmtId="0" fontId="1" fillId="17" borderId="65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49" fontId="36" fillId="15" borderId="34" xfId="0" applyNumberFormat="1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/>
    </xf>
    <xf numFmtId="49" fontId="33" fillId="0" borderId="31" xfId="0" applyNumberFormat="1" applyFont="1" applyBorder="1" applyAlignment="1">
      <alignment horizontal="left" vertical="center" wrapText="1"/>
    </xf>
    <xf numFmtId="49" fontId="25" fillId="10" borderId="23" xfId="0" applyNumberFormat="1" applyFont="1" applyFill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35" fillId="14" borderId="3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left" vertical="center"/>
    </xf>
    <xf numFmtId="0" fontId="31" fillId="12" borderId="29" xfId="0" applyFont="1" applyFill="1" applyBorder="1" applyAlignment="1">
      <alignment horizontal="left" vertical="center"/>
    </xf>
    <xf numFmtId="0" fontId="34" fillId="13" borderId="3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30" fillId="11" borderId="2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38" fillId="0" borderId="36" xfId="0" applyNumberFormat="1" applyFont="1" applyBorder="1" applyAlignment="1">
      <alignment horizontal="left" vertical="center" wrapText="1"/>
    </xf>
    <xf numFmtId="49" fontId="22" fillId="7" borderId="20" xfId="0" applyNumberFormat="1" applyFont="1" applyFill="1" applyBorder="1" applyAlignment="1">
      <alignment horizontal="center" vertical="center" wrapText="1"/>
    </xf>
    <xf numFmtId="49" fontId="23" fillId="8" borderId="21" xfId="0" applyNumberFormat="1" applyFont="1" applyFill="1" applyBorder="1" applyAlignment="1">
      <alignment horizontal="center" vertical="center" wrapText="1"/>
    </xf>
    <xf numFmtId="49" fontId="24" fillId="9" borderId="22" xfId="0" applyNumberFormat="1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left" vertical="center"/>
    </xf>
    <xf numFmtId="0" fontId="43" fillId="0" borderId="41" xfId="0" applyFont="1" applyBorder="1" applyAlignment="1">
      <alignment horizontal="left" vertical="center"/>
    </xf>
    <xf numFmtId="49" fontId="42" fillId="0" borderId="4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62" fillId="18" borderId="60" xfId="0" applyFont="1" applyFill="1" applyBorder="1" applyAlignment="1">
      <alignment horizontal="left" vertical="center"/>
    </xf>
    <xf numFmtId="0" fontId="59" fillId="17" borderId="57" xfId="0" applyFont="1" applyFill="1" applyBorder="1" applyAlignment="1">
      <alignment horizontal="center" vertical="center"/>
    </xf>
    <xf numFmtId="0" fontId="70" fillId="0" borderId="68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6" fillId="0" borderId="64" xfId="0" applyFont="1" applyBorder="1" applyAlignment="1">
      <alignment horizontal="left" vertical="center"/>
    </xf>
    <xf numFmtId="0" fontId="65" fillId="0" borderId="6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2" fillId="0" borderId="70" xfId="0" applyFont="1" applyBorder="1" applyAlignment="1">
      <alignment horizontal="center" vertical="center"/>
    </xf>
    <xf numFmtId="0" fontId="58" fillId="0" borderId="56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57" fillId="0" borderId="5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ill>
        <patternFill patternType="solid">
          <fgColor indexed="64"/>
          <bgColor rgb="FFA5A5A5"/>
        </patternFill>
      </fill>
    </dxf>
    <dxf>
      <font>
        <sz val="11"/>
        <color rgb="FF006100"/>
        <name val="Calibri"/>
        <family val="2"/>
      </font>
      <fill>
        <patternFill patternType="solid">
          <fgColor indexed="64"/>
          <bgColor rgb="FFC6EFCE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  <dxf>
      <font>
        <sz val="11"/>
        <color rgb="FFF2F2F2"/>
        <name val="Calibri"/>
        <family val="2"/>
      </font>
      <fill>
        <patternFill patternType="solid">
          <fgColor indexed="64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egfbkefdmfm-demo.authing.cn/cas-idp/6281ef36227e414d07a35d4c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B2B2-A394-E64B-87FA-4D2B7D27A505}">
  <dimension ref="A1:F20"/>
  <sheetViews>
    <sheetView showGridLines="0" workbookViewId="0">
      <selection activeCell="F11" sqref="F11"/>
    </sheetView>
  </sheetViews>
  <sheetFormatPr baseColWidth="10" defaultColWidth="14" defaultRowHeight="14" x14ac:dyDescent="0.2"/>
  <cols>
    <col min="1" max="1" width="11" customWidth="1"/>
    <col min="2" max="5" width="23" customWidth="1"/>
    <col min="6" max="6" width="31" customWidth="1"/>
    <col min="7" max="20" width="13" customWidth="1"/>
  </cols>
  <sheetData>
    <row r="1" spans="1:6" ht="19" customHeight="1" x14ac:dyDescent="0.2"/>
    <row r="2" spans="1:6" ht="19" customHeight="1" x14ac:dyDescent="0.2"/>
    <row r="3" spans="1:6" ht="38" customHeight="1" x14ac:dyDescent="0.2">
      <c r="A3" s="1"/>
      <c r="B3" s="57" t="s">
        <v>0</v>
      </c>
      <c r="C3" s="58"/>
      <c r="D3" s="58"/>
      <c r="E3" s="58"/>
      <c r="F3" s="59"/>
    </row>
    <row r="4" spans="1:6" ht="29" customHeight="1" x14ac:dyDescent="0.2">
      <c r="A4" s="1"/>
      <c r="B4" s="51" t="s">
        <v>1</v>
      </c>
      <c r="C4" s="51" t="s">
        <v>2</v>
      </c>
      <c r="D4" s="51" t="s">
        <v>3</v>
      </c>
      <c r="E4" s="51" t="s">
        <v>4</v>
      </c>
      <c r="F4" s="51" t="s">
        <v>5</v>
      </c>
    </row>
    <row r="5" spans="1:6" ht="24" customHeight="1" x14ac:dyDescent="0.2">
      <c r="A5" s="1"/>
      <c r="B5" s="47" t="s">
        <v>6</v>
      </c>
      <c r="C5" s="52">
        <v>44465</v>
      </c>
      <c r="D5" s="47" t="s">
        <v>7</v>
      </c>
      <c r="E5" s="47"/>
      <c r="F5" s="53" t="s">
        <v>8</v>
      </c>
    </row>
    <row r="6" spans="1:6" ht="24" customHeight="1" x14ac:dyDescent="0.2">
      <c r="A6" s="1"/>
      <c r="B6" s="47" t="s">
        <v>9</v>
      </c>
      <c r="C6" s="52">
        <v>44468</v>
      </c>
      <c r="D6" s="47" t="s">
        <v>7</v>
      </c>
      <c r="E6" s="47"/>
      <c r="F6" s="53" t="s">
        <v>10</v>
      </c>
    </row>
    <row r="7" spans="1:6" ht="24" customHeight="1" x14ac:dyDescent="0.2">
      <c r="A7" s="1"/>
      <c r="B7" s="47" t="s">
        <v>11</v>
      </c>
      <c r="C7" s="52">
        <v>44481</v>
      </c>
      <c r="D7" s="47" t="s">
        <v>7</v>
      </c>
      <c r="E7" s="47"/>
      <c r="F7" s="53" t="s">
        <v>12</v>
      </c>
    </row>
    <row r="8" spans="1:6" ht="24" customHeight="1" x14ac:dyDescent="0.2">
      <c r="A8" s="1"/>
      <c r="B8" s="47" t="s">
        <v>13</v>
      </c>
      <c r="C8" s="52">
        <v>44483</v>
      </c>
      <c r="D8" s="47" t="s">
        <v>14</v>
      </c>
      <c r="E8" s="47"/>
      <c r="F8" s="53" t="s">
        <v>15</v>
      </c>
    </row>
    <row r="9" spans="1:6" ht="24" customHeight="1" x14ac:dyDescent="0.2">
      <c r="A9" s="1"/>
      <c r="B9" s="47" t="s">
        <v>16</v>
      </c>
      <c r="C9" s="54">
        <v>44494</v>
      </c>
      <c r="D9" s="55" t="s">
        <v>14</v>
      </c>
      <c r="E9" s="55"/>
      <c r="F9" s="56" t="s">
        <v>17</v>
      </c>
    </row>
    <row r="10" spans="1:6" ht="24" customHeight="1" x14ac:dyDescent="0.2">
      <c r="A10" s="1"/>
      <c r="B10" s="47" t="s">
        <v>18</v>
      </c>
      <c r="C10" s="52">
        <v>44610</v>
      </c>
      <c r="D10" s="47" t="s">
        <v>19</v>
      </c>
      <c r="E10" s="47"/>
      <c r="F10" s="53" t="s">
        <v>20</v>
      </c>
    </row>
    <row r="11" spans="1:6" ht="24" customHeight="1" x14ac:dyDescent="0.2">
      <c r="A11" s="1"/>
      <c r="B11" s="47" t="s">
        <v>201</v>
      </c>
      <c r="C11" s="52">
        <v>44698</v>
      </c>
      <c r="D11" s="47" t="s">
        <v>14</v>
      </c>
      <c r="E11" s="47"/>
      <c r="F11" s="53" t="s">
        <v>202</v>
      </c>
    </row>
    <row r="12" spans="1:6" ht="19" customHeight="1" x14ac:dyDescent="0.2"/>
    <row r="13" spans="1:6" ht="19" customHeight="1" x14ac:dyDescent="0.2">
      <c r="C13" s="7"/>
    </row>
    <row r="14" spans="1:6" ht="19" customHeight="1" x14ac:dyDescent="0.2"/>
    <row r="15" spans="1:6" ht="19" customHeight="1" x14ac:dyDescent="0.2">
      <c r="B15" s="3"/>
    </row>
    <row r="16" spans="1:6" ht="19" customHeight="1" x14ac:dyDescent="0.2">
      <c r="B16" s="4"/>
    </row>
    <row r="17" spans="2:3" ht="19" customHeight="1" x14ac:dyDescent="0.2">
      <c r="B17" s="4"/>
      <c r="C17" s="10"/>
    </row>
    <row r="18" spans="2:3" ht="19" customHeight="1" x14ac:dyDescent="0.2">
      <c r="B18" s="4"/>
    </row>
    <row r="19" spans="2:3" ht="19" customHeight="1" x14ac:dyDescent="0.2">
      <c r="B19" s="4"/>
    </row>
    <row r="20" spans="2:3" ht="19" customHeight="1" x14ac:dyDescent="0.2"/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4DE8-6CB5-A745-9797-59E94C1C66EA}">
  <dimension ref="B1:F61"/>
  <sheetViews>
    <sheetView showGridLines="0" tabSelected="1" topLeftCell="A19" workbookViewId="0">
      <selection activeCell="E27" sqref="E27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1" customWidth="1"/>
    <col min="4" max="4" width="48" customWidth="1"/>
    <col min="5" max="5" width="59" customWidth="1"/>
    <col min="6" max="6" width="88" customWidth="1"/>
    <col min="7" max="7" width="21" customWidth="1"/>
    <col min="8" max="20" width="14" customWidth="1"/>
  </cols>
  <sheetData>
    <row r="1" spans="2:6" ht="24" customHeight="1" x14ac:dyDescent="0.2"/>
    <row r="2" spans="2:6" ht="29" customHeight="1" x14ac:dyDescent="0.2">
      <c r="B2" s="19" t="s">
        <v>21</v>
      </c>
      <c r="C2" s="61" t="s">
        <v>22</v>
      </c>
      <c r="D2" s="61"/>
      <c r="E2" s="19" t="s">
        <v>23</v>
      </c>
      <c r="F2" s="19" t="s">
        <v>24</v>
      </c>
    </row>
    <row r="3" spans="2:6" ht="24" customHeight="1" x14ac:dyDescent="0.2">
      <c r="B3" s="12">
        <v>1</v>
      </c>
      <c r="C3" s="62" t="s">
        <v>25</v>
      </c>
      <c r="D3" s="62"/>
      <c r="E3" s="45" t="s">
        <v>192</v>
      </c>
      <c r="F3" s="13" t="s">
        <v>26</v>
      </c>
    </row>
    <row r="4" spans="2:6" ht="24" customHeight="1" x14ac:dyDescent="0.2">
      <c r="B4" s="12">
        <v>2</v>
      </c>
      <c r="C4" s="62" t="s">
        <v>27</v>
      </c>
      <c r="D4" s="62"/>
      <c r="E4" s="2" t="s">
        <v>28</v>
      </c>
      <c r="F4" s="13" t="s">
        <v>29</v>
      </c>
    </row>
    <row r="5" spans="2:6" ht="24" customHeight="1" x14ac:dyDescent="0.2">
      <c r="B5" s="71">
        <v>3</v>
      </c>
      <c r="C5" s="68" t="s">
        <v>30</v>
      </c>
      <c r="D5" s="11" t="s">
        <v>31</v>
      </c>
      <c r="E5" s="2" t="s">
        <v>32</v>
      </c>
      <c r="F5" s="13" t="s">
        <v>33</v>
      </c>
    </row>
    <row r="6" spans="2:6" ht="24" customHeight="1" x14ac:dyDescent="0.2">
      <c r="B6" s="72"/>
      <c r="C6" s="69"/>
      <c r="D6" s="11" t="s">
        <v>34</v>
      </c>
      <c r="E6" s="2" t="s">
        <v>32</v>
      </c>
      <c r="F6" s="65" t="s">
        <v>35</v>
      </c>
    </row>
    <row r="7" spans="2:6" ht="24" customHeight="1" x14ac:dyDescent="0.2">
      <c r="B7" s="72"/>
      <c r="C7" s="69"/>
      <c r="D7" s="11" t="s">
        <v>36</v>
      </c>
      <c r="E7" s="2" t="s">
        <v>40</v>
      </c>
      <c r="F7" s="66"/>
    </row>
    <row r="8" spans="2:6" ht="24" customHeight="1" x14ac:dyDescent="0.2">
      <c r="B8" s="72"/>
      <c r="C8" s="69"/>
      <c r="D8" s="11" t="s">
        <v>37</v>
      </c>
      <c r="E8" s="2" t="s">
        <v>32</v>
      </c>
      <c r="F8" s="66"/>
    </row>
    <row r="9" spans="2:6" ht="24" customHeight="1" x14ac:dyDescent="0.2">
      <c r="B9" s="72"/>
      <c r="C9" s="69"/>
      <c r="D9" s="11" t="s">
        <v>38</v>
      </c>
      <c r="E9" s="2" t="s">
        <v>32</v>
      </c>
      <c r="F9" s="66"/>
    </row>
    <row r="10" spans="2:6" ht="24" customHeight="1" x14ac:dyDescent="0.2">
      <c r="B10" s="72"/>
      <c r="C10" s="69"/>
      <c r="D10" s="11" t="s">
        <v>39</v>
      </c>
      <c r="E10" s="2" t="s">
        <v>32</v>
      </c>
      <c r="F10" s="66"/>
    </row>
    <row r="11" spans="2:6" ht="24" customHeight="1" x14ac:dyDescent="0.2">
      <c r="B11" s="72"/>
      <c r="C11" s="69"/>
      <c r="D11" s="11" t="s">
        <v>41</v>
      </c>
      <c r="E11" s="2" t="s">
        <v>40</v>
      </c>
      <c r="F11" s="66"/>
    </row>
    <row r="12" spans="2:6" ht="24" customHeight="1" x14ac:dyDescent="0.2">
      <c r="B12" s="72"/>
      <c r="C12" s="69"/>
      <c r="D12" s="11" t="s">
        <v>42</v>
      </c>
      <c r="E12" s="2" t="s">
        <v>40</v>
      </c>
      <c r="F12" s="66"/>
    </row>
    <row r="13" spans="2:6" ht="24" customHeight="1" x14ac:dyDescent="0.2">
      <c r="B13" s="72"/>
      <c r="C13" s="69"/>
      <c r="D13" s="11" t="s">
        <v>43</v>
      </c>
      <c r="E13" s="2" t="s">
        <v>40</v>
      </c>
      <c r="F13" s="66"/>
    </row>
    <row r="14" spans="2:6" ht="24" customHeight="1" x14ac:dyDescent="0.2">
      <c r="B14" s="72"/>
      <c r="C14" s="69"/>
      <c r="D14" s="11" t="s">
        <v>44</v>
      </c>
      <c r="E14" s="2" t="s">
        <v>40</v>
      </c>
      <c r="F14" s="66"/>
    </row>
    <row r="15" spans="2:6" ht="24" customHeight="1" x14ac:dyDescent="0.2">
      <c r="B15" s="72"/>
      <c r="C15" s="69"/>
      <c r="D15" s="11" t="s">
        <v>45</v>
      </c>
      <c r="E15" s="2" t="s">
        <v>40</v>
      </c>
      <c r="F15" s="66"/>
    </row>
    <row r="16" spans="2:6" ht="24" customHeight="1" x14ac:dyDescent="0.2">
      <c r="B16" s="72"/>
      <c r="C16" s="69"/>
      <c r="D16" s="11" t="s">
        <v>46</v>
      </c>
      <c r="E16" s="2" t="s">
        <v>40</v>
      </c>
      <c r="F16" s="66"/>
    </row>
    <row r="17" spans="2:6" ht="24" customHeight="1" x14ac:dyDescent="0.2">
      <c r="B17" s="72"/>
      <c r="C17" s="69"/>
      <c r="D17" s="11" t="s">
        <v>47</v>
      </c>
      <c r="E17" s="2" t="s">
        <v>40</v>
      </c>
      <c r="F17" s="66"/>
    </row>
    <row r="18" spans="2:6" ht="24" customHeight="1" x14ac:dyDescent="0.2">
      <c r="B18" s="72"/>
      <c r="C18" s="69"/>
      <c r="D18" s="11" t="s">
        <v>48</v>
      </c>
      <c r="E18" s="2" t="s">
        <v>40</v>
      </c>
      <c r="F18" s="66"/>
    </row>
    <row r="19" spans="2:6" ht="24" customHeight="1" x14ac:dyDescent="0.2">
      <c r="B19" s="72"/>
      <c r="C19" s="69"/>
      <c r="D19" s="11" t="s">
        <v>49</v>
      </c>
      <c r="E19" s="2" t="s">
        <v>40</v>
      </c>
      <c r="F19" s="66"/>
    </row>
    <row r="20" spans="2:6" ht="24" customHeight="1" x14ac:dyDescent="0.2">
      <c r="B20" s="73"/>
      <c r="C20" s="70"/>
      <c r="D20" s="11" t="s">
        <v>50</v>
      </c>
      <c r="E20" s="2" t="s">
        <v>40</v>
      </c>
      <c r="F20" s="67"/>
    </row>
    <row r="21" spans="2:6" ht="24" customHeight="1" x14ac:dyDescent="0.2">
      <c r="B21" s="62">
        <v>4</v>
      </c>
      <c r="C21" s="79" t="s">
        <v>51</v>
      </c>
      <c r="D21" s="11" t="str">
        <f>IF(AND(E6="不部署",E19="不部署"),"NA","Maven仓库地址提供方式")</f>
        <v>Maven仓库地址提供方式</v>
      </c>
      <c r="E21" s="2" t="s">
        <v>52</v>
      </c>
      <c r="F21" s="16" t="s">
        <v>53</v>
      </c>
    </row>
    <row r="22" spans="2:6" ht="24" customHeight="1" x14ac:dyDescent="0.2">
      <c r="B22" s="62"/>
      <c r="C22" s="79"/>
      <c r="D22" s="11" t="s">
        <v>54</v>
      </c>
      <c r="E22" s="46" t="s">
        <v>194</v>
      </c>
      <c r="F22" s="13" t="s">
        <v>55</v>
      </c>
    </row>
    <row r="23" spans="2:6" ht="24" customHeight="1" x14ac:dyDescent="0.2">
      <c r="B23" s="62"/>
      <c r="C23" s="79"/>
      <c r="D23" s="11" t="s">
        <v>56</v>
      </c>
      <c r="E23" s="2"/>
      <c r="F23" s="13" t="s">
        <v>57</v>
      </c>
    </row>
    <row r="24" spans="2:6" ht="24" customHeight="1" x14ac:dyDescent="0.2">
      <c r="B24" s="62"/>
      <c r="C24" s="79"/>
      <c r="D24" s="11" t="s">
        <v>58</v>
      </c>
      <c r="E24" s="2"/>
      <c r="F24" s="13" t="s">
        <v>59</v>
      </c>
    </row>
    <row r="25" spans="2:6" ht="24" customHeight="1" x14ac:dyDescent="0.2">
      <c r="B25" s="62"/>
      <c r="C25" s="79"/>
      <c r="D25" s="11" t="str">
        <f>IF(OR(E6="部署",E9="部署"),"CDN域名","NA")</f>
        <v>CDN域名</v>
      </c>
      <c r="E25" s="45" t="s">
        <v>193</v>
      </c>
      <c r="F25" s="18" t="s">
        <v>60</v>
      </c>
    </row>
    <row r="26" spans="2:6" ht="24" customHeight="1" x14ac:dyDescent="0.2">
      <c r="B26" s="62">
        <v>5</v>
      </c>
      <c r="C26" s="79" t="s">
        <v>61</v>
      </c>
      <c r="D26" s="11" t="s">
        <v>62</v>
      </c>
      <c r="E26" s="45" t="s">
        <v>203</v>
      </c>
      <c r="F26" s="13" t="s">
        <v>63</v>
      </c>
    </row>
    <row r="27" spans="2:6" ht="24" customHeight="1" x14ac:dyDescent="0.2">
      <c r="B27" s="62"/>
      <c r="C27" s="79"/>
      <c r="D27" s="11" t="s">
        <v>64</v>
      </c>
      <c r="E27" s="2" t="s">
        <v>200</v>
      </c>
      <c r="F27" s="13"/>
    </row>
    <row r="28" spans="2:6" ht="24" customHeight="1" x14ac:dyDescent="0.2">
      <c r="B28" s="62"/>
      <c r="C28" s="79" t="s">
        <v>65</v>
      </c>
      <c r="D28" s="11" t="s">
        <v>66</v>
      </c>
      <c r="E28" s="44" t="s">
        <v>193</v>
      </c>
      <c r="F28" s="13" t="s">
        <v>67</v>
      </c>
    </row>
    <row r="29" spans="2:6" ht="24" customHeight="1" x14ac:dyDescent="0.2">
      <c r="B29" s="62"/>
      <c r="C29" s="79"/>
      <c r="D29" s="11" t="s">
        <v>68</v>
      </c>
      <c r="E29" s="2" t="s">
        <v>200</v>
      </c>
      <c r="F29" s="13"/>
    </row>
    <row r="30" spans="2:6" ht="24" customHeight="1" x14ac:dyDescent="0.2">
      <c r="B30" s="8"/>
      <c r="C30" s="9"/>
      <c r="D30" s="9"/>
      <c r="E30" s="8"/>
      <c r="F30" s="17"/>
    </row>
    <row r="31" spans="2:6" ht="19" customHeight="1" x14ac:dyDescent="0.2">
      <c r="D31" s="4"/>
    </row>
    <row r="32" spans="2:6" ht="29" customHeight="1" x14ac:dyDescent="0.2">
      <c r="B32" s="63" t="s">
        <v>69</v>
      </c>
      <c r="C32" s="63"/>
      <c r="D32" s="63"/>
      <c r="E32" s="63"/>
      <c r="F32" s="63"/>
    </row>
    <row r="33" spans="2:6" ht="29" customHeight="1" x14ac:dyDescent="0.2">
      <c r="B33" s="64" t="str">
        <f>IF(E22="直接使用mars账号体系","无需填写SSO配置信息",IF(E22="使用oAuth协议接入","oAuth协议配置项","SAML2.0协议配置项"))</f>
        <v>SAML2.0协议配置项</v>
      </c>
      <c r="C33" s="64"/>
      <c r="D33" s="64"/>
      <c r="E33" s="15" t="s">
        <v>70</v>
      </c>
      <c r="F33" s="15" t="s">
        <v>24</v>
      </c>
    </row>
    <row r="34" spans="2:6" ht="24" customHeight="1" x14ac:dyDescent="0.2">
      <c r="B34" s="60" t="str">
        <f>IF(E22="直接使用mars账号体系","N/A","主账号id")</f>
        <v>主账号id</v>
      </c>
      <c r="C34" s="60"/>
      <c r="D34" s="60"/>
      <c r="E34" s="48"/>
      <c r="F34" s="13" t="s">
        <v>71</v>
      </c>
    </row>
    <row r="35" spans="2:6" ht="24" customHeight="1" x14ac:dyDescent="0.2">
      <c r="B35" s="60" t="str">
        <f>IF(E22="直接使用mars账号体系","N/A","登出地址")</f>
        <v>登出地址</v>
      </c>
      <c r="C35" s="60"/>
      <c r="D35" s="60"/>
      <c r="E35" s="50" t="s">
        <v>199</v>
      </c>
      <c r="F35" s="13" t="s">
        <v>72</v>
      </c>
    </row>
    <row r="36" spans="2:6" ht="24" customHeight="1" x14ac:dyDescent="0.2">
      <c r="B36" s="60" t="str">
        <f>IF(E22="使用oAuth协议接入","oAuth认证地址auth_url",IF(E22="使用CAS 2.0协议接入","CAS基础url","N/A"))</f>
        <v>CAS基础url</v>
      </c>
      <c r="C36" s="60"/>
      <c r="D36" s="60"/>
      <c r="E36" t="s">
        <v>198</v>
      </c>
      <c r="F36" s="13" t="s">
        <v>73</v>
      </c>
    </row>
    <row r="37" spans="2:6" ht="24" customHeight="1" x14ac:dyDescent="0.2">
      <c r="B37" s="60" t="str">
        <f>IF(E22="使用oAuth协议接入","oAuth获取token地址access_token_url",IF(E22="使用CAS 2.0协议接入","CAS登录路由","N/A"))</f>
        <v>CAS登录路由</v>
      </c>
      <c r="C37" s="60"/>
      <c r="D37" s="60"/>
      <c r="E37" s="48" t="str">
        <f>IF(E22="使用CAS 2.0协议接入","/login?Service=123","")</f>
        <v>/login?Service=123</v>
      </c>
      <c r="F37" s="13" t="s">
        <v>74</v>
      </c>
    </row>
    <row r="38" spans="2:6" ht="24" customHeight="1" x14ac:dyDescent="0.2">
      <c r="B38" s="60" t="str">
        <f>IF(E22="使用oAuth协议接入","oAuth获取用户信息地址user_info_url",IF(E22="使用CAS 2.0协议接入","CAS回调类型","N/A"))</f>
        <v>CAS回调类型</v>
      </c>
      <c r="C38" s="60"/>
      <c r="D38" s="60"/>
      <c r="E38" s="48" t="str">
        <f>IF(E22="使用CAS 2.0协议接入","CAS20","")</f>
        <v>CAS20</v>
      </c>
      <c r="F38" s="13" t="s">
        <v>75</v>
      </c>
    </row>
    <row r="39" spans="2:6" ht="24" customHeight="1" x14ac:dyDescent="0.2">
      <c r="B39" s="60" t="str">
        <f>IF(E22="使用oAuth协议接入","client_id",IF(E22="使用CAS 2.0协议接入","回调邮箱字段名","N/A"))</f>
        <v>回调邮箱字段名</v>
      </c>
      <c r="C39" s="60"/>
      <c r="D39" s="60"/>
      <c r="E39" s="48" t="s">
        <v>197</v>
      </c>
      <c r="F39" s="13" t="s">
        <v>76</v>
      </c>
    </row>
    <row r="40" spans="2:6" ht="24" customHeight="1" x14ac:dyDescent="0.2">
      <c r="B40" s="60" t="str">
        <f>IF(E22="使用oAuth协议接入","client_secret",IF(E22="使用CAS 2.0协议接入","回调手机字段名","N/A"))</f>
        <v>回调手机字段名</v>
      </c>
      <c r="C40" s="60"/>
      <c r="D40" s="60"/>
      <c r="E40" s="48" t="s">
        <v>196</v>
      </c>
      <c r="F40" s="13" t="s">
        <v>77</v>
      </c>
    </row>
    <row r="41" spans="2:6" ht="24" customHeight="1" x14ac:dyDescent="0.2">
      <c r="B41" s="60" t="str">
        <f>IF(E22="使用oAuth协议接入","回调callback地址",IF(E22="使用CAS 2.0协议接入","回调callback地址","N/A"))</f>
        <v>回调callback地址</v>
      </c>
      <c r="C41" s="60"/>
      <c r="D41" s="60"/>
      <c r="E41" s="48" t="str">
        <f>IF(E22="使用CAS 2.0协议接入",E29&amp;"://"&amp;E28&amp;"/out/login/call_back/cas",E29&amp;"://"&amp;E28&amp;"/out/login/call_back/oauth")</f>
        <v>https://zhilian.pri-customer.vemarsdev.com/out/login/call_back/cas</v>
      </c>
      <c r="F41" s="13" t="s">
        <v>78</v>
      </c>
    </row>
    <row r="42" spans="2:6" ht="24" customHeight="1" x14ac:dyDescent="0.2">
      <c r="B42" s="60" t="str">
        <f>IF(E22="使用saml2.0协议接入","是否使用SamlResponse的NameID作为系统唯一ID","N/A")</f>
        <v>N/A</v>
      </c>
      <c r="C42" s="60"/>
      <c r="D42" s="60"/>
      <c r="E42" s="49" t="s">
        <v>79</v>
      </c>
      <c r="F42" s="13" t="s">
        <v>80</v>
      </c>
    </row>
    <row r="43" spans="2:6" ht="24" customHeight="1" x14ac:dyDescent="0.2">
      <c r="B43" s="60" t="str">
        <f>IF(E22="使用saml2.0协议接入",IF(E42="false","SamlResponse中标识唯一ID的字段名","N/A"),IF(E22="使用CAS 2.0协议接入","回调人名字段名","N/A"))</f>
        <v>回调人名字段名</v>
      </c>
      <c r="C43" s="60"/>
      <c r="D43" s="60"/>
      <c r="E43" s="48" t="s">
        <v>195</v>
      </c>
      <c r="F43" s="13" t="s">
        <v>81</v>
      </c>
    </row>
    <row r="44" spans="2:6" ht="24" customHeight="1" x14ac:dyDescent="0.2">
      <c r="B44" s="74" t="str">
        <f>IF(E22="使用saml2.0协议接入","SamlResponse中标识“显示名称”的字段名","N/A")</f>
        <v>N/A</v>
      </c>
      <c r="C44" s="74"/>
      <c r="D44" s="74"/>
      <c r="E44" s="14" t="s">
        <v>82</v>
      </c>
      <c r="F44" s="13" t="s">
        <v>83</v>
      </c>
    </row>
    <row r="45" spans="2:6" ht="24" customHeight="1" x14ac:dyDescent="0.2">
      <c r="B45" s="74" t="str">
        <f>IF(E22="使用saml2.0协议接入","SamlResponse中标识“邮箱”的字段名","N/A")</f>
        <v>N/A</v>
      </c>
      <c r="C45" s="74"/>
      <c r="D45" s="74"/>
      <c r="E45" s="14" t="s">
        <v>82</v>
      </c>
      <c r="F45" s="13" t="s">
        <v>84</v>
      </c>
    </row>
    <row r="46" spans="2:6" ht="24" customHeight="1" x14ac:dyDescent="0.2">
      <c r="B46" s="74" t="str">
        <f>IF(E22="使用saml2.0协议接入","SamlResponse中标识“手机号”的字段名","N/A")</f>
        <v>N/A</v>
      </c>
      <c r="C46" s="74"/>
      <c r="D46" s="74"/>
      <c r="E46" s="14" t="s">
        <v>82</v>
      </c>
      <c r="F46" s="13"/>
    </row>
    <row r="47" spans="2:6" ht="24" customHeight="1" x14ac:dyDescent="0.2">
      <c r="B47" s="74" t="str">
        <f>IF(E22="使用saml2.0协议接入","控制台域名","N/A")</f>
        <v>N/A</v>
      </c>
      <c r="C47" s="74"/>
      <c r="D47" s="74"/>
      <c r="E47" s="14" t="str">
        <f>E29&amp;"://"&amp;E28</f>
        <v>https://zhilian.pri-customer.vemarsdev.com</v>
      </c>
      <c r="F47" s="13" t="s">
        <v>85</v>
      </c>
    </row>
    <row r="48" spans="2:6" ht="24" customHeight="1" x14ac:dyDescent="0.2">
      <c r="B48" s="74" t="str">
        <f>IF(E22="使用saml2.0协议接入","callback地址","N/A")</f>
        <v>N/A</v>
      </c>
      <c r="C48" s="74"/>
      <c r="D48" s="74"/>
      <c r="E48" s="14" t="str">
        <f>E29&amp;"://"&amp;E28&amp;"/out/login/call_back/saml"</f>
        <v>https://zhilian.pri-customer.vemarsdev.com/out/login/call_back/saml</v>
      </c>
      <c r="F48" s="13" t="s">
        <v>78</v>
      </c>
    </row>
    <row r="49" spans="2:6" ht="24" customHeight="1" x14ac:dyDescent="0.2">
      <c r="B49" s="74" t="str">
        <f>IF(E22="使用saml2.0协议接入","IdP 分配的服务id","N/A")</f>
        <v>N/A</v>
      </c>
      <c r="C49" s="74"/>
      <c r="D49" s="74"/>
      <c r="E49" s="14"/>
      <c r="F49" s="13" t="s">
        <v>86</v>
      </c>
    </row>
    <row r="50" spans="2:6" ht="24" customHeight="1" x14ac:dyDescent="0.2">
      <c r="B50" s="74" t="str">
        <f>IF(E22="使用saml2.0协议接入","IdP分配的x509cert证书","N/A")</f>
        <v>N/A</v>
      </c>
      <c r="C50" s="74"/>
      <c r="D50" s="74"/>
      <c r="E50" s="14"/>
      <c r="F50" s="13" t="s">
        <v>87</v>
      </c>
    </row>
    <row r="51" spans="2:6" ht="24" customHeight="1" x14ac:dyDescent="0.2">
      <c r="B51" s="74" t="str">
        <f>IF(E22="使用saml2.0协议接入","IdP分配的登录地址","N/A")</f>
        <v>N/A</v>
      </c>
      <c r="C51" s="74"/>
      <c r="D51" s="74"/>
      <c r="E51" s="14"/>
      <c r="F51" s="13" t="s">
        <v>88</v>
      </c>
    </row>
    <row r="52" spans="2:6" ht="24" customHeight="1" x14ac:dyDescent="0.2">
      <c r="B52" s="8"/>
      <c r="C52" s="8"/>
      <c r="D52" s="8"/>
      <c r="E52" s="4"/>
      <c r="F52" s="4"/>
    </row>
    <row r="53" spans="2:6" ht="19" customHeight="1" x14ac:dyDescent="0.2"/>
    <row r="54" spans="2:6" ht="29" customHeight="1" x14ac:dyDescent="0.2">
      <c r="B54" s="63" t="s">
        <v>89</v>
      </c>
      <c r="C54" s="75"/>
      <c r="D54" s="75"/>
      <c r="E54" s="75"/>
      <c r="F54" s="75"/>
    </row>
    <row r="55" spans="2:6" ht="29" customHeight="1" x14ac:dyDescent="0.2">
      <c r="B55" s="76" t="str">
        <f>IF(E21="客户提供","Maven仓库配置项","无需填写")</f>
        <v>Maven仓库配置项</v>
      </c>
      <c r="C55" s="77"/>
      <c r="D55" s="78"/>
      <c r="E55" s="15" t="s">
        <v>70</v>
      </c>
      <c r="F55" s="15" t="s">
        <v>24</v>
      </c>
    </row>
    <row r="56" spans="2:6" ht="24" customHeight="1" x14ac:dyDescent="0.2">
      <c r="B56" s="74" t="str">
        <f>IF(E21="客户提供","snapshot仓库地址","N/A")</f>
        <v>snapshot仓库地址</v>
      </c>
      <c r="C56" s="74"/>
      <c r="D56" s="74"/>
      <c r="E56" s="14"/>
      <c r="F56" s="16" t="s">
        <v>90</v>
      </c>
    </row>
    <row r="57" spans="2:6" ht="24" customHeight="1" x14ac:dyDescent="0.2">
      <c r="B57" s="74" t="str">
        <f>IF(E21="客户提供","snapshot仓库用户名","N/A")</f>
        <v>snapshot仓库用户名</v>
      </c>
      <c r="C57" s="74"/>
      <c r="D57" s="74"/>
      <c r="E57" s="14"/>
      <c r="F57" s="16"/>
    </row>
    <row r="58" spans="2:6" ht="24" customHeight="1" x14ac:dyDescent="0.2">
      <c r="B58" s="74" t="str">
        <f>IF(E21="客户提供","snapshot仓库密码","N/A")</f>
        <v>snapshot仓库密码</v>
      </c>
      <c r="C58" s="74"/>
      <c r="D58" s="74"/>
      <c r="E58" s="14"/>
      <c r="F58" s="16"/>
    </row>
    <row r="59" spans="2:6" ht="24" customHeight="1" x14ac:dyDescent="0.2">
      <c r="B59" s="74" t="str">
        <f>IF(E21="客户提供","release仓库地址","N/A")</f>
        <v>release仓库地址</v>
      </c>
      <c r="C59" s="74"/>
      <c r="D59" s="74"/>
      <c r="E59" s="14"/>
      <c r="F59" s="16" t="s">
        <v>91</v>
      </c>
    </row>
    <row r="60" spans="2:6" ht="24" customHeight="1" x14ac:dyDescent="0.2">
      <c r="B60" s="74" t="str">
        <f>IF(E21="客户提供","release仓库用户名","N/A")</f>
        <v>release仓库用户名</v>
      </c>
      <c r="C60" s="74"/>
      <c r="D60" s="74"/>
      <c r="E60" s="14"/>
      <c r="F60" s="16"/>
    </row>
    <row r="61" spans="2:6" ht="24" customHeight="1" x14ac:dyDescent="0.2">
      <c r="B61" s="74" t="str">
        <f>IF(E21="客户提供","release仓库密码","N/A")</f>
        <v>release仓库密码</v>
      </c>
      <c r="C61" s="74"/>
      <c r="D61" s="74"/>
      <c r="E61" s="14"/>
      <c r="F61" s="20"/>
    </row>
  </sheetData>
  <mergeCells count="39">
    <mergeCell ref="B39:D39"/>
    <mergeCell ref="B61:D61"/>
    <mergeCell ref="B21:B25"/>
    <mergeCell ref="B26:B29"/>
    <mergeCell ref="C21:C25"/>
    <mergeCell ref="C26:C27"/>
    <mergeCell ref="C28:C29"/>
    <mergeCell ref="B59:D59"/>
    <mergeCell ref="B60:D60"/>
    <mergeCell ref="B40:D40"/>
    <mergeCell ref="B41:D41"/>
    <mergeCell ref="B42:D42"/>
    <mergeCell ref="B43:D43"/>
    <mergeCell ref="B34:D34"/>
    <mergeCell ref="B35:D35"/>
    <mergeCell ref="B36:D36"/>
    <mergeCell ref="B44:D44"/>
    <mergeCell ref="B45:D45"/>
    <mergeCell ref="B46:D46"/>
    <mergeCell ref="B47:D47"/>
    <mergeCell ref="B48:D48"/>
    <mergeCell ref="B56:D56"/>
    <mergeCell ref="B57:D57"/>
    <mergeCell ref="B58:D58"/>
    <mergeCell ref="B49:D49"/>
    <mergeCell ref="B50:D50"/>
    <mergeCell ref="B51:D51"/>
    <mergeCell ref="B54:F54"/>
    <mergeCell ref="B55:D55"/>
    <mergeCell ref="B38:D38"/>
    <mergeCell ref="C2:D2"/>
    <mergeCell ref="C3:D3"/>
    <mergeCell ref="C4:D4"/>
    <mergeCell ref="B32:F32"/>
    <mergeCell ref="B33:D33"/>
    <mergeCell ref="F6:F20"/>
    <mergeCell ref="C5:C20"/>
    <mergeCell ref="B5:B20"/>
    <mergeCell ref="B37:D37"/>
  </mergeCells>
  <conditionalFormatting sqref="F41">
    <cfRule type="cellIs" dxfId="35" priority="3" stopIfTrue="1" operator="equal">
      <formula>"不部署"</formula>
    </cfRule>
  </conditionalFormatting>
  <conditionalFormatting sqref="F36:F40">
    <cfRule type="cellIs" dxfId="34" priority="4" stopIfTrue="1" operator="equal">
      <formula>"不部署"</formula>
    </cfRule>
  </conditionalFormatting>
  <conditionalFormatting sqref="F61">
    <cfRule type="cellIs" dxfId="33" priority="5" stopIfTrue="1" operator="equal">
      <formula>"不部署"</formula>
    </cfRule>
  </conditionalFormatting>
  <conditionalFormatting sqref="F60">
    <cfRule type="cellIs" dxfId="32" priority="6" stopIfTrue="1" operator="equal">
      <formula>"不部署"</formula>
    </cfRule>
  </conditionalFormatting>
  <conditionalFormatting sqref="F59">
    <cfRule type="cellIs" dxfId="31" priority="7" stopIfTrue="1" operator="equal">
      <formula>"不部署"</formula>
    </cfRule>
  </conditionalFormatting>
  <conditionalFormatting sqref="F58">
    <cfRule type="cellIs" dxfId="30" priority="8" stopIfTrue="1" operator="equal">
      <formula>"不部署"</formula>
    </cfRule>
  </conditionalFormatting>
  <conditionalFormatting sqref="F56:F57">
    <cfRule type="cellIs" dxfId="29" priority="9" stopIfTrue="1" operator="equal">
      <formula>"不部署"</formula>
    </cfRule>
  </conditionalFormatting>
  <conditionalFormatting sqref="F50">
    <cfRule type="cellIs" dxfId="28" priority="10" stopIfTrue="1" operator="equal">
      <formula>"不部署"</formula>
    </cfRule>
  </conditionalFormatting>
  <conditionalFormatting sqref="F49">
    <cfRule type="cellIs" dxfId="27" priority="11" stopIfTrue="1" operator="equal">
      <formula>"不部署"</formula>
    </cfRule>
  </conditionalFormatting>
  <conditionalFormatting sqref="F48">
    <cfRule type="cellIs" dxfId="26" priority="12" stopIfTrue="1" operator="equal">
      <formula>"不部署"</formula>
    </cfRule>
  </conditionalFormatting>
  <conditionalFormatting sqref="F47">
    <cfRule type="cellIs" dxfId="25" priority="13" stopIfTrue="1" operator="equal">
      <formula>"不部署"</formula>
    </cfRule>
  </conditionalFormatting>
  <conditionalFormatting sqref="F46">
    <cfRule type="cellIs" dxfId="24" priority="14" stopIfTrue="1" operator="equal">
      <formula>"不部署"</formula>
    </cfRule>
  </conditionalFormatting>
  <conditionalFormatting sqref="F45">
    <cfRule type="cellIs" dxfId="23" priority="15" stopIfTrue="1" operator="equal">
      <formula>"不部署"</formula>
    </cfRule>
  </conditionalFormatting>
  <conditionalFormatting sqref="F44">
    <cfRule type="cellIs" dxfId="22" priority="16" stopIfTrue="1" operator="equal">
      <formula>"不部署"</formula>
    </cfRule>
  </conditionalFormatting>
  <conditionalFormatting sqref="F42:F43">
    <cfRule type="cellIs" dxfId="21" priority="17" stopIfTrue="1" operator="equal">
      <formula>"不部署"</formula>
    </cfRule>
  </conditionalFormatting>
  <conditionalFormatting sqref="F34:F35">
    <cfRule type="cellIs" dxfId="20" priority="18" stopIfTrue="1" operator="equal">
      <formula>"不部署"</formula>
    </cfRule>
  </conditionalFormatting>
  <conditionalFormatting sqref="E3">
    <cfRule type="cellIs" dxfId="19" priority="19" stopIfTrue="1" operator="equal">
      <formula>"不部署"</formula>
    </cfRule>
  </conditionalFormatting>
  <conditionalFormatting sqref="E27">
    <cfRule type="cellIs" dxfId="18" priority="20" stopIfTrue="1" operator="equal">
      <formula>"不部署"</formula>
    </cfRule>
  </conditionalFormatting>
  <conditionalFormatting sqref="E2 E4:E9 F51:F52 E28:E31 E21 E23:E26">
    <cfRule type="cellIs" dxfId="17" priority="21" stopIfTrue="1" operator="equal">
      <formula>"不部署"</formula>
    </cfRule>
  </conditionalFormatting>
  <conditionalFormatting sqref="E22">
    <cfRule type="cellIs" dxfId="16" priority="1" stopIfTrue="1" operator="equal">
      <formula>"不部署"</formula>
    </cfRule>
  </conditionalFormatting>
  <dataValidations count="7">
    <dataValidation type="list" allowBlank="1" showErrorMessage="1" sqref="E42" xr:uid="{4A5D6695-2046-D746-84B4-D99F4C6EC24D}">
      <formula1>"true,false"</formula1>
    </dataValidation>
    <dataValidation type="list" allowBlank="1" showErrorMessage="1" sqref="E27 E29:E30" xr:uid="{00000000-0002-0000-0100-000001000000}">
      <formula1>"http,https"</formula1>
    </dataValidation>
    <dataValidation type="textLength" allowBlank="1" showErrorMessage="1" sqref="E3" xr:uid="{00000000-0002-0000-0100-000003000000}">
      <formula1>1</formula1>
      <formula2>20</formula2>
    </dataValidation>
    <dataValidation type="list" allowBlank="1" showErrorMessage="1" sqref="E4" xr:uid="{00000000-0002-0000-0100-000004000000}">
      <formula1>"POC,50W日活,100W日活"</formula1>
    </dataValidation>
    <dataValidation type="list" allowBlank="1" showErrorMessage="1" sqref="E21" xr:uid="{00000000-0002-0000-0100-000005000000}">
      <formula1>"客户提供,不涉及"</formula1>
    </dataValidation>
    <dataValidation type="list" allowBlank="1" showErrorMessage="1" sqref="E6:E20" xr:uid="{00000000-0002-0000-0100-000006000000}">
      <formula1>"部署,不部署"</formula1>
    </dataValidation>
    <dataValidation type="list" allowBlank="1" showErrorMessage="1" sqref="E22" xr:uid="{9E728BEC-760E-684F-9D31-903B4C985B5A}">
      <formula1>"直接使用mars账号体系,使用oAuth协议接入,使用saml2.0协议接入,使用CAS 2.0协议接入"</formula1>
    </dataValidation>
  </dataValidations>
  <hyperlinks>
    <hyperlink ref="E35" r:id="rId1" xr:uid="{020F36C2-0459-E640-B7CF-0A02AE9E69E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F93-6D2A-5842-BD5F-28245C513EB7}">
  <dimension ref="A1:R20"/>
  <sheetViews>
    <sheetView showGridLines="0" workbookViewId="0">
      <selection activeCell="J17" sqref="J17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0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8" ht="24" customHeight="1" x14ac:dyDescent="0.2"/>
    <row r="2" spans="1:18" ht="29" customHeight="1" x14ac:dyDescent="0.2">
      <c r="B2" s="80" t="s">
        <v>92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8" ht="29" customHeight="1" x14ac:dyDescent="0.2">
      <c r="B3" s="15" t="s">
        <v>21</v>
      </c>
      <c r="C3" s="15" t="s">
        <v>93</v>
      </c>
      <c r="D3" s="15" t="s">
        <v>94</v>
      </c>
      <c r="E3" s="15" t="s">
        <v>95</v>
      </c>
      <c r="F3" s="27" t="s">
        <v>96</v>
      </c>
      <c r="G3" s="27" t="s">
        <v>97</v>
      </c>
      <c r="H3" s="27" t="s">
        <v>98</v>
      </c>
      <c r="I3" s="27" t="s">
        <v>99</v>
      </c>
      <c r="J3" s="27" t="s">
        <v>100</v>
      </c>
      <c r="K3" s="27" t="s">
        <v>101</v>
      </c>
      <c r="L3" s="27" t="s">
        <v>102</v>
      </c>
      <c r="M3" s="15" t="s">
        <v>103</v>
      </c>
      <c r="N3" s="15" t="s">
        <v>5</v>
      </c>
    </row>
    <row r="4" spans="1:18" ht="24" customHeight="1" x14ac:dyDescent="0.2">
      <c r="B4" s="2">
        <v>1</v>
      </c>
      <c r="C4" s="14" t="s">
        <v>104</v>
      </c>
      <c r="D4" s="14" t="s">
        <v>105</v>
      </c>
      <c r="E4" s="14" t="s">
        <v>106</v>
      </c>
      <c r="F4" s="74"/>
      <c r="G4" s="2">
        <f>项目资源计算表!G10</f>
        <v>28</v>
      </c>
      <c r="H4" s="2">
        <f>项目资源计算表!H10</f>
        <v>96</v>
      </c>
      <c r="I4" s="2">
        <f>项目资源计算表!I10</f>
        <v>100</v>
      </c>
      <c r="J4" s="2">
        <f>项目资源计算表!J10</f>
        <v>650</v>
      </c>
      <c r="K4" s="22" t="s">
        <v>190</v>
      </c>
      <c r="L4" s="2" t="s">
        <v>108</v>
      </c>
      <c r="M4" s="2" t="s">
        <v>109</v>
      </c>
      <c r="N4" s="23"/>
    </row>
    <row r="5" spans="1:18" ht="24" customHeight="1" x14ac:dyDescent="0.2">
      <c r="B5" s="2">
        <v>2</v>
      </c>
      <c r="C5" s="14" t="s">
        <v>110</v>
      </c>
      <c r="D5" s="14" t="s">
        <v>105</v>
      </c>
      <c r="E5" s="14" t="s">
        <v>106</v>
      </c>
      <c r="F5" s="74"/>
      <c r="G5" s="2">
        <f>项目资源计算表!G10</f>
        <v>28</v>
      </c>
      <c r="H5" s="2">
        <f>项目资源计算表!H10</f>
        <v>96</v>
      </c>
      <c r="I5" s="2">
        <f>项目资源计算表!I10</f>
        <v>100</v>
      </c>
      <c r="J5" s="2">
        <f>项目资源计算表!J10</f>
        <v>650</v>
      </c>
      <c r="K5" s="22" t="s">
        <v>189</v>
      </c>
      <c r="L5" s="2" t="s">
        <v>108</v>
      </c>
      <c r="M5" s="2" t="s">
        <v>109</v>
      </c>
      <c r="N5" s="23"/>
      <c r="P5" s="21"/>
      <c r="Q5" s="21"/>
      <c r="R5" s="21"/>
    </row>
    <row r="6" spans="1:18" ht="24" customHeight="1" x14ac:dyDescent="0.2">
      <c r="B6" s="2">
        <v>3</v>
      </c>
      <c r="C6" s="14" t="s">
        <v>111</v>
      </c>
      <c r="D6" s="14" t="s">
        <v>105</v>
      </c>
      <c r="E6" s="14" t="s">
        <v>106</v>
      </c>
      <c r="F6" s="74"/>
      <c r="G6" s="2">
        <f>项目资源计算表!G10</f>
        <v>28</v>
      </c>
      <c r="H6" s="2">
        <f>项目资源计算表!H10</f>
        <v>96</v>
      </c>
      <c r="I6" s="2">
        <f>项目资源计算表!I10</f>
        <v>100</v>
      </c>
      <c r="J6" s="2">
        <f>项目资源计算表!J10</f>
        <v>650</v>
      </c>
      <c r="K6" s="22" t="s">
        <v>191</v>
      </c>
      <c r="L6" s="2" t="s">
        <v>108</v>
      </c>
      <c r="M6" s="2" t="s">
        <v>109</v>
      </c>
      <c r="N6" s="23"/>
      <c r="P6" s="21"/>
      <c r="Q6" s="21"/>
      <c r="R6" s="21"/>
    </row>
    <row r="7" spans="1:18" ht="24" customHeight="1" x14ac:dyDescent="0.2">
      <c r="B7" s="2">
        <v>4</v>
      </c>
      <c r="C7" s="14" t="s">
        <v>112</v>
      </c>
      <c r="D7" s="14" t="s">
        <v>113</v>
      </c>
      <c r="E7" s="14" t="s">
        <v>114</v>
      </c>
      <c r="F7" s="14"/>
      <c r="G7" s="2" t="str">
        <f>项目资源计算表!G9</f>
        <v>N/A</v>
      </c>
      <c r="H7" s="2" t="str">
        <f>项目资源计算表!H9</f>
        <v>N/A</v>
      </c>
      <c r="I7" s="2" t="str">
        <f>项目资源计算表!I9</f>
        <v>N/A</v>
      </c>
      <c r="J7" s="2" t="str">
        <f>项目资源计算表!J9</f>
        <v>N/A</v>
      </c>
      <c r="K7" s="22" t="s">
        <v>191</v>
      </c>
      <c r="L7" s="2" t="s">
        <v>108</v>
      </c>
      <c r="M7" s="2" t="s">
        <v>109</v>
      </c>
      <c r="N7" s="16" t="s">
        <v>115</v>
      </c>
      <c r="P7" s="21"/>
      <c r="Q7" s="21"/>
      <c r="R7" s="21"/>
    </row>
    <row r="8" spans="1:18" ht="24" customHeight="1" x14ac:dyDescent="0.2">
      <c r="B8" s="2">
        <v>5</v>
      </c>
      <c r="C8" s="14" t="s">
        <v>116</v>
      </c>
      <c r="D8" s="14" t="s">
        <v>117</v>
      </c>
      <c r="E8" s="14" t="s">
        <v>118</v>
      </c>
      <c r="F8" s="81" t="s">
        <v>119</v>
      </c>
      <c r="G8" s="2">
        <f>项目资源计算表!G8</f>
        <v>32</v>
      </c>
      <c r="H8" s="2">
        <f>项目资源计算表!H8</f>
        <v>128</v>
      </c>
      <c r="I8" s="2">
        <f>项目资源计算表!I8</f>
        <v>100</v>
      </c>
      <c r="J8" s="2">
        <f>项目资源计算表!J8</f>
        <v>2000</v>
      </c>
      <c r="K8" s="22" t="s">
        <v>191</v>
      </c>
      <c r="L8" s="2" t="s">
        <v>108</v>
      </c>
      <c r="M8" s="2" t="s">
        <v>109</v>
      </c>
      <c r="N8" s="16" t="s">
        <v>115</v>
      </c>
      <c r="P8" s="21"/>
      <c r="Q8" s="21"/>
      <c r="R8" s="21"/>
    </row>
    <row r="9" spans="1:18" ht="24" customHeight="1" x14ac:dyDescent="0.2">
      <c r="B9" s="2">
        <v>6</v>
      </c>
      <c r="C9" s="14" t="s">
        <v>120</v>
      </c>
      <c r="D9" s="14" t="s">
        <v>117</v>
      </c>
      <c r="E9" s="14" t="s">
        <v>118</v>
      </c>
      <c r="F9" s="81"/>
      <c r="G9" s="2">
        <f>项目资源计算表!G8</f>
        <v>32</v>
      </c>
      <c r="H9" s="2">
        <f>项目资源计算表!H8</f>
        <v>128</v>
      </c>
      <c r="I9" s="2">
        <f>项目资源计算表!I8</f>
        <v>100</v>
      </c>
      <c r="J9" s="2">
        <f>项目资源计算表!J8</f>
        <v>2000</v>
      </c>
      <c r="K9" s="22" t="s">
        <v>191</v>
      </c>
      <c r="L9" s="2" t="s">
        <v>108</v>
      </c>
      <c r="M9" s="2" t="s">
        <v>109</v>
      </c>
      <c r="N9" s="16" t="s">
        <v>115</v>
      </c>
      <c r="P9" s="21"/>
      <c r="Q9" s="21"/>
      <c r="R9" s="21"/>
    </row>
    <row r="10" spans="1:18" ht="24" customHeight="1" x14ac:dyDescent="0.2">
      <c r="A10" s="21"/>
      <c r="B10" s="2">
        <v>7</v>
      </c>
      <c r="C10" s="14" t="s">
        <v>121</v>
      </c>
      <c r="D10" s="14" t="s">
        <v>117</v>
      </c>
      <c r="E10" s="14" t="s">
        <v>118</v>
      </c>
      <c r="F10" s="81"/>
      <c r="G10" s="2">
        <f>项目资源计算表!G8</f>
        <v>32</v>
      </c>
      <c r="H10" s="2">
        <f>项目资源计算表!H8</f>
        <v>128</v>
      </c>
      <c r="I10" s="2">
        <f>项目资源计算表!I8</f>
        <v>100</v>
      </c>
      <c r="J10" s="2">
        <f>项目资源计算表!J8</f>
        <v>2000</v>
      </c>
      <c r="K10" s="22" t="s">
        <v>191</v>
      </c>
      <c r="L10" s="2" t="s">
        <v>108</v>
      </c>
      <c r="M10" s="2" t="s">
        <v>109</v>
      </c>
      <c r="N10" s="16" t="s">
        <v>115</v>
      </c>
      <c r="O10" s="21"/>
      <c r="P10" s="21"/>
      <c r="Q10" s="21"/>
      <c r="R10" s="21"/>
    </row>
    <row r="11" spans="1:18" ht="24" customHeight="1" x14ac:dyDescent="0.2">
      <c r="A11" s="21"/>
      <c r="B11" s="2">
        <v>8</v>
      </c>
      <c r="C11" s="14" t="s">
        <v>122</v>
      </c>
      <c r="D11" s="14" t="s">
        <v>123</v>
      </c>
      <c r="E11" s="14" t="s">
        <v>124</v>
      </c>
      <c r="F11" s="74"/>
      <c r="G11" s="2">
        <f>项目资源计算表!G7</f>
        <v>4</v>
      </c>
      <c r="H11" s="2">
        <f>项目资源计算表!H7</f>
        <v>8</v>
      </c>
      <c r="I11" s="2">
        <f>项目资源计算表!I7</f>
        <v>50</v>
      </c>
      <c r="J11" s="2">
        <f>项目资源计算表!J7</f>
        <v>50</v>
      </c>
      <c r="K11" s="22" t="s">
        <v>191</v>
      </c>
      <c r="L11" s="2" t="s">
        <v>108</v>
      </c>
      <c r="M11" s="2" t="s">
        <v>109</v>
      </c>
      <c r="N11" s="16"/>
      <c r="O11" s="21"/>
      <c r="P11" s="21"/>
      <c r="Q11" s="21"/>
      <c r="R11" s="21"/>
    </row>
    <row r="12" spans="1:18" ht="24" customHeight="1" x14ac:dyDescent="0.2">
      <c r="A12" s="21"/>
      <c r="B12" s="2">
        <v>9</v>
      </c>
      <c r="C12" s="14" t="s">
        <v>125</v>
      </c>
      <c r="D12" s="14" t="s">
        <v>123</v>
      </c>
      <c r="E12" s="14" t="s">
        <v>124</v>
      </c>
      <c r="F12" s="74"/>
      <c r="G12" s="2">
        <f>项目资源计算表!G7</f>
        <v>4</v>
      </c>
      <c r="H12" s="2">
        <f>项目资源计算表!H7</f>
        <v>8</v>
      </c>
      <c r="I12" s="2">
        <f>项目资源计算表!I7</f>
        <v>50</v>
      </c>
      <c r="J12" s="2">
        <f>项目资源计算表!J7</f>
        <v>50</v>
      </c>
      <c r="K12" s="22" t="s">
        <v>191</v>
      </c>
      <c r="L12" s="2" t="s">
        <v>108</v>
      </c>
      <c r="M12" s="2" t="s">
        <v>109</v>
      </c>
      <c r="N12" s="16"/>
      <c r="O12" s="21"/>
      <c r="P12" s="21"/>
      <c r="Q12" s="21"/>
      <c r="R12" s="21"/>
    </row>
    <row r="13" spans="1:18" ht="24" customHeight="1" x14ac:dyDescent="0.2">
      <c r="A13" s="21"/>
      <c r="B13" s="2">
        <v>10</v>
      </c>
      <c r="C13" s="14" t="s">
        <v>126</v>
      </c>
      <c r="D13" s="14" t="s">
        <v>123</v>
      </c>
      <c r="E13" s="14" t="s">
        <v>124</v>
      </c>
      <c r="F13" s="74"/>
      <c r="G13" s="2">
        <f>项目资源计算表!G7</f>
        <v>4</v>
      </c>
      <c r="H13" s="2">
        <f>项目资源计算表!H7</f>
        <v>8</v>
      </c>
      <c r="I13" s="2">
        <f>项目资源计算表!I7</f>
        <v>50</v>
      </c>
      <c r="J13" s="2">
        <f>项目资源计算表!J7</f>
        <v>50</v>
      </c>
      <c r="K13" s="22" t="s">
        <v>191</v>
      </c>
      <c r="L13" s="2" t="s">
        <v>108</v>
      </c>
      <c r="M13" s="2" t="s">
        <v>109</v>
      </c>
      <c r="N13" s="16"/>
      <c r="O13" s="21"/>
      <c r="P13" s="21"/>
      <c r="Q13" s="21"/>
      <c r="R13" s="21"/>
    </row>
    <row r="14" spans="1:18" ht="24" customHeight="1" x14ac:dyDescent="0.2">
      <c r="A14" s="21"/>
      <c r="B14" s="2">
        <v>11</v>
      </c>
      <c r="C14" s="14" t="s">
        <v>127</v>
      </c>
      <c r="D14" s="14" t="s">
        <v>128</v>
      </c>
      <c r="E14" s="14" t="s">
        <v>34</v>
      </c>
      <c r="F14" s="28" t="s">
        <v>129</v>
      </c>
      <c r="G14" s="2">
        <f>项目资源计算表!G11</f>
        <v>96</v>
      </c>
      <c r="H14" s="2">
        <f>项目资源计算表!H11</f>
        <v>2048</v>
      </c>
      <c r="I14" s="2">
        <f>项目资源计算表!I11</f>
        <v>2000</v>
      </c>
      <c r="J14" s="2">
        <f>项目资源计算表!J11</f>
        <v>0</v>
      </c>
      <c r="K14" s="22" t="s">
        <v>191</v>
      </c>
      <c r="L14" s="2" t="s">
        <v>108</v>
      </c>
      <c r="M14" s="2" t="s">
        <v>109</v>
      </c>
      <c r="N14" s="16" t="s">
        <v>115</v>
      </c>
      <c r="O14" s="21"/>
      <c r="P14" s="21"/>
      <c r="Q14" s="21"/>
      <c r="R14" s="21"/>
    </row>
    <row r="15" spans="1:18" ht="24" customHeight="1" x14ac:dyDescent="0.2">
      <c r="A15" s="21"/>
      <c r="B15" s="2">
        <v>12</v>
      </c>
      <c r="C15" s="14" t="s">
        <v>130</v>
      </c>
      <c r="D15" s="14" t="s">
        <v>128</v>
      </c>
      <c r="E15" s="14" t="s">
        <v>34</v>
      </c>
      <c r="F15" s="28" t="s">
        <v>131</v>
      </c>
      <c r="G15" s="2">
        <f>项目资源计算表!G12</f>
        <v>8</v>
      </c>
      <c r="H15" s="2">
        <f>项目资源计算表!H12</f>
        <v>64</v>
      </c>
      <c r="I15" s="2">
        <f>项目资源计算表!I12</f>
        <v>2000</v>
      </c>
      <c r="J15" s="2">
        <f>项目资源计算表!J12</f>
        <v>0</v>
      </c>
      <c r="K15" s="22" t="s">
        <v>191</v>
      </c>
      <c r="L15" s="29" t="s">
        <v>132</v>
      </c>
      <c r="M15" s="2" t="s">
        <v>133</v>
      </c>
      <c r="N15" s="30" t="s">
        <v>134</v>
      </c>
      <c r="O15" s="21"/>
      <c r="P15" s="21"/>
      <c r="Q15" s="21"/>
      <c r="R15" s="21"/>
    </row>
    <row r="16" spans="1:18" ht="19" customHeight="1" x14ac:dyDescent="0.2">
      <c r="A16" s="21"/>
      <c r="B16" s="8"/>
      <c r="C16" s="4"/>
      <c r="D16" s="4"/>
      <c r="E16" s="4"/>
      <c r="F16" s="25"/>
      <c r="G16" s="8"/>
      <c r="H16" s="8"/>
      <c r="I16" s="8"/>
      <c r="J16" s="8"/>
      <c r="K16" s="24"/>
      <c r="L16" s="24"/>
      <c r="M16" s="8"/>
      <c r="N16" s="26"/>
      <c r="O16" s="21"/>
      <c r="P16" s="21"/>
      <c r="Q16" s="21"/>
      <c r="R16" s="21"/>
    </row>
    <row r="17" spans="6:9" ht="19" customHeight="1" x14ac:dyDescent="0.2">
      <c r="F17" s="31"/>
    </row>
    <row r="18" spans="6:9" ht="19" customHeight="1" x14ac:dyDescent="0.2"/>
    <row r="19" spans="6:9" ht="19" customHeight="1" x14ac:dyDescent="0.2"/>
    <row r="20" spans="6:9" ht="19" customHeight="1" x14ac:dyDescent="0.2">
      <c r="F20" s="21"/>
      <c r="G20" s="21"/>
      <c r="H20" s="21"/>
      <c r="I20" s="21"/>
    </row>
  </sheetData>
  <mergeCells count="4">
    <mergeCell ref="B2:N2"/>
    <mergeCell ref="F4:F6"/>
    <mergeCell ref="F8:F10"/>
    <mergeCell ref="F11:F13"/>
  </mergeCells>
  <phoneticPr fontId="7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1164-E4BB-F148-BF62-3703DE3CE26D}">
  <dimension ref="A1:N20"/>
  <sheetViews>
    <sheetView showGridLines="0" workbookViewId="0"/>
  </sheetViews>
  <sheetFormatPr baseColWidth="10" defaultColWidth="14" defaultRowHeight="14" x14ac:dyDescent="0.2"/>
  <cols>
    <col min="1" max="1" width="6" customWidth="1"/>
    <col min="2" max="2" width="8" customWidth="1"/>
    <col min="3" max="3" width="20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4" ht="24" customHeight="1" x14ac:dyDescent="0.2"/>
    <row r="2" spans="1:14" ht="36" customHeight="1" x14ac:dyDescent="0.2">
      <c r="B2" s="80" t="s">
        <v>92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29" customHeight="1" x14ac:dyDescent="0.2">
      <c r="B3" s="15" t="s">
        <v>21</v>
      </c>
      <c r="C3" s="15" t="s">
        <v>93</v>
      </c>
      <c r="D3" s="15" t="s">
        <v>94</v>
      </c>
      <c r="E3" s="15" t="s">
        <v>95</v>
      </c>
      <c r="F3" s="27" t="s">
        <v>96</v>
      </c>
      <c r="G3" s="27" t="s">
        <v>97</v>
      </c>
      <c r="H3" s="27" t="s">
        <v>98</v>
      </c>
      <c r="I3" s="27" t="s">
        <v>99</v>
      </c>
      <c r="J3" s="27" t="s">
        <v>100</v>
      </c>
      <c r="K3" s="27" t="s">
        <v>101</v>
      </c>
      <c r="L3" s="27" t="s">
        <v>102</v>
      </c>
      <c r="M3" s="15" t="s">
        <v>103</v>
      </c>
      <c r="N3" s="15" t="s">
        <v>5</v>
      </c>
    </row>
    <row r="4" spans="1:14" ht="24" customHeight="1" x14ac:dyDescent="0.2">
      <c r="A4" s="21"/>
      <c r="B4" s="2">
        <v>1</v>
      </c>
      <c r="C4" s="14" t="s">
        <v>104</v>
      </c>
      <c r="D4" s="14" t="s">
        <v>105</v>
      </c>
      <c r="E4" s="14" t="s">
        <v>106</v>
      </c>
      <c r="F4" s="74"/>
      <c r="G4" s="2">
        <f>项目资源计算表!G27</f>
        <v>20</v>
      </c>
      <c r="H4" s="2">
        <f>项目资源计算表!H27</f>
        <v>64</v>
      </c>
      <c r="I4" s="2">
        <f>项目资源计算表!I27</f>
        <v>100</v>
      </c>
      <c r="J4" s="2">
        <f>项目资源计算表!J27</f>
        <v>650</v>
      </c>
      <c r="K4" s="22" t="s">
        <v>107</v>
      </c>
      <c r="L4" s="2" t="s">
        <v>108</v>
      </c>
      <c r="M4" s="2" t="s">
        <v>109</v>
      </c>
      <c r="N4" s="32"/>
    </row>
    <row r="5" spans="1:14" ht="24" customHeight="1" x14ac:dyDescent="0.2">
      <c r="A5" s="21"/>
      <c r="B5" s="2">
        <v>2</v>
      </c>
      <c r="C5" s="14" t="s">
        <v>110</v>
      </c>
      <c r="D5" s="14" t="s">
        <v>105</v>
      </c>
      <c r="E5" s="14" t="s">
        <v>106</v>
      </c>
      <c r="F5" s="74"/>
      <c r="G5" s="2">
        <f>项目资源计算表!G27</f>
        <v>20</v>
      </c>
      <c r="H5" s="2">
        <f>项目资源计算表!H27</f>
        <v>64</v>
      </c>
      <c r="I5" s="2">
        <f>项目资源计算表!I27</f>
        <v>100</v>
      </c>
      <c r="J5" s="2">
        <f>项目资源计算表!J27</f>
        <v>650</v>
      </c>
      <c r="K5" s="22" t="s">
        <v>107</v>
      </c>
      <c r="L5" s="2" t="s">
        <v>108</v>
      </c>
      <c r="M5" s="2" t="s">
        <v>109</v>
      </c>
      <c r="N5" s="32"/>
    </row>
    <row r="6" spans="1:14" ht="24" customHeight="1" x14ac:dyDescent="0.2">
      <c r="A6" s="21"/>
      <c r="B6" s="2">
        <v>3</v>
      </c>
      <c r="C6" s="14" t="s">
        <v>111</v>
      </c>
      <c r="D6" s="14" t="s">
        <v>105</v>
      </c>
      <c r="E6" s="14" t="s">
        <v>106</v>
      </c>
      <c r="F6" s="74"/>
      <c r="G6" s="2">
        <f>项目资源计算表!G27</f>
        <v>20</v>
      </c>
      <c r="H6" s="2">
        <f>项目资源计算表!H27</f>
        <v>64</v>
      </c>
      <c r="I6" s="2">
        <f>项目资源计算表!I27</f>
        <v>100</v>
      </c>
      <c r="J6" s="2">
        <f>项目资源计算表!J27</f>
        <v>650</v>
      </c>
      <c r="K6" s="22" t="s">
        <v>107</v>
      </c>
      <c r="L6" s="2" t="s">
        <v>108</v>
      </c>
      <c r="M6" s="2" t="s">
        <v>109</v>
      </c>
      <c r="N6" s="32"/>
    </row>
    <row r="7" spans="1:14" ht="24" customHeight="1" x14ac:dyDescent="0.2">
      <c r="A7" s="21"/>
      <c r="B7" s="2">
        <v>4</v>
      </c>
      <c r="C7" s="14" t="s">
        <v>112</v>
      </c>
      <c r="D7" s="14" t="s">
        <v>113</v>
      </c>
      <c r="E7" s="14" t="s">
        <v>114</v>
      </c>
      <c r="F7" s="14"/>
      <c r="G7" s="2" t="str">
        <f>项目资源计算表!G26</f>
        <v>N/A</v>
      </c>
      <c r="H7" s="2" t="str">
        <f>项目资源计算表!H26</f>
        <v>N/A</v>
      </c>
      <c r="I7" s="2" t="str">
        <f>项目资源计算表!I26</f>
        <v>N/A</v>
      </c>
      <c r="J7" s="2" t="str">
        <f>项目资源计算表!J26</f>
        <v>N/A</v>
      </c>
      <c r="K7" s="22" t="s">
        <v>107</v>
      </c>
      <c r="L7" s="2" t="s">
        <v>108</v>
      </c>
      <c r="M7" s="2" t="s">
        <v>109</v>
      </c>
      <c r="N7" s="16" t="s">
        <v>115</v>
      </c>
    </row>
    <row r="8" spans="1:14" ht="24" customHeight="1" x14ac:dyDescent="0.2">
      <c r="A8" s="21"/>
      <c r="B8" s="2">
        <v>5</v>
      </c>
      <c r="C8" s="14" t="s">
        <v>116</v>
      </c>
      <c r="D8" s="14" t="s">
        <v>117</v>
      </c>
      <c r="E8" s="14" t="s">
        <v>118</v>
      </c>
      <c r="F8" s="81" t="s">
        <v>119</v>
      </c>
      <c r="G8" s="2">
        <f>项目资源计算表!G25</f>
        <v>16</v>
      </c>
      <c r="H8" s="2">
        <f>项目资源计算表!H25</f>
        <v>64</v>
      </c>
      <c r="I8" s="2">
        <f>项目资源计算表!I25</f>
        <v>100</v>
      </c>
      <c r="J8" s="2">
        <f>项目资源计算表!J25</f>
        <v>1000</v>
      </c>
      <c r="K8" s="22" t="s">
        <v>107</v>
      </c>
      <c r="L8" s="2" t="s">
        <v>108</v>
      </c>
      <c r="M8" s="2" t="s">
        <v>109</v>
      </c>
      <c r="N8" s="16" t="s">
        <v>115</v>
      </c>
    </row>
    <row r="9" spans="1:14" ht="24" customHeight="1" x14ac:dyDescent="0.2">
      <c r="A9" s="21"/>
      <c r="B9" s="2">
        <v>6</v>
      </c>
      <c r="C9" s="14" t="s">
        <v>120</v>
      </c>
      <c r="D9" s="14" t="s">
        <v>117</v>
      </c>
      <c r="E9" s="14" t="s">
        <v>118</v>
      </c>
      <c r="F9" s="81"/>
      <c r="G9" s="2">
        <f>项目资源计算表!G25</f>
        <v>16</v>
      </c>
      <c r="H9" s="2">
        <f>项目资源计算表!H25</f>
        <v>64</v>
      </c>
      <c r="I9" s="2">
        <f>项目资源计算表!I25</f>
        <v>100</v>
      </c>
      <c r="J9" s="2">
        <f>项目资源计算表!J25</f>
        <v>1000</v>
      </c>
      <c r="K9" s="22" t="s">
        <v>107</v>
      </c>
      <c r="L9" s="2" t="s">
        <v>108</v>
      </c>
      <c r="M9" s="2" t="s">
        <v>109</v>
      </c>
      <c r="N9" s="16" t="s">
        <v>115</v>
      </c>
    </row>
    <row r="10" spans="1:14" ht="24" customHeight="1" x14ac:dyDescent="0.2">
      <c r="A10" s="21"/>
      <c r="B10" s="2">
        <v>7</v>
      </c>
      <c r="C10" s="14" t="s">
        <v>121</v>
      </c>
      <c r="D10" s="14" t="s">
        <v>117</v>
      </c>
      <c r="E10" s="14" t="s">
        <v>118</v>
      </c>
      <c r="F10" s="81"/>
      <c r="G10" s="2">
        <f>项目资源计算表!G25</f>
        <v>16</v>
      </c>
      <c r="H10" s="2">
        <f>项目资源计算表!H25</f>
        <v>64</v>
      </c>
      <c r="I10" s="2">
        <f>项目资源计算表!I25</f>
        <v>100</v>
      </c>
      <c r="J10" s="2">
        <f>项目资源计算表!J25</f>
        <v>1000</v>
      </c>
      <c r="K10" s="22" t="s">
        <v>107</v>
      </c>
      <c r="L10" s="2" t="s">
        <v>108</v>
      </c>
      <c r="M10" s="2" t="s">
        <v>109</v>
      </c>
      <c r="N10" s="16" t="s">
        <v>115</v>
      </c>
    </row>
    <row r="11" spans="1:14" ht="24" customHeight="1" x14ac:dyDescent="0.2">
      <c r="A11" s="21"/>
      <c r="B11" s="2">
        <v>8</v>
      </c>
      <c r="C11" s="14" t="s">
        <v>122</v>
      </c>
      <c r="D11" s="14" t="s">
        <v>123</v>
      </c>
      <c r="E11" s="14" t="s">
        <v>124</v>
      </c>
      <c r="F11" s="74"/>
      <c r="G11" s="2">
        <f>项目资源计算表!G24</f>
        <v>4</v>
      </c>
      <c r="H11" s="2">
        <f>项目资源计算表!H24</f>
        <v>8</v>
      </c>
      <c r="I11" s="2">
        <f>项目资源计算表!I24</f>
        <v>50</v>
      </c>
      <c r="J11" s="2">
        <f>项目资源计算表!J24</f>
        <v>50</v>
      </c>
      <c r="K11" s="22" t="s">
        <v>107</v>
      </c>
      <c r="L11" s="2" t="s">
        <v>108</v>
      </c>
      <c r="M11" s="2" t="s">
        <v>109</v>
      </c>
      <c r="N11" s="16"/>
    </row>
    <row r="12" spans="1:14" ht="24" customHeight="1" x14ac:dyDescent="0.2">
      <c r="A12" s="21"/>
      <c r="B12" s="2">
        <v>9</v>
      </c>
      <c r="C12" s="14" t="s">
        <v>125</v>
      </c>
      <c r="D12" s="14" t="s">
        <v>123</v>
      </c>
      <c r="E12" s="14" t="s">
        <v>124</v>
      </c>
      <c r="F12" s="74"/>
      <c r="G12" s="2">
        <f>项目资源计算表!G24</f>
        <v>4</v>
      </c>
      <c r="H12" s="2">
        <f>项目资源计算表!H24</f>
        <v>8</v>
      </c>
      <c r="I12" s="2">
        <f>项目资源计算表!I24</f>
        <v>50</v>
      </c>
      <c r="J12" s="2">
        <f>项目资源计算表!J24</f>
        <v>50</v>
      </c>
      <c r="K12" s="22" t="s">
        <v>107</v>
      </c>
      <c r="L12" s="2" t="s">
        <v>108</v>
      </c>
      <c r="M12" s="2" t="s">
        <v>109</v>
      </c>
      <c r="N12" s="16"/>
    </row>
    <row r="13" spans="1:14" ht="24" customHeight="1" x14ac:dyDescent="0.2">
      <c r="A13" s="21"/>
      <c r="B13" s="2">
        <v>10</v>
      </c>
      <c r="C13" s="14" t="s">
        <v>126</v>
      </c>
      <c r="D13" s="14" t="s">
        <v>123</v>
      </c>
      <c r="E13" s="14" t="s">
        <v>124</v>
      </c>
      <c r="F13" s="74"/>
      <c r="G13" s="2">
        <f>项目资源计算表!G24</f>
        <v>4</v>
      </c>
      <c r="H13" s="2">
        <f>项目资源计算表!H24</f>
        <v>8</v>
      </c>
      <c r="I13" s="2">
        <f>项目资源计算表!I24</f>
        <v>50</v>
      </c>
      <c r="J13" s="2">
        <f>项目资源计算表!J24</f>
        <v>50</v>
      </c>
      <c r="K13" s="22" t="s">
        <v>107</v>
      </c>
      <c r="L13" s="2" t="s">
        <v>108</v>
      </c>
      <c r="M13" s="2" t="s">
        <v>109</v>
      </c>
      <c r="N13" s="16"/>
    </row>
    <row r="14" spans="1:14" ht="24" customHeight="1" x14ac:dyDescent="0.2">
      <c r="B14" s="2">
        <v>11</v>
      </c>
      <c r="C14" s="14" t="s">
        <v>127</v>
      </c>
      <c r="D14" s="14" t="s">
        <v>128</v>
      </c>
      <c r="E14" s="14" t="s">
        <v>34</v>
      </c>
      <c r="F14" s="28" t="s">
        <v>129</v>
      </c>
      <c r="G14" s="2">
        <f>项目资源计算表!G28</f>
        <v>48</v>
      </c>
      <c r="H14" s="2">
        <f>项目资源计算表!H28</f>
        <v>1024</v>
      </c>
      <c r="I14" s="2">
        <f>项目资源计算表!I28</f>
        <v>1000</v>
      </c>
      <c r="J14" s="2">
        <f>项目资源计算表!J28</f>
        <v>0</v>
      </c>
      <c r="K14" s="22" t="s">
        <v>107</v>
      </c>
      <c r="L14" s="2" t="s">
        <v>108</v>
      </c>
      <c r="M14" s="2" t="s">
        <v>109</v>
      </c>
      <c r="N14" s="16" t="s">
        <v>115</v>
      </c>
    </row>
    <row r="15" spans="1:14" ht="24" customHeight="1" x14ac:dyDescent="0.2">
      <c r="B15" s="2">
        <v>12</v>
      </c>
      <c r="C15" s="14" t="s">
        <v>130</v>
      </c>
      <c r="D15" s="14" t="s">
        <v>128</v>
      </c>
      <c r="E15" s="14" t="s">
        <v>34</v>
      </c>
      <c r="F15" s="28" t="s">
        <v>131</v>
      </c>
      <c r="G15" s="2">
        <f>项目资源计算表!G29</f>
        <v>8</v>
      </c>
      <c r="H15" s="2">
        <f>项目资源计算表!H29</f>
        <v>64</v>
      </c>
      <c r="I15" s="2">
        <f>项目资源计算表!I29</f>
        <v>2000</v>
      </c>
      <c r="J15" s="2">
        <f>项目资源计算表!J29</f>
        <v>0</v>
      </c>
      <c r="K15" s="22" t="s">
        <v>107</v>
      </c>
      <c r="L15" s="29"/>
      <c r="M15" s="2" t="s">
        <v>133</v>
      </c>
      <c r="N15" s="30" t="s">
        <v>134</v>
      </c>
    </row>
    <row r="16" spans="1:14" ht="24" customHeight="1" x14ac:dyDescent="0.2">
      <c r="B16" s="8"/>
      <c r="C16" s="4"/>
      <c r="D16" s="4"/>
      <c r="E16" s="4"/>
      <c r="F16" s="25"/>
      <c r="G16" s="8"/>
      <c r="H16" s="8"/>
      <c r="I16" s="8"/>
      <c r="J16" s="8"/>
      <c r="K16" s="24"/>
      <c r="L16" s="24"/>
      <c r="M16" s="8"/>
      <c r="N16" s="26"/>
    </row>
    <row r="17" spans="6:6" ht="19" customHeight="1" x14ac:dyDescent="0.2">
      <c r="F17" s="31"/>
    </row>
    <row r="18" spans="6:6" ht="19" customHeight="1" x14ac:dyDescent="0.2"/>
    <row r="19" spans="6:6" ht="19" customHeight="1" x14ac:dyDescent="0.2"/>
    <row r="20" spans="6:6" ht="19" customHeight="1" x14ac:dyDescent="0.2"/>
  </sheetData>
  <mergeCells count="4">
    <mergeCell ref="B2:N2"/>
    <mergeCell ref="F4:F6"/>
    <mergeCell ref="F8:F10"/>
    <mergeCell ref="F11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B55D-AEE8-B146-8EF2-6DEF210197BE}">
  <dimension ref="A1:N20"/>
  <sheetViews>
    <sheetView showGridLines="0" workbookViewId="0">
      <selection activeCell="L16" sqref="L16"/>
    </sheetView>
  </sheetViews>
  <sheetFormatPr baseColWidth="10" defaultColWidth="14" defaultRowHeight="14" x14ac:dyDescent="0.2"/>
  <cols>
    <col min="1" max="1" width="6" customWidth="1"/>
    <col min="2" max="2" width="8" customWidth="1"/>
    <col min="3" max="3" width="24" customWidth="1"/>
    <col min="4" max="4" width="29" customWidth="1"/>
    <col min="5" max="5" width="21" customWidth="1"/>
    <col min="6" max="6" width="42" customWidth="1"/>
    <col min="7" max="7" width="16" customWidth="1"/>
    <col min="8" max="8" width="17" customWidth="1"/>
    <col min="9" max="9" width="24" customWidth="1"/>
    <col min="10" max="10" width="25" customWidth="1"/>
    <col min="11" max="11" width="16" customWidth="1"/>
    <col min="12" max="12" width="17" customWidth="1"/>
    <col min="13" max="13" width="15" customWidth="1"/>
    <col min="14" max="14" width="34" customWidth="1"/>
    <col min="15" max="20" width="13" customWidth="1"/>
  </cols>
  <sheetData>
    <row r="1" spans="1:14" ht="24" customHeight="1" x14ac:dyDescent="0.2"/>
    <row r="2" spans="1:14" ht="26" customHeight="1" x14ac:dyDescent="0.2">
      <c r="B2" s="80" t="s">
        <v>92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29" customHeight="1" x14ac:dyDescent="0.2">
      <c r="B3" s="15" t="s">
        <v>21</v>
      </c>
      <c r="C3" s="15" t="s">
        <v>93</v>
      </c>
      <c r="D3" s="15" t="s">
        <v>94</v>
      </c>
      <c r="E3" s="15" t="s">
        <v>95</v>
      </c>
      <c r="F3" s="27" t="s">
        <v>96</v>
      </c>
      <c r="G3" s="27" t="s">
        <v>97</v>
      </c>
      <c r="H3" s="27" t="s">
        <v>98</v>
      </c>
      <c r="I3" s="27" t="s">
        <v>99</v>
      </c>
      <c r="J3" s="27" t="s">
        <v>100</v>
      </c>
      <c r="K3" s="27" t="s">
        <v>101</v>
      </c>
      <c r="L3" s="27" t="s">
        <v>102</v>
      </c>
      <c r="M3" s="15" t="s">
        <v>103</v>
      </c>
      <c r="N3" s="15" t="s">
        <v>5</v>
      </c>
    </row>
    <row r="4" spans="1:14" ht="24" customHeight="1" x14ac:dyDescent="0.2">
      <c r="A4" s="21"/>
      <c r="B4" s="2">
        <v>1</v>
      </c>
      <c r="C4" s="14" t="s">
        <v>104</v>
      </c>
      <c r="D4" s="14" t="s">
        <v>135</v>
      </c>
      <c r="E4" s="14" t="s">
        <v>135</v>
      </c>
      <c r="F4" s="82" t="s">
        <v>136</v>
      </c>
      <c r="G4" s="29">
        <v>32</v>
      </c>
      <c r="H4" s="29">
        <v>128</v>
      </c>
      <c r="I4" s="2">
        <v>60</v>
      </c>
      <c r="J4" s="2">
        <v>1000</v>
      </c>
      <c r="K4" s="22" t="s">
        <v>107</v>
      </c>
      <c r="L4" s="5" t="s">
        <v>108</v>
      </c>
      <c r="M4" s="2" t="s">
        <v>109</v>
      </c>
      <c r="N4" s="14"/>
    </row>
    <row r="5" spans="1:14" ht="24" customHeight="1" x14ac:dyDescent="0.2">
      <c r="A5" s="21"/>
      <c r="B5" s="2">
        <v>2</v>
      </c>
      <c r="C5" s="14" t="s">
        <v>110</v>
      </c>
      <c r="D5" s="14" t="s">
        <v>135</v>
      </c>
      <c r="E5" s="14" t="s">
        <v>135</v>
      </c>
      <c r="F5" s="82"/>
      <c r="G5" s="29">
        <v>32</v>
      </c>
      <c r="H5" s="29">
        <v>128</v>
      </c>
      <c r="I5" s="2">
        <v>60</v>
      </c>
      <c r="J5" s="2">
        <v>1000</v>
      </c>
      <c r="K5" s="22" t="s">
        <v>107</v>
      </c>
      <c r="L5" s="5" t="s">
        <v>108</v>
      </c>
      <c r="M5" s="2" t="s">
        <v>109</v>
      </c>
      <c r="N5" s="14"/>
    </row>
    <row r="6" spans="1:14" ht="24" customHeight="1" x14ac:dyDescent="0.2">
      <c r="A6" s="21"/>
      <c r="B6" s="2">
        <v>3</v>
      </c>
      <c r="C6" s="14" t="s">
        <v>111</v>
      </c>
      <c r="D6" s="14" t="s">
        <v>135</v>
      </c>
      <c r="E6" s="14" t="s">
        <v>135</v>
      </c>
      <c r="F6" s="82"/>
      <c r="G6" s="29">
        <v>32</v>
      </c>
      <c r="H6" s="29">
        <v>128</v>
      </c>
      <c r="I6" s="2">
        <v>60</v>
      </c>
      <c r="J6" s="2">
        <v>1000</v>
      </c>
      <c r="K6" s="22" t="s">
        <v>107</v>
      </c>
      <c r="L6" s="5" t="s">
        <v>108</v>
      </c>
      <c r="M6" s="2" t="s">
        <v>109</v>
      </c>
      <c r="N6" s="14"/>
    </row>
    <row r="7" spans="1:14" ht="24" customHeight="1" x14ac:dyDescent="0.2">
      <c r="A7" s="21"/>
      <c r="B7" s="2">
        <v>4</v>
      </c>
      <c r="C7" s="14" t="s">
        <v>127</v>
      </c>
      <c r="D7" s="14" t="s">
        <v>128</v>
      </c>
      <c r="E7" s="14" t="s">
        <v>34</v>
      </c>
      <c r="F7" s="28" t="s">
        <v>137</v>
      </c>
      <c r="G7" s="2">
        <v>64</v>
      </c>
      <c r="H7" s="2">
        <v>256</v>
      </c>
      <c r="I7" s="2">
        <f>项目资源计算表!I28</f>
        <v>1000</v>
      </c>
      <c r="J7" s="2">
        <f>项目资源计算表!J28</f>
        <v>0</v>
      </c>
      <c r="K7" s="22" t="s">
        <v>107</v>
      </c>
      <c r="L7" s="5" t="s">
        <v>108</v>
      </c>
      <c r="M7" s="2" t="s">
        <v>109</v>
      </c>
      <c r="N7" s="16" t="s">
        <v>115</v>
      </c>
    </row>
    <row r="8" spans="1:14" ht="24" customHeight="1" x14ac:dyDescent="0.2">
      <c r="B8" s="2">
        <v>5</v>
      </c>
      <c r="C8" s="14" t="s">
        <v>130</v>
      </c>
      <c r="D8" s="14" t="s">
        <v>128</v>
      </c>
      <c r="E8" s="14" t="s">
        <v>34</v>
      </c>
      <c r="F8" s="28" t="s">
        <v>131</v>
      </c>
      <c r="G8" s="2">
        <f>项目资源计算表!G29</f>
        <v>8</v>
      </c>
      <c r="H8" s="2">
        <f>项目资源计算表!H29</f>
        <v>64</v>
      </c>
      <c r="I8" s="2">
        <f>项目资源计算表!I29</f>
        <v>2000</v>
      </c>
      <c r="J8" s="2">
        <f>项目资源计算表!J29</f>
        <v>0</v>
      </c>
      <c r="K8" s="22" t="s">
        <v>107</v>
      </c>
      <c r="L8" s="29"/>
      <c r="M8" s="2" t="s">
        <v>133</v>
      </c>
      <c r="N8" s="16" t="s">
        <v>134</v>
      </c>
    </row>
    <row r="9" spans="1:14" ht="19" customHeight="1" x14ac:dyDescent="0.2">
      <c r="B9" s="8"/>
      <c r="C9" s="4"/>
      <c r="D9" s="4"/>
      <c r="E9" s="4"/>
      <c r="F9" s="25"/>
      <c r="G9" s="24"/>
      <c r="H9" s="24"/>
      <c r="I9" s="24"/>
      <c r="J9" s="24"/>
      <c r="K9" s="24"/>
      <c r="L9" s="24"/>
      <c r="M9" s="8"/>
      <c r="N9" s="26"/>
    </row>
    <row r="10" spans="1:14" ht="19" customHeight="1" x14ac:dyDescent="0.2">
      <c r="F10" s="31"/>
    </row>
    <row r="11" spans="1:14" ht="19" customHeight="1" x14ac:dyDescent="0.2"/>
    <row r="12" spans="1:14" ht="19" customHeight="1" x14ac:dyDescent="0.2"/>
    <row r="13" spans="1:14" ht="19" customHeight="1" x14ac:dyDescent="0.2"/>
    <row r="14" spans="1:14" ht="19" customHeight="1" x14ac:dyDescent="0.2"/>
    <row r="15" spans="1:14" ht="19" customHeight="1" x14ac:dyDescent="0.2"/>
    <row r="16" spans="1:14" ht="19" customHeight="1" x14ac:dyDescent="0.2"/>
    <row r="17" ht="19" customHeight="1" x14ac:dyDescent="0.2"/>
    <row r="18" ht="19" customHeight="1" x14ac:dyDescent="0.2"/>
    <row r="19" ht="19" customHeight="1" x14ac:dyDescent="0.2"/>
    <row r="20" ht="19" customHeight="1" x14ac:dyDescent="0.2"/>
  </sheetData>
  <mergeCells count="2">
    <mergeCell ref="B2:N2"/>
    <mergeCell ref="F4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5832-8301-474A-93E4-83D33F5AF3EE}">
  <dimension ref="A1:E39"/>
  <sheetViews>
    <sheetView workbookViewId="0"/>
  </sheetViews>
  <sheetFormatPr baseColWidth="10" defaultColWidth="14" defaultRowHeight="14" x14ac:dyDescent="0.2"/>
  <cols>
    <col min="1" max="1" width="22" customWidth="1"/>
    <col min="2" max="2" width="37" customWidth="1"/>
    <col min="3" max="20" width="14" customWidth="1"/>
  </cols>
  <sheetData>
    <row r="1" spans="1:5" ht="29" customHeight="1" x14ac:dyDescent="0.2">
      <c r="A1" s="21" t="s">
        <v>25</v>
      </c>
      <c r="B1" s="21" t="str">
        <f>IF(项目信息输入!E3="","",项目信息输入!E3)</f>
        <v>zhilian</v>
      </c>
      <c r="D1" s="21" t="s">
        <v>138</v>
      </c>
      <c r="E1" s="21" t="str">
        <f>IF(B2="100W日活",'100W日活-资源列表'!K4,IF(B2="50W日活",'50W日活-资源列表'!K4,'POC-资源列表 (演示用，不提供高可用)'!K4))</f>
        <v>192.168.1.125</v>
      </c>
    </row>
    <row r="2" spans="1:5" ht="29" customHeight="1" x14ac:dyDescent="0.2">
      <c r="A2" s="21" t="s">
        <v>27</v>
      </c>
      <c r="B2" s="21" t="str">
        <f>项目信息输入!E4</f>
        <v>100W日活</v>
      </c>
      <c r="E2" s="21" t="str">
        <f>IF(B2="100W日活",'100W日活-资源列表'!K5,IF(B2="50W日活",'50W日活-资源列表'!K5,'POC-资源列表 (演示用，不提供高可用)'!K5))</f>
        <v>192.168.1.105</v>
      </c>
    </row>
    <row r="3" spans="1:5" ht="29" customHeight="1" x14ac:dyDescent="0.2">
      <c r="A3" s="21" t="s">
        <v>139</v>
      </c>
      <c r="B3" s="21" t="str">
        <f>IF(项目信息输入!E23="","",项目信息输入!E23)</f>
        <v/>
      </c>
      <c r="E3" s="21" t="str">
        <f>IF(B2="100W日活",'100W日活-资源列表'!K6,IF(B2="50W日活",'50W日活-资源列表'!K6,'POC-资源列表 (演示用，不提供高可用)'!K6))</f>
        <v>192.168.1.119</v>
      </c>
    </row>
    <row r="4" spans="1:5" ht="29" customHeight="1" x14ac:dyDescent="0.2">
      <c r="A4" s="21" t="s">
        <v>140</v>
      </c>
      <c r="B4" s="21" t="str">
        <f>IF(项目信息输入!E25="","",项目信息输入!E25)</f>
        <v>zhilian.pri-customer.vemarsdev.com</v>
      </c>
      <c r="E4" s="21" t="str">
        <f>IF(B2="100W日活",'100W日活-资源列表'!K7,IF(B2="50W日活",'50W日活-资源列表'!K7,'POC-资源列表 (演示用，不提供高可用)'!K7))</f>
        <v>192.168.1.119</v>
      </c>
    </row>
    <row r="5" spans="1:5" ht="29" customHeight="1" x14ac:dyDescent="0.2">
      <c r="A5" s="21" t="s">
        <v>141</v>
      </c>
      <c r="B5" s="21" t="str">
        <f>IF(项目信息输入!E26="","",项目信息输入!E26)</f>
        <v>zhilian-api.pri-customer.vemarsdev.com</v>
      </c>
      <c r="E5" s="21" t="str">
        <f>IF(B2="100W日活",'100W日活-资源列表'!K8,IF(B2="50W日活",'50W日活-资源列表'!K8,“”))</f>
        <v>192.168.1.119</v>
      </c>
    </row>
    <row r="6" spans="1:5" ht="29" customHeight="1" x14ac:dyDescent="0.2">
      <c r="A6" s="21" t="s">
        <v>142</v>
      </c>
      <c r="B6" s="21" t="str">
        <f>IF(项目信息输入!E27="","",项目信息输入!E27)</f>
        <v>https</v>
      </c>
      <c r="E6" s="21" t="str">
        <f>IF(B2="100W日活",'100W日活-资源列表'!K9,IF(B2="50W日活",'50W日活-资源列表'!K9,“”))</f>
        <v>192.168.1.119</v>
      </c>
    </row>
    <row r="7" spans="1:5" ht="29" customHeight="1" x14ac:dyDescent="0.2">
      <c r="A7" s="21" t="s">
        <v>65</v>
      </c>
      <c r="B7" s="21" t="str">
        <f>IF(项目信息输入!E28="","",项目信息输入!E28)</f>
        <v>zhilian.pri-customer.vemarsdev.com</v>
      </c>
      <c r="E7" s="21" t="str">
        <f>IF(B2="100W日活",'100W日活-资源列表'!K10,IF(B2="50W日活",'50W日活-资源列表'!K10,“”))</f>
        <v>192.168.1.119</v>
      </c>
    </row>
    <row r="8" spans="1:5" ht="29" customHeight="1" x14ac:dyDescent="0.2">
      <c r="A8" s="21" t="s">
        <v>143</v>
      </c>
      <c r="B8" s="21" t="str">
        <f>IF(项目信息输入!E29="","",项目信息输入!E29)</f>
        <v>https</v>
      </c>
      <c r="E8" s="21" t="str">
        <f>IF(B2="100W日活",'100W日活-资源列表'!K11,IF(B2="50W日活",'50W日活-资源列表'!K11,“”))</f>
        <v>192.168.1.119</v>
      </c>
    </row>
    <row r="9" spans="1:5" ht="29" customHeight="1" x14ac:dyDescent="0.2">
      <c r="A9" s="21" t="s">
        <v>144</v>
      </c>
      <c r="B9" s="21" t="str">
        <f>IF(项目信息输入!E22="","",项目信息输入!E22)</f>
        <v>使用CAS 2.0协议接入</v>
      </c>
      <c r="E9" s="21" t="str">
        <f>IF(B2="100W日活",'100W日活-资源列表'!K12,IF(B2="50W日活",'50W日活-资源列表'!K12,“”))</f>
        <v>192.168.1.119</v>
      </c>
    </row>
    <row r="10" spans="1:5" ht="29" customHeight="1" x14ac:dyDescent="0.2">
      <c r="A10" s="21"/>
      <c r="B10" s="21"/>
      <c r="E10" s="21" t="str">
        <f>IF(B2="100W日活",'100W日活-资源列表'!K13,IF(B2="50W日活",'50W日活-资源列表'!K13,“”))</f>
        <v>192.168.1.119</v>
      </c>
    </row>
    <row r="11" spans="1:5" ht="29" customHeight="1" x14ac:dyDescent="0.2">
      <c r="A11" s="21"/>
      <c r="B11" s="21"/>
      <c r="E11" s="21" t="str">
        <f>IF(B2="100W日活",'100W日活-资源列表'!K14,IF(B2="50W日活",'50W日活-资源列表'!K14,“”))</f>
        <v>192.168.1.119</v>
      </c>
    </row>
    <row r="12" spans="1:5" ht="29" customHeight="1" x14ac:dyDescent="0.2">
      <c r="A12" s="21" t="s">
        <v>145</v>
      </c>
      <c r="B12" s="21" t="str">
        <f>IF(B2="100W日活",'100W日活-资源列表'!K7,IF(B2="50W日活",'50W日活-资源列表'!K7,'POC-资源列表 (演示用，不提供高可用)'!K5))</f>
        <v>192.168.1.119</v>
      </c>
    </row>
    <row r="13" spans="1:5" ht="68" customHeight="1" x14ac:dyDescent="0.2">
      <c r="A13" s="21" t="s">
        <v>146</v>
      </c>
      <c r="B13" s="33" t="str">
        <f>IF(B2="POC",CONCATENATE(E1,",",E2,",",E3,",",E4),CONCATENATE(E1,",",E2,",",E3,",",E4,",",E5,",",E6,",",E7,",",E8,",",E9,",",E10,",",E11))</f>
        <v>192.168.1.125,192.168.1.105,192.168.1.119,192.168.1.119,192.168.1.119,192.168.1.119,192.168.1.119,192.168.1.119,192.168.1.119,192.168.1.119,192.168.1.119</v>
      </c>
    </row>
    <row r="14" spans="1:5" ht="29" customHeight="1" x14ac:dyDescent="0.2">
      <c r="A14" s="21"/>
      <c r="B14" s="21"/>
    </row>
    <row r="15" spans="1:5" ht="29" customHeight="1" x14ac:dyDescent="0.2">
      <c r="A15" s="21"/>
      <c r="B15" s="21"/>
    </row>
    <row r="16" spans="1:5" ht="29" customHeight="1" x14ac:dyDescent="0.2">
      <c r="A16" s="21" t="s">
        <v>147</v>
      </c>
      <c r="B16" s="21" t="str">
        <f>IF(项目信息输入!E34="","",项目信息输入!E34)</f>
        <v/>
      </c>
    </row>
    <row r="17" spans="1:2" ht="29" customHeight="1" x14ac:dyDescent="0.2">
      <c r="A17" s="21"/>
      <c r="B17" s="21" t="str">
        <f>IF(项目信息输入!E35="","",项目信息输入!E35)</f>
        <v>https://fegfbkefdmfm-demo.authing.cn/cas-idp/6281ef36227e414d07a35d4c/logout</v>
      </c>
    </row>
    <row r="18" spans="1:2" ht="29" customHeight="1" x14ac:dyDescent="0.2">
      <c r="A18" s="21"/>
      <c r="B18" s="21" t="str">
        <f>IF(项目信息输入!E36="","",项目信息输入!E36)</f>
        <v>https://fegfbkefdmfm-demo.authing.cn/cas-idp/6281ef36227e414d07a35d4c</v>
      </c>
    </row>
    <row r="19" spans="1:2" ht="29" customHeight="1" x14ac:dyDescent="0.2">
      <c r="A19" s="21"/>
      <c r="B19" s="21" t="str">
        <f>IF(项目信息输入!E37="","",项目信息输入!E37)</f>
        <v>/login?Service=123</v>
      </c>
    </row>
    <row r="20" spans="1:2" ht="29" customHeight="1" x14ac:dyDescent="0.2">
      <c r="A20" s="21"/>
      <c r="B20" s="21" t="str">
        <f>IF(项目信息输入!E38="","",项目信息输入!E38)</f>
        <v>CAS20</v>
      </c>
    </row>
    <row r="21" spans="1:2" ht="29" customHeight="1" x14ac:dyDescent="0.2">
      <c r="A21" s="21"/>
      <c r="B21" s="21" t="str">
        <f>IF(项目信息输入!E39="","",项目信息输入!E39)</f>
        <v>email</v>
      </c>
    </row>
    <row r="22" spans="1:2" ht="29" customHeight="1" x14ac:dyDescent="0.2">
      <c r="A22" s="21"/>
      <c r="B22" s="21" t="str">
        <f>IF(项目信息输入!E40="","",项目信息输入!E40)</f>
        <v>phone_number</v>
      </c>
    </row>
    <row r="23" spans="1:2" ht="29" customHeight="1" x14ac:dyDescent="0.2">
      <c r="A23" s="21"/>
      <c r="B23" s="21" t="str">
        <f>IF(项目信息输入!E41="","",项目信息输入!E41)</f>
        <v>https://zhilian.pri-customer.vemarsdev.com/out/login/call_back/cas</v>
      </c>
    </row>
    <row r="24" spans="1:2" ht="29" customHeight="1" x14ac:dyDescent="0.2">
      <c r="A24" s="21"/>
      <c r="B24" s="21" t="str">
        <f>IF(项目信息输入!E42="","",项目信息输入!E42)</f>
        <v>true</v>
      </c>
    </row>
    <row r="25" spans="1:2" ht="29" customHeight="1" x14ac:dyDescent="0.2">
      <c r="A25" s="21"/>
      <c r="B25" s="21" t="str">
        <f>IF(项目信息输入!E43="","",项目信息输入!E43)</f>
        <v>name</v>
      </c>
    </row>
    <row r="26" spans="1:2" ht="29" customHeight="1" x14ac:dyDescent="0.2">
      <c r="A26" s="21"/>
      <c r="B26" s="21" t="str">
        <f>IF(项目信息输入!E44="","",项目信息输入!E44)</f>
        <v>none</v>
      </c>
    </row>
    <row r="27" spans="1:2" ht="29" customHeight="1" x14ac:dyDescent="0.2">
      <c r="A27" s="21"/>
      <c r="B27" s="21" t="str">
        <f>IF(项目信息输入!E45="","",项目信息输入!E45)</f>
        <v>none</v>
      </c>
    </row>
    <row r="28" spans="1:2" ht="29" customHeight="1" x14ac:dyDescent="0.2">
      <c r="A28" s="21"/>
      <c r="B28" s="21" t="str">
        <f>IF(项目信息输入!E46="","",项目信息输入!E46)</f>
        <v>none</v>
      </c>
    </row>
    <row r="29" spans="1:2" ht="29" customHeight="1" x14ac:dyDescent="0.2">
      <c r="A29" s="21"/>
      <c r="B29" s="21" t="str">
        <f>IF(项目信息输入!E47="","",项目信息输入!E47)</f>
        <v>https://zhilian.pri-customer.vemarsdev.com</v>
      </c>
    </row>
    <row r="30" spans="1:2" ht="29" customHeight="1" x14ac:dyDescent="0.2">
      <c r="A30" s="21"/>
      <c r="B30" s="21" t="str">
        <f>IF(项目信息输入!E48="","",项目信息输入!E48)</f>
        <v>https://zhilian.pri-customer.vemarsdev.com/out/login/call_back/saml</v>
      </c>
    </row>
    <row r="31" spans="1:2" ht="29" customHeight="1" x14ac:dyDescent="0.2">
      <c r="A31" s="21"/>
      <c r="B31" s="21" t="str">
        <f>IF(项目信息输入!E49="","",项目信息输入!E49)</f>
        <v/>
      </c>
    </row>
    <row r="32" spans="1:2" ht="29" customHeight="1" x14ac:dyDescent="0.2">
      <c r="A32" s="21"/>
      <c r="B32" s="21" t="str">
        <f>IF(项目信息输入!E50="","",项目信息输入!E50)</f>
        <v/>
      </c>
    </row>
    <row r="33" spans="1:2" ht="29" customHeight="1" x14ac:dyDescent="0.2">
      <c r="A33" s="21" t="s">
        <v>148</v>
      </c>
      <c r="B33" s="21" t="str">
        <f>IF(项目信息输入!E51="","",项目信息输入!E51)</f>
        <v/>
      </c>
    </row>
    <row r="34" spans="1:2" ht="29" customHeight="1" x14ac:dyDescent="0.2">
      <c r="A34" s="21" t="s">
        <v>149</v>
      </c>
      <c r="B34" s="21" t="str">
        <f>IF(项目信息输入!E56="","",项目信息输入!E56)</f>
        <v/>
      </c>
    </row>
    <row r="35" spans="1:2" ht="29" customHeight="1" x14ac:dyDescent="0.2">
      <c r="A35" s="21"/>
      <c r="B35" s="21" t="str">
        <f>IF(项目信息输入!E57="","",项目信息输入!E57)</f>
        <v/>
      </c>
    </row>
    <row r="36" spans="1:2" ht="29" customHeight="1" x14ac:dyDescent="0.2">
      <c r="A36" s="21"/>
      <c r="B36" s="21" t="str">
        <f>IF(项目信息输入!E58="","",项目信息输入!E58)</f>
        <v/>
      </c>
    </row>
    <row r="37" spans="1:2" ht="29" customHeight="1" x14ac:dyDescent="0.2">
      <c r="A37" s="21"/>
      <c r="B37" s="21" t="str">
        <f>IF(项目信息输入!E59="","",项目信息输入!E59)</f>
        <v/>
      </c>
    </row>
    <row r="38" spans="1:2" ht="29" customHeight="1" x14ac:dyDescent="0.2">
      <c r="A38" s="21"/>
      <c r="B38" s="21" t="str">
        <f>IF(项目信息输入!E60="","",项目信息输入!E60)</f>
        <v/>
      </c>
    </row>
    <row r="39" spans="1:2" ht="29" customHeight="1" x14ac:dyDescent="0.2">
      <c r="A39" s="21" t="s">
        <v>150</v>
      </c>
      <c r="B39" s="21" t="str">
        <f>IF(项目信息输入!E61="","",项目信息输入!E61)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C103-5E56-A146-B1F6-106051E8EA6E}">
  <dimension ref="A1:BT29"/>
  <sheetViews>
    <sheetView showGridLines="0" topLeftCell="C1" workbookViewId="0">
      <selection activeCell="M8" sqref="M8"/>
    </sheetView>
  </sheetViews>
  <sheetFormatPr baseColWidth="10" defaultColWidth="14" defaultRowHeight="14" x14ac:dyDescent="0.2"/>
  <cols>
    <col min="1" max="1" width="29" customWidth="1"/>
    <col min="2" max="10" width="21" customWidth="1"/>
    <col min="11" max="12" width="18" customWidth="1"/>
    <col min="13" max="14" width="19" customWidth="1"/>
    <col min="15" max="15" width="14" customWidth="1"/>
    <col min="16" max="16" width="15" customWidth="1"/>
    <col min="17" max="72" width="14" customWidth="1"/>
  </cols>
  <sheetData>
    <row r="1" spans="1:72" ht="109" customHeight="1" x14ac:dyDescent="0.2">
      <c r="A1" s="83" t="s">
        <v>151</v>
      </c>
      <c r="B1" s="83"/>
      <c r="C1" s="83"/>
      <c r="D1" s="83"/>
      <c r="E1" s="83"/>
      <c r="F1" s="83"/>
      <c r="G1" s="83"/>
      <c r="H1" s="83"/>
      <c r="I1" s="83"/>
      <c r="J1" s="83"/>
      <c r="K1" s="38"/>
      <c r="U1" s="39"/>
    </row>
    <row r="2" spans="1:72" ht="31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 spans="1:72" ht="24" customHeight="1" x14ac:dyDescent="0.2">
      <c r="A3" s="80" t="s">
        <v>152</v>
      </c>
      <c r="B3" s="80"/>
      <c r="C3" s="80"/>
      <c r="D3" s="80"/>
      <c r="E3" s="80"/>
      <c r="F3" s="80"/>
      <c r="G3" s="80"/>
      <c r="H3" s="80"/>
      <c r="I3" s="80"/>
      <c r="J3" s="80"/>
      <c r="K3" s="35"/>
      <c r="M3" s="80" t="s">
        <v>153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</row>
    <row r="4" spans="1:72" ht="29" customHeight="1" x14ac:dyDescent="0.2">
      <c r="A4" s="91"/>
      <c r="B4" s="84" t="s">
        <v>154</v>
      </c>
      <c r="C4" s="84"/>
      <c r="D4" s="84"/>
      <c r="E4" s="84"/>
      <c r="F4" s="84"/>
      <c r="G4" s="84"/>
      <c r="H4" s="84"/>
      <c r="I4" s="84"/>
      <c r="J4" s="84"/>
      <c r="K4" s="37"/>
      <c r="L4" s="37"/>
      <c r="M4" s="84" t="s">
        <v>155</v>
      </c>
      <c r="N4" s="84"/>
      <c r="O4" s="84"/>
      <c r="P4" s="84"/>
      <c r="Q4" s="84" t="s">
        <v>156</v>
      </c>
      <c r="R4" s="84"/>
      <c r="S4" s="84"/>
      <c r="T4" s="84"/>
      <c r="U4" s="84" t="s">
        <v>157</v>
      </c>
      <c r="V4" s="84"/>
      <c r="W4" s="84"/>
      <c r="X4" s="84"/>
      <c r="Y4" s="84" t="s">
        <v>158</v>
      </c>
      <c r="Z4" s="84"/>
      <c r="AA4" s="84"/>
      <c r="AB4" s="84"/>
      <c r="AC4" s="84" t="s">
        <v>38</v>
      </c>
      <c r="AD4" s="84"/>
      <c r="AE4" s="84"/>
      <c r="AF4" s="84"/>
      <c r="AG4" s="84" t="s">
        <v>159</v>
      </c>
      <c r="AH4" s="84"/>
      <c r="AI4" s="84"/>
      <c r="AJ4" s="84"/>
      <c r="AK4" s="84" t="s">
        <v>41</v>
      </c>
      <c r="AL4" s="84"/>
      <c r="AM4" s="84"/>
      <c r="AN4" s="84"/>
      <c r="AO4" s="84" t="s">
        <v>42</v>
      </c>
      <c r="AP4" s="84"/>
      <c r="AQ4" s="84"/>
      <c r="AR4" s="84"/>
      <c r="AS4" s="84" t="s">
        <v>43</v>
      </c>
      <c r="AT4" s="84"/>
      <c r="AU4" s="84"/>
      <c r="AV4" s="84"/>
      <c r="AW4" s="84" t="s">
        <v>44</v>
      </c>
      <c r="AX4" s="84"/>
      <c r="AY4" s="84"/>
      <c r="AZ4" s="84"/>
      <c r="BA4" s="84" t="s">
        <v>45</v>
      </c>
      <c r="BB4" s="84"/>
      <c r="BC4" s="84"/>
      <c r="BD4" s="84"/>
      <c r="BE4" s="84" t="s">
        <v>160</v>
      </c>
      <c r="BF4" s="84"/>
      <c r="BG4" s="84"/>
      <c r="BH4" s="84"/>
      <c r="BI4" s="84" t="s">
        <v>161</v>
      </c>
      <c r="BJ4" s="84"/>
      <c r="BK4" s="84"/>
      <c r="BL4" s="84"/>
      <c r="BM4" s="84" t="s">
        <v>162</v>
      </c>
      <c r="BN4" s="84"/>
      <c r="BO4" s="84"/>
      <c r="BP4" s="84"/>
      <c r="BQ4" s="84" t="s">
        <v>163</v>
      </c>
      <c r="BR4" s="84"/>
      <c r="BS4" s="84"/>
      <c r="BT4" s="84"/>
    </row>
    <row r="5" spans="1:72" ht="29" customHeight="1" x14ac:dyDescent="0.2">
      <c r="A5" s="92"/>
      <c r="B5" s="6" t="s">
        <v>97</v>
      </c>
      <c r="C5" s="6" t="s">
        <v>98</v>
      </c>
      <c r="D5" s="6" t="s">
        <v>99</v>
      </c>
      <c r="E5" s="6" t="s">
        <v>100</v>
      </c>
      <c r="F5" s="6" t="s">
        <v>164</v>
      </c>
      <c r="G5" s="6" t="s">
        <v>165</v>
      </c>
      <c r="H5" s="6" t="s">
        <v>166</v>
      </c>
      <c r="I5" s="6" t="s">
        <v>167</v>
      </c>
      <c r="J5" s="6" t="s">
        <v>168</v>
      </c>
      <c r="K5" s="35"/>
      <c r="L5" s="35"/>
      <c r="M5" s="6" t="s">
        <v>97</v>
      </c>
      <c r="N5" s="6" t="s">
        <v>98</v>
      </c>
      <c r="O5" s="6" t="s">
        <v>99</v>
      </c>
      <c r="P5" s="6" t="s">
        <v>100</v>
      </c>
      <c r="Q5" s="6" t="s">
        <v>97</v>
      </c>
      <c r="R5" s="6" t="s">
        <v>98</v>
      </c>
      <c r="S5" s="6" t="s">
        <v>99</v>
      </c>
      <c r="T5" s="6" t="s">
        <v>100</v>
      </c>
      <c r="U5" s="6" t="s">
        <v>97</v>
      </c>
      <c r="V5" s="6" t="s">
        <v>98</v>
      </c>
      <c r="W5" s="6" t="s">
        <v>99</v>
      </c>
      <c r="X5" s="6" t="s">
        <v>100</v>
      </c>
      <c r="Y5" s="6" t="s">
        <v>97</v>
      </c>
      <c r="Z5" s="6" t="s">
        <v>98</v>
      </c>
      <c r="AA5" s="6" t="s">
        <v>99</v>
      </c>
      <c r="AB5" s="6" t="s">
        <v>100</v>
      </c>
      <c r="AC5" s="6" t="s">
        <v>97</v>
      </c>
      <c r="AD5" s="6" t="s">
        <v>98</v>
      </c>
      <c r="AE5" s="6" t="s">
        <v>99</v>
      </c>
      <c r="AF5" s="6" t="s">
        <v>100</v>
      </c>
      <c r="AG5" s="6" t="s">
        <v>97</v>
      </c>
      <c r="AH5" s="6" t="s">
        <v>98</v>
      </c>
      <c r="AI5" s="6" t="s">
        <v>99</v>
      </c>
      <c r="AJ5" s="6" t="s">
        <v>100</v>
      </c>
      <c r="AK5" s="6" t="s">
        <v>97</v>
      </c>
      <c r="AL5" s="6" t="s">
        <v>98</v>
      </c>
      <c r="AM5" s="6" t="s">
        <v>99</v>
      </c>
      <c r="AN5" s="6" t="s">
        <v>100</v>
      </c>
      <c r="AO5" s="6" t="s">
        <v>97</v>
      </c>
      <c r="AP5" s="6" t="s">
        <v>98</v>
      </c>
      <c r="AQ5" s="6" t="s">
        <v>99</v>
      </c>
      <c r="AR5" s="6" t="s">
        <v>100</v>
      </c>
      <c r="AS5" s="6" t="s">
        <v>97</v>
      </c>
      <c r="AT5" s="6" t="s">
        <v>98</v>
      </c>
      <c r="AU5" s="6" t="s">
        <v>99</v>
      </c>
      <c r="AV5" s="6" t="s">
        <v>100</v>
      </c>
      <c r="AW5" s="6" t="s">
        <v>97</v>
      </c>
      <c r="AX5" s="6" t="s">
        <v>98</v>
      </c>
      <c r="AY5" s="6" t="s">
        <v>99</v>
      </c>
      <c r="AZ5" s="6" t="s">
        <v>100</v>
      </c>
      <c r="BA5" s="6" t="s">
        <v>97</v>
      </c>
      <c r="BB5" s="6" t="s">
        <v>98</v>
      </c>
      <c r="BC5" s="6" t="s">
        <v>99</v>
      </c>
      <c r="BD5" s="6" t="s">
        <v>100</v>
      </c>
      <c r="BE5" s="6" t="s">
        <v>97</v>
      </c>
      <c r="BF5" s="6" t="s">
        <v>98</v>
      </c>
      <c r="BG5" s="6" t="s">
        <v>99</v>
      </c>
      <c r="BH5" s="6" t="s">
        <v>100</v>
      </c>
      <c r="BI5" s="6" t="s">
        <v>97</v>
      </c>
      <c r="BJ5" s="6" t="s">
        <v>98</v>
      </c>
      <c r="BK5" s="6" t="s">
        <v>99</v>
      </c>
      <c r="BL5" s="6" t="s">
        <v>100</v>
      </c>
      <c r="BM5" s="6" t="s">
        <v>97</v>
      </c>
      <c r="BN5" s="6" t="s">
        <v>98</v>
      </c>
      <c r="BO5" s="6" t="s">
        <v>99</v>
      </c>
      <c r="BP5" s="6" t="s">
        <v>100</v>
      </c>
      <c r="BQ5" s="6" t="s">
        <v>97</v>
      </c>
      <c r="BR5" s="6" t="s">
        <v>98</v>
      </c>
      <c r="BS5" s="6" t="s">
        <v>99</v>
      </c>
      <c r="BT5" s="6" t="s">
        <v>100</v>
      </c>
    </row>
    <row r="6" spans="1:72" ht="24" customHeight="1" x14ac:dyDescent="0.2">
      <c r="A6" s="36" t="s">
        <v>169</v>
      </c>
      <c r="B6" s="85"/>
      <c r="C6" s="86"/>
      <c r="D6" s="86"/>
      <c r="E6" s="86"/>
      <c r="F6" s="86"/>
      <c r="G6" s="86"/>
      <c r="H6" s="86"/>
      <c r="I6" s="86"/>
      <c r="J6" s="87"/>
      <c r="K6" s="40"/>
      <c r="L6" s="40"/>
      <c r="M6" s="41">
        <f>IF(EXACT(项目信息输入!E5,"部署"),1,0)</f>
        <v>1</v>
      </c>
      <c r="N6" s="41">
        <f>IF(EXACT(项目信息输入!E5,"部署"),1,0)</f>
        <v>1</v>
      </c>
      <c r="O6" s="41">
        <f>IF(EXACT(项目信息输入!E5,"部署"),1,0)</f>
        <v>1</v>
      </c>
      <c r="P6" s="41">
        <f>IF(EXACT(项目信息输入!E5,"部署"),1,0)</f>
        <v>1</v>
      </c>
      <c r="Q6" s="41">
        <f>IF(OR(EXACT(项目信息输入!E6,"部署"),EXACT(项目信息输入!E10,"部署")),1,0)</f>
        <v>1</v>
      </c>
      <c r="R6" s="41">
        <f>IF(OR(EXACT(项目信息输入!E6,"部署"),EXACT(项目信息输入!E10,"部署")),1,0)</f>
        <v>1</v>
      </c>
      <c r="S6" s="41">
        <f>IF(OR(EXACT(项目信息输入!E6,"部署"),EXACT(项目信息输入!E10,"部署")),1,0)</f>
        <v>1</v>
      </c>
      <c r="T6" s="41">
        <f>IF(OR(EXACT(项目信息输入!E6,"部署"),EXACT(项目信息输入!E10,"部署")),1,0)</f>
        <v>1</v>
      </c>
      <c r="U6" s="41">
        <f>IF(EXACT(项目信息输入!E7,"部署"),1,0)</f>
        <v>0</v>
      </c>
      <c r="V6" s="41">
        <f>IF(EXACT(项目信息输入!E7,"部署"),1,0)</f>
        <v>0</v>
      </c>
      <c r="W6" s="41">
        <f>IF(EXACT(项目信息输入!E7,"部署"),1,0)</f>
        <v>0</v>
      </c>
      <c r="X6" s="41">
        <f>IF(EXACT(项目信息输入!E7,"部署"),1,0)</f>
        <v>0</v>
      </c>
      <c r="Y6" s="41">
        <f>IF(EXACT(项目信息输入!E8,"部署"),1,0)</f>
        <v>1</v>
      </c>
      <c r="Z6" s="41">
        <f>IF(EXACT(项目信息输入!E8,"部署"),1,0)</f>
        <v>1</v>
      </c>
      <c r="AA6" s="41">
        <f>IF(EXACT(项目信息输入!E8,"部署"),1,0)</f>
        <v>1</v>
      </c>
      <c r="AB6" s="41">
        <f>IF(EXACT(项目信息输入!E8,"部署"),1,0)</f>
        <v>1</v>
      </c>
      <c r="AC6" s="41">
        <f>IF(EXACT(项目信息输入!E9,"部署"),1,0)</f>
        <v>1</v>
      </c>
      <c r="AD6" s="41">
        <f>IF(EXACT(项目信息输入!E9,"部署"),1,0)</f>
        <v>1</v>
      </c>
      <c r="AE6" s="41">
        <f>IF(EXACT(项目信息输入!E9,"部署"),1,0)</f>
        <v>1</v>
      </c>
      <c r="AF6" s="41">
        <f>IF(EXACT(项目信息输入!E9,"部署"),1,0)</f>
        <v>1</v>
      </c>
      <c r="AG6" s="14">
        <f>IF(EXACT(项目信息输入!E10,"部署"),1,0)</f>
        <v>1</v>
      </c>
      <c r="AH6" s="14">
        <f>IF(EXACT(项目信息输入!E10,"部署"),1,0)</f>
        <v>1</v>
      </c>
      <c r="AI6" s="14">
        <f>IF(EXACT(项目信息输入!E10,"部署"),1,0)</f>
        <v>1</v>
      </c>
      <c r="AJ6" s="14">
        <f>IF(EXACT(项目信息输入!E10,"部署"),1,0)</f>
        <v>1</v>
      </c>
      <c r="AK6" s="14">
        <f>IF(EXACT(项目信息输入!E11,"部署"),1,0)</f>
        <v>0</v>
      </c>
      <c r="AL6" s="14">
        <f>IF(EXACT(项目信息输入!E11,"部署"),1,0)</f>
        <v>0</v>
      </c>
      <c r="AM6" s="14">
        <f>IF(EXACT(项目信息输入!E11,"部署"),1,0)</f>
        <v>0</v>
      </c>
      <c r="AN6" s="14">
        <f>IF(EXACT(项目信息输入!E11,"部署"),1,0)</f>
        <v>0</v>
      </c>
      <c r="AO6" s="14">
        <f>IF(EXACT(项目信息输入!E12,"部署"),1,0)</f>
        <v>0</v>
      </c>
      <c r="AP6" s="14">
        <f>IF(EXACT(项目信息输入!E12,"部署"),1,0)</f>
        <v>0</v>
      </c>
      <c r="AQ6" s="14">
        <f>IF(EXACT(项目信息输入!E12,"部署"),1,0)</f>
        <v>0</v>
      </c>
      <c r="AR6" s="14">
        <f>IF(EXACT(项目信息输入!E12,"部署"),1,0)</f>
        <v>0</v>
      </c>
      <c r="AS6" s="14">
        <f>IF(EXACT(项目信息输入!E13,"部署"),1,0)</f>
        <v>0</v>
      </c>
      <c r="AT6" s="14">
        <f>IF(EXACT(项目信息输入!E13,"部署"),1,0)</f>
        <v>0</v>
      </c>
      <c r="AU6" s="14">
        <f>IF(EXACT(项目信息输入!E13,"部署"),1,0)</f>
        <v>0</v>
      </c>
      <c r="AV6" s="14">
        <f>IF(EXACT(项目信息输入!E13,"部署"),1,0)</f>
        <v>0</v>
      </c>
      <c r="AW6" s="14">
        <f>IF(EXACT(项目信息输入!E14,"部署"),1,0)</f>
        <v>0</v>
      </c>
      <c r="AX6" s="14">
        <f>IF(EXACT(项目信息输入!E14,"部署"),1,0)</f>
        <v>0</v>
      </c>
      <c r="AY6" s="14">
        <f>IF(EXACT(项目信息输入!E14,"部署"),1,0)</f>
        <v>0</v>
      </c>
      <c r="AZ6" s="14">
        <f>IF(EXACT(项目信息输入!E14,"部署"),1,0)</f>
        <v>0</v>
      </c>
      <c r="BA6" s="14">
        <f>IF(EXACT(项目信息输入!E15,"部署"),1,0)</f>
        <v>0</v>
      </c>
      <c r="BB6" s="14">
        <f>IF(EXACT(项目信息输入!E15,"部署"),1,0)</f>
        <v>0</v>
      </c>
      <c r="BC6" s="14">
        <f>IF(EXACT(项目信息输入!E15,"部署"),1,0)</f>
        <v>0</v>
      </c>
      <c r="BD6" s="14">
        <f>IF(EXACT(项目信息输入!E15,"部署"),1,0)</f>
        <v>0</v>
      </c>
      <c r="BE6" s="14">
        <f>IF(EXACT(项目信息输入!E19,"部署"),1,0)</f>
        <v>0</v>
      </c>
      <c r="BF6" s="14">
        <f>IF(EXACT(项目信息输入!E19,"部署"),1,0)</f>
        <v>0</v>
      </c>
      <c r="BG6" s="14">
        <f>IF(EXACT(项目信息输入!E19,"部署"),1,0)</f>
        <v>0</v>
      </c>
      <c r="BH6" s="14">
        <f>IF(EXACT(项目信息输入!E19,"部署"),1,0)</f>
        <v>0</v>
      </c>
      <c r="BI6" s="14">
        <f>IF(EXACT(项目信息输入!E18,"部署"),1,0)</f>
        <v>0</v>
      </c>
      <c r="BJ6" s="14">
        <f>IF(EXACT(项目信息输入!E18,"部署"),1,0)</f>
        <v>0</v>
      </c>
      <c r="BK6" s="14">
        <f>IF(EXACT(项目信息输入!E18,"部署"),1,0)</f>
        <v>0</v>
      </c>
      <c r="BL6" s="14">
        <f>IF(EXACT(项目信息输入!E18,"部署"),1,0)</f>
        <v>0</v>
      </c>
      <c r="BM6" s="14">
        <f>IF(EXACT(项目信息输入!E17,"部署"),1,0)</f>
        <v>0</v>
      </c>
      <c r="BN6" s="14">
        <f>IF(EXACT(项目信息输入!E17,"部署"),1,0)</f>
        <v>0</v>
      </c>
      <c r="BO6" s="14">
        <f>IF(EXACT(项目信息输入!E17,"部署"),1,0)</f>
        <v>0</v>
      </c>
      <c r="BP6" s="14">
        <f>IF(EXACT(项目信息输入!E17,"部署"),1,0)</f>
        <v>0</v>
      </c>
      <c r="BQ6" s="14">
        <f>IF(EXACT(项目信息输入!E16,"部署"),1,0)</f>
        <v>0</v>
      </c>
      <c r="BR6" s="14">
        <f>IF(EXACT(项目信息输入!E16,"部署"),1,0)</f>
        <v>0</v>
      </c>
      <c r="BS6" s="14">
        <f>IF(EXACT(项目信息输入!E16,"部署"),1,0)</f>
        <v>0</v>
      </c>
      <c r="BT6" s="14">
        <f>IF(EXACT(项目信息输入!E16,"部署"),1,0)</f>
        <v>0</v>
      </c>
    </row>
    <row r="7" spans="1:72" ht="24" customHeight="1" x14ac:dyDescent="0.2">
      <c r="A7" s="36" t="s">
        <v>170</v>
      </c>
      <c r="B7" s="14">
        <f>M7*M6+Q7*Q6+U7*U6+Y7*Y6+AC7*AC6+AG7*AG6+AK7*AK6+AO7*AO6+AS7*AS6+AW7*AW6+BA7*BA6+BE7*BE6</f>
        <v>8</v>
      </c>
      <c r="C7" s="14">
        <f>N7*N6+R7*R6+V7*V6+Z7*Z6+AD7*AD6+AH7*AH6+AL7*AL6+AP7*AP6+AT7*AT6+AX7*AX6+BB7*BB6+BF7*BF6</f>
        <v>16</v>
      </c>
      <c r="D7" s="14">
        <f>O7*O6+S7*S6+W7*W6+AA7*AA6+AE7*AE6+AI7*AI6+AM7*AM6+AQ7*AQ6+AU7*AU6+AY7*AY6+BC7*BC6+BG7*BG6</f>
        <v>60</v>
      </c>
      <c r="E7" s="14">
        <f>P7*P6+T7*T6+X7*X6+AB7*AB6+AF7*AF6+AJ7*AJ6+AN7*AN6+AR7*AR6+AV7*AV6+AZ7*AZ6+BD7*BD6+BH7*BH6</f>
        <v>100</v>
      </c>
      <c r="F7" s="14">
        <f>IF(B7=0,0,IF(B7&gt;96,B7/96+3,3))</f>
        <v>3</v>
      </c>
      <c r="G7" s="14">
        <f t="shared" ref="G7:G12" si="0">IFERROR(CEILING(B7/F7/4,1)*4,"N/A")</f>
        <v>4</v>
      </c>
      <c r="H7" s="14">
        <f t="shared" ref="H7:H12" si="1">IFERROR(CEILING(C7/F7/8,1)*8,"N/A")</f>
        <v>8</v>
      </c>
      <c r="I7" s="14">
        <f t="shared" ref="I7:I12" si="2">IFERROR(CEILING(D7/F7/50,1)*50,"N/A")</f>
        <v>50</v>
      </c>
      <c r="J7" s="14">
        <f t="shared" ref="J7:J12" si="3">IFERROR(CEILING(E7/F7/50,1)*50,"N/A")</f>
        <v>50</v>
      </c>
      <c r="K7" s="35"/>
      <c r="L7" s="35"/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8</v>
      </c>
      <c r="V7" s="34">
        <v>16</v>
      </c>
      <c r="W7" s="34">
        <v>60</v>
      </c>
      <c r="X7" s="34">
        <v>100</v>
      </c>
      <c r="Y7" s="34">
        <v>8</v>
      </c>
      <c r="Z7" s="34">
        <v>16</v>
      </c>
      <c r="AA7" s="34">
        <v>60</v>
      </c>
      <c r="AB7" s="34">
        <v>100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spans="1:72" ht="24" customHeight="1" x14ac:dyDescent="0.2">
      <c r="A8" s="36" t="s">
        <v>171</v>
      </c>
      <c r="B8" s="14">
        <f>M8*M6+Q8*Q6+U8*U6+Y8*Y6+AC8*AC6+AG8*AG6+AK8*AK6+AO8*AO6+AS8*AS6+AW8*AW6+BA8*BA6+BE8*BE6</f>
        <v>96</v>
      </c>
      <c r="C8" s="14">
        <f>N8*N6+R8*R6+V8*V6+Z8*Z6+AD8*AD6+AH8*AH6+AL8*AL6+AP8*AP6+AT8*AT6+AX8*AX6+BB8*BB6+BF8*BF6</f>
        <v>384</v>
      </c>
      <c r="D8" s="14">
        <f>O8*O6+S8*S6+W8*W6+AA8*AA6+AE8*AE6+AI8*AI6+AM8*AM6+AQ8*AQ6+AU8*AU6+AY8*AY6+BC8*BC6+BG8*BG6</f>
        <v>180</v>
      </c>
      <c r="E8" s="14">
        <f>P8*P6+T8*T6+X8*X6+AB8*AB6+AF8*AF6+AJ8*AJ6+AN8*AN6+AR8*AR6+AV8*AV6+AZ8*AZ6+BD8*BD6+BH8*BH6</f>
        <v>6000</v>
      </c>
      <c r="F8" s="14">
        <f>IF(B8=0,0,IF(B8&gt;96,B8/96+3,3))</f>
        <v>3</v>
      </c>
      <c r="G8" s="14">
        <f t="shared" si="0"/>
        <v>32</v>
      </c>
      <c r="H8" s="14">
        <f t="shared" si="1"/>
        <v>128</v>
      </c>
      <c r="I8" s="14">
        <f t="shared" si="2"/>
        <v>100</v>
      </c>
      <c r="J8" s="14">
        <f t="shared" si="3"/>
        <v>2000</v>
      </c>
      <c r="K8" s="35"/>
      <c r="L8" s="35"/>
      <c r="M8" s="34">
        <f>32*3</f>
        <v>96</v>
      </c>
      <c r="N8" s="34">
        <f>128*3</f>
        <v>384</v>
      </c>
      <c r="O8" s="34">
        <f>60*3</f>
        <v>180</v>
      </c>
      <c r="P8" s="34">
        <f>2000*3</f>
        <v>6000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spans="1:72" ht="24" customHeight="1" x14ac:dyDescent="0.2">
      <c r="A9" s="36" t="s">
        <v>172</v>
      </c>
      <c r="B9" s="14">
        <f>M9*M6+Q9*Q6+U9*U6+Y9*Y6+AC9*AC6+AG9*AG6+AK9*AK6+AO9*AO6+AS9*AS6+AW9*AW6+BA9*BA6+BE9*BE6</f>
        <v>0</v>
      </c>
      <c r="C9" s="14">
        <f>N9*N6+R9*R6+V9*V6+Z9*Z6+AD9*AD6+AH9*AH6+AL9*AL6+AP9*AP6+AT9*AT6+AX9*AX6+BB9*BB6+BF9*BF6</f>
        <v>0</v>
      </c>
      <c r="D9" s="14">
        <f>O9*O6+S9*S6+W9*W6+AA9*AA6+AE9*AE6+AI9*AI6+AM9*AM6+AQ9*AQ6+AU9*AU6+AY9*AY6+BC9*BC6+BG9*BG6</f>
        <v>0</v>
      </c>
      <c r="E9" s="14">
        <f>P9*P6+T9*T6+X9*X6+AB9*AB6+AF9*AF6+AJ9*AJ6+AN9*AN6+AR9*AR6+AV9*AV6+AZ9*AZ6+BD9*BD6+BH9*BH6</f>
        <v>0</v>
      </c>
      <c r="F9" s="14">
        <f>IF(B9=0,0,1)</f>
        <v>0</v>
      </c>
      <c r="G9" s="14" t="str">
        <f t="shared" si="0"/>
        <v>N/A</v>
      </c>
      <c r="H9" s="14" t="str">
        <f t="shared" si="1"/>
        <v>N/A</v>
      </c>
      <c r="I9" s="14" t="str">
        <f t="shared" si="2"/>
        <v>N/A</v>
      </c>
      <c r="J9" s="14" t="str">
        <f t="shared" si="3"/>
        <v>N/A</v>
      </c>
      <c r="K9" s="35"/>
      <c r="L9" s="35"/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96</v>
      </c>
      <c r="V9" s="34">
        <v>2048</v>
      </c>
      <c r="W9" s="34">
        <v>60</v>
      </c>
      <c r="X9" s="34">
        <v>2000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</row>
    <row r="10" spans="1:72" ht="24" customHeight="1" x14ac:dyDescent="0.2">
      <c r="A10" s="36" t="s">
        <v>173</v>
      </c>
      <c r="B10" s="14">
        <f>M10*M6+Q10*Q6+U10*U6+Y10*Y6+AC10*AC6+AG10*AG6+AK10*AK6+AO10*AO6+AS10*AS6+AW10*AW6+BA10*BA6+BE10*BE6</f>
        <v>80</v>
      </c>
      <c r="C10" s="14">
        <f>N10*N6+R10*R6+V10*V6+Z10*Z6+AD10*AD6+AH10*AH6+AL10*AL6+AP10*AP6+AT10*AT6+AX10*AX6+BB10*BB6+BF10*BF6</f>
        <v>272</v>
      </c>
      <c r="D10" s="14">
        <f>O10*O6+S10*S6+W10*W6+AA10*AA6+AE10*AE6+AI10*AI6+AM10*AM6+AQ10*AQ6+AU10*AU6+AY10*AY6+BC10*BC6+BG10*BG6</f>
        <v>180</v>
      </c>
      <c r="E10" s="14">
        <f>P10*P6+T10*T6+X10*X6+AB10*AB6+AF10*AF6+AJ10*AJ6+AN10*AN6+AR10*AR6+AV10*AV6+AZ10*AZ6+BD10*BD6+BH10*BH6</f>
        <v>1824</v>
      </c>
      <c r="F10" s="14">
        <f>IF(B10=0,0,IF(B10&gt;96,B10/96+3,3))</f>
        <v>3</v>
      </c>
      <c r="G10" s="14">
        <f t="shared" si="0"/>
        <v>28</v>
      </c>
      <c r="H10" s="14">
        <f t="shared" si="1"/>
        <v>96</v>
      </c>
      <c r="I10" s="14">
        <f t="shared" si="2"/>
        <v>100</v>
      </c>
      <c r="J10" s="14">
        <f t="shared" si="3"/>
        <v>650</v>
      </c>
      <c r="K10" s="35"/>
      <c r="L10" s="35"/>
      <c r="M10" s="34">
        <v>32</v>
      </c>
      <c r="N10" s="34">
        <v>128</v>
      </c>
      <c r="O10" s="34">
        <f>3*60</f>
        <v>180</v>
      </c>
      <c r="P10" s="34">
        <v>1024</v>
      </c>
      <c r="Q10" s="34">
        <v>12</v>
      </c>
      <c r="R10" s="34">
        <v>36</v>
      </c>
      <c r="S10" s="34">
        <v>0</v>
      </c>
      <c r="T10" s="34">
        <v>200</v>
      </c>
      <c r="U10" s="34">
        <v>12</v>
      </c>
      <c r="V10" s="34">
        <v>36</v>
      </c>
      <c r="W10" s="34">
        <v>0</v>
      </c>
      <c r="X10" s="34">
        <v>200</v>
      </c>
      <c r="Y10" s="34">
        <v>12</v>
      </c>
      <c r="Z10" s="34">
        <v>36</v>
      </c>
      <c r="AA10" s="34">
        <v>0</v>
      </c>
      <c r="AB10" s="34">
        <v>200</v>
      </c>
      <c r="AC10" s="34">
        <v>12</v>
      </c>
      <c r="AD10" s="34">
        <v>36</v>
      </c>
      <c r="AE10" s="34">
        <v>0</v>
      </c>
      <c r="AF10" s="34">
        <v>200</v>
      </c>
      <c r="AG10" s="34">
        <v>12</v>
      </c>
      <c r="AH10" s="34">
        <v>36</v>
      </c>
      <c r="AI10" s="34">
        <v>0</v>
      </c>
      <c r="AJ10" s="34">
        <v>200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</row>
    <row r="11" spans="1:72" ht="24" customHeight="1" x14ac:dyDescent="0.2">
      <c r="A11" s="36" t="s">
        <v>174</v>
      </c>
      <c r="B11" s="14">
        <f>M11*M6+Q11*Q6+U11*U6+Y11*Y6+AC11*AC6+AG11*AG6+AK11*AK6+AO11*AO6+AS11*AS6+AW11*AW6+BA11*BA6+BE11*BE6</f>
        <v>96</v>
      </c>
      <c r="C11" s="14">
        <f>N11*N6+R11*R6+V11*V6+Z11*Z6+AD11*AD6+AH11*AH6+AL11*AL6+AP11*AP6+AT11*AT6+AX11*AX6+BB11*BB6+BF11*BF6</f>
        <v>2048</v>
      </c>
      <c r="D11" s="14">
        <f>O11*O6+S11*S6+W11*W6+AA11*AA6+AE11*AE6+AI11*AI6+AM11*AM6+AQ11*AQ6+AU11*AU6+AY11*AY6+BC11*BC6+BG11*BG6</f>
        <v>2000</v>
      </c>
      <c r="E11" s="14">
        <f>P11*P6+T11*T6+X11*X6+AB11*AB6+AF11*AF6+AJ11*AJ6+AN11*AN6+AR11*AR6+AV11*AV6+AZ11*AZ6+BD11*BD6+BH11*BH6</f>
        <v>0</v>
      </c>
      <c r="F11" s="14">
        <f>IF(B11=0,0,1)</f>
        <v>1</v>
      </c>
      <c r="G11" s="14">
        <f t="shared" si="0"/>
        <v>96</v>
      </c>
      <c r="H11" s="14">
        <f t="shared" si="1"/>
        <v>2048</v>
      </c>
      <c r="I11" s="14">
        <f t="shared" si="2"/>
        <v>2000</v>
      </c>
      <c r="J11" s="14">
        <f t="shared" si="3"/>
        <v>0</v>
      </c>
      <c r="K11" s="35"/>
      <c r="L11" s="35"/>
      <c r="M11" s="34">
        <v>0</v>
      </c>
      <c r="N11" s="34">
        <v>0</v>
      </c>
      <c r="O11" s="34">
        <v>0</v>
      </c>
      <c r="P11" s="34">
        <v>0</v>
      </c>
      <c r="Q11" s="34">
        <v>96</v>
      </c>
      <c r="R11" s="34">
        <v>2048</v>
      </c>
      <c r="S11" s="34">
        <v>2000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2" ht="24" customHeight="1" x14ac:dyDescent="0.2">
      <c r="A12" s="36" t="s">
        <v>175</v>
      </c>
      <c r="B12" s="14">
        <f>M12*M6+Q12*Q6+U12*U6+Y12*Y6+AC12*AC6+AG12*AG6+AK12*AK6+AO12*AO6+AS12*AS6+AW12*AW6+BA12*BA6+BE12*BE6</f>
        <v>6</v>
      </c>
      <c r="C12" s="14">
        <f>N12*N6+R12*R6+V12*V6+Z12*Z6+AD12*AD6+AH12*AH6+AL12*AL6+AP12*AP6+AT12*AT6+AX12*AX6+BB12*BB6+BF12*BF6</f>
        <v>64</v>
      </c>
      <c r="D12" s="14">
        <f>O12*O6+S12*S6+W12*W6+AA12*AA6+AE12*AE6+AI12*AI6+AM12*AM6+AQ12*AQ6+AU12*AU6+AY12*AY6+BC12*BC6+BG12*BG6</f>
        <v>2000</v>
      </c>
      <c r="E12" s="14">
        <f>P12*P6+T12*T6+X12*X6+AB12*AB6+AF12*AF6+AJ12*AJ6+AN12*AN6+AR12*AR6+AV12*AV6+AZ12*AZ6+BD12*BD6+BH12*BH6</f>
        <v>0</v>
      </c>
      <c r="F12" s="14">
        <f>IF(B12=0,0,1)</f>
        <v>1</v>
      </c>
      <c r="G12" s="14">
        <f t="shared" si="0"/>
        <v>8</v>
      </c>
      <c r="H12" s="14">
        <f t="shared" si="1"/>
        <v>64</v>
      </c>
      <c r="I12" s="14">
        <f t="shared" si="2"/>
        <v>2000</v>
      </c>
      <c r="J12" s="14">
        <f t="shared" si="3"/>
        <v>0</v>
      </c>
      <c r="K12" s="35"/>
      <c r="L12" s="35"/>
      <c r="M12" s="34">
        <v>0</v>
      </c>
      <c r="N12" s="34">
        <v>0</v>
      </c>
      <c r="O12" s="34">
        <v>0</v>
      </c>
      <c r="P12" s="34">
        <v>0</v>
      </c>
      <c r="Q12" s="34">
        <v>6</v>
      </c>
      <c r="R12" s="34">
        <v>64</v>
      </c>
      <c r="S12" s="34">
        <v>2000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  <c r="AN12" s="34">
        <v>0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</row>
    <row r="13" spans="1:72" ht="26" customHeight="1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</row>
    <row r="14" spans="1:72" ht="26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88" t="s">
        <v>176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90"/>
    </row>
    <row r="15" spans="1:72" ht="26" customHeight="1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ht="26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 spans="1:72" ht="26" customHeight="1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spans="1:72" ht="26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ht="26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ht="26" customHeight="1" x14ac:dyDescent="0.2">
      <c r="A20" s="80" t="s">
        <v>177</v>
      </c>
      <c r="B20" s="80"/>
      <c r="C20" s="80"/>
      <c r="D20" s="80"/>
      <c r="E20" s="80"/>
      <c r="F20" s="80"/>
      <c r="G20" s="80"/>
      <c r="H20" s="80"/>
      <c r="I20" s="80"/>
      <c r="J20" s="80"/>
      <c r="K20" s="35"/>
      <c r="M20" s="80" t="s">
        <v>153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</row>
    <row r="21" spans="1:72" ht="29" customHeight="1" x14ac:dyDescent="0.2">
      <c r="A21" s="93"/>
      <c r="B21" s="84" t="s">
        <v>154</v>
      </c>
      <c r="C21" s="84"/>
      <c r="D21" s="84"/>
      <c r="E21" s="84"/>
      <c r="F21" s="84"/>
      <c r="G21" s="84"/>
      <c r="H21" s="84"/>
      <c r="I21" s="84"/>
      <c r="J21" s="84"/>
      <c r="K21" s="37"/>
      <c r="L21" s="37"/>
      <c r="M21" s="84" t="s">
        <v>155</v>
      </c>
      <c r="N21" s="84"/>
      <c r="O21" s="84"/>
      <c r="P21" s="84"/>
      <c r="Q21" s="84" t="s">
        <v>156</v>
      </c>
      <c r="R21" s="84"/>
      <c r="S21" s="84"/>
      <c r="T21" s="84"/>
      <c r="U21" s="84" t="s">
        <v>157</v>
      </c>
      <c r="V21" s="84"/>
      <c r="W21" s="84"/>
      <c r="X21" s="84"/>
      <c r="Y21" s="84" t="s">
        <v>158</v>
      </c>
      <c r="Z21" s="84"/>
      <c r="AA21" s="84"/>
      <c r="AB21" s="84"/>
      <c r="AC21" s="84" t="s">
        <v>38</v>
      </c>
      <c r="AD21" s="84"/>
      <c r="AE21" s="84"/>
      <c r="AF21" s="84"/>
      <c r="AG21" s="84" t="s">
        <v>159</v>
      </c>
      <c r="AH21" s="84"/>
      <c r="AI21" s="84"/>
      <c r="AJ21" s="84"/>
      <c r="AK21" s="84" t="s">
        <v>41</v>
      </c>
      <c r="AL21" s="84"/>
      <c r="AM21" s="84"/>
      <c r="AN21" s="84"/>
      <c r="AO21" s="84" t="s">
        <v>42</v>
      </c>
      <c r="AP21" s="84"/>
      <c r="AQ21" s="84"/>
      <c r="AR21" s="84"/>
      <c r="AS21" s="84" t="s">
        <v>43</v>
      </c>
      <c r="AT21" s="84"/>
      <c r="AU21" s="84"/>
      <c r="AV21" s="84"/>
      <c r="AW21" s="84" t="s">
        <v>44</v>
      </c>
      <c r="AX21" s="84"/>
      <c r="AY21" s="84"/>
      <c r="AZ21" s="84"/>
      <c r="BA21" s="84" t="s">
        <v>45</v>
      </c>
      <c r="BB21" s="84"/>
      <c r="BC21" s="84"/>
      <c r="BD21" s="84"/>
      <c r="BE21" s="84" t="s">
        <v>160</v>
      </c>
      <c r="BF21" s="84"/>
      <c r="BG21" s="84"/>
      <c r="BH21" s="84"/>
      <c r="BI21" s="84" t="s">
        <v>161</v>
      </c>
      <c r="BJ21" s="84"/>
      <c r="BK21" s="84"/>
      <c r="BL21" s="84"/>
      <c r="BM21" s="84" t="s">
        <v>162</v>
      </c>
      <c r="BN21" s="84"/>
      <c r="BO21" s="84"/>
      <c r="BP21" s="84"/>
      <c r="BQ21" s="84" t="s">
        <v>163</v>
      </c>
      <c r="BR21" s="84"/>
      <c r="BS21" s="84"/>
      <c r="BT21" s="84"/>
    </row>
    <row r="22" spans="1:72" ht="29" customHeight="1" x14ac:dyDescent="0.2">
      <c r="A22" s="94"/>
      <c r="B22" s="6" t="s">
        <v>97</v>
      </c>
      <c r="C22" s="6" t="s">
        <v>98</v>
      </c>
      <c r="D22" s="6" t="s">
        <v>99</v>
      </c>
      <c r="E22" s="6" t="s">
        <v>100</v>
      </c>
      <c r="F22" s="6" t="s">
        <v>164</v>
      </c>
      <c r="G22" s="6" t="s">
        <v>165</v>
      </c>
      <c r="H22" s="6" t="s">
        <v>166</v>
      </c>
      <c r="I22" s="6" t="s">
        <v>167</v>
      </c>
      <c r="J22" s="6" t="s">
        <v>168</v>
      </c>
      <c r="K22" s="35"/>
      <c r="L22" s="35"/>
      <c r="M22" s="6" t="s">
        <v>97</v>
      </c>
      <c r="N22" s="6" t="s">
        <v>98</v>
      </c>
      <c r="O22" s="6" t="s">
        <v>99</v>
      </c>
      <c r="P22" s="6" t="s">
        <v>100</v>
      </c>
      <c r="Q22" s="6" t="s">
        <v>97</v>
      </c>
      <c r="R22" s="6" t="s">
        <v>98</v>
      </c>
      <c r="S22" s="6" t="s">
        <v>99</v>
      </c>
      <c r="T22" s="6" t="s">
        <v>100</v>
      </c>
      <c r="U22" s="6" t="s">
        <v>97</v>
      </c>
      <c r="V22" s="6" t="s">
        <v>98</v>
      </c>
      <c r="W22" s="6" t="s">
        <v>99</v>
      </c>
      <c r="X22" s="6" t="s">
        <v>100</v>
      </c>
      <c r="Y22" s="6" t="s">
        <v>97</v>
      </c>
      <c r="Z22" s="6" t="s">
        <v>98</v>
      </c>
      <c r="AA22" s="6" t="s">
        <v>99</v>
      </c>
      <c r="AB22" s="6" t="s">
        <v>100</v>
      </c>
      <c r="AC22" s="6" t="s">
        <v>97</v>
      </c>
      <c r="AD22" s="6" t="s">
        <v>98</v>
      </c>
      <c r="AE22" s="6" t="s">
        <v>99</v>
      </c>
      <c r="AF22" s="6" t="s">
        <v>100</v>
      </c>
      <c r="AG22" s="6" t="s">
        <v>97</v>
      </c>
      <c r="AH22" s="6" t="s">
        <v>98</v>
      </c>
      <c r="AI22" s="6" t="s">
        <v>99</v>
      </c>
      <c r="AJ22" s="6" t="s">
        <v>100</v>
      </c>
      <c r="AK22" s="6" t="s">
        <v>97</v>
      </c>
      <c r="AL22" s="6" t="s">
        <v>98</v>
      </c>
      <c r="AM22" s="6" t="s">
        <v>99</v>
      </c>
      <c r="AN22" s="6" t="s">
        <v>100</v>
      </c>
      <c r="AO22" s="6" t="s">
        <v>97</v>
      </c>
      <c r="AP22" s="6" t="s">
        <v>98</v>
      </c>
      <c r="AQ22" s="6" t="s">
        <v>99</v>
      </c>
      <c r="AR22" s="6" t="s">
        <v>100</v>
      </c>
      <c r="AS22" s="6" t="s">
        <v>97</v>
      </c>
      <c r="AT22" s="6" t="s">
        <v>98</v>
      </c>
      <c r="AU22" s="6" t="s">
        <v>99</v>
      </c>
      <c r="AV22" s="6" t="s">
        <v>100</v>
      </c>
      <c r="AW22" s="6" t="s">
        <v>97</v>
      </c>
      <c r="AX22" s="6" t="s">
        <v>98</v>
      </c>
      <c r="AY22" s="6" t="s">
        <v>99</v>
      </c>
      <c r="AZ22" s="6" t="s">
        <v>100</v>
      </c>
      <c r="BA22" s="6" t="s">
        <v>97</v>
      </c>
      <c r="BB22" s="6" t="s">
        <v>98</v>
      </c>
      <c r="BC22" s="6" t="s">
        <v>99</v>
      </c>
      <c r="BD22" s="6" t="s">
        <v>100</v>
      </c>
      <c r="BE22" s="6" t="s">
        <v>97</v>
      </c>
      <c r="BF22" s="6" t="s">
        <v>98</v>
      </c>
      <c r="BG22" s="6" t="s">
        <v>99</v>
      </c>
      <c r="BH22" s="6" t="s">
        <v>100</v>
      </c>
      <c r="BI22" s="6" t="s">
        <v>97</v>
      </c>
      <c r="BJ22" s="6" t="s">
        <v>98</v>
      </c>
      <c r="BK22" s="6" t="s">
        <v>99</v>
      </c>
      <c r="BL22" s="6" t="s">
        <v>100</v>
      </c>
      <c r="BM22" s="6" t="s">
        <v>97</v>
      </c>
      <c r="BN22" s="6" t="s">
        <v>98</v>
      </c>
      <c r="BO22" s="6" t="s">
        <v>99</v>
      </c>
      <c r="BP22" s="6" t="s">
        <v>100</v>
      </c>
      <c r="BQ22" s="6" t="s">
        <v>97</v>
      </c>
      <c r="BR22" s="6" t="s">
        <v>98</v>
      </c>
      <c r="BS22" s="6" t="s">
        <v>99</v>
      </c>
      <c r="BT22" s="6" t="s">
        <v>100</v>
      </c>
    </row>
    <row r="23" spans="1:72" ht="24" customHeight="1" x14ac:dyDescent="0.2">
      <c r="A23" s="36" t="s">
        <v>169</v>
      </c>
      <c r="B23" s="85"/>
      <c r="C23" s="86"/>
      <c r="D23" s="86"/>
      <c r="E23" s="86"/>
      <c r="F23" s="86"/>
      <c r="G23" s="86"/>
      <c r="H23" s="86"/>
      <c r="I23" s="86"/>
      <c r="J23" s="87"/>
      <c r="K23" s="40"/>
      <c r="L23" s="40"/>
      <c r="M23" s="41">
        <f>IF(EXACT(项目信息输入!E5,"部署"),1,0)</f>
        <v>1</v>
      </c>
      <c r="N23" s="41">
        <f>IF(EXACT(项目信息输入!E5,"部署"),1,0)</f>
        <v>1</v>
      </c>
      <c r="O23" s="41">
        <f>IF(EXACT(项目信息输入!E5,"部署"),1,0)</f>
        <v>1</v>
      </c>
      <c r="P23" s="41">
        <f>IF(EXACT(项目信息输入!E5,"部署"),1,0)</f>
        <v>1</v>
      </c>
      <c r="Q23" s="41">
        <f>IF(OR(EXACT(项目信息输入!E6,"部署"),EXACT(项目信息输入!E10,"部署")),1,0)</f>
        <v>1</v>
      </c>
      <c r="R23" s="41">
        <f>IF(OR(EXACT(项目信息输入!E6,"部署"),EXACT(项目信息输入!E10,"部署")),1,0)</f>
        <v>1</v>
      </c>
      <c r="S23" s="41">
        <f>IF(OR(EXACT(项目信息输入!E6,"部署"),EXACT(项目信息输入!E10,"部署")),1,0)</f>
        <v>1</v>
      </c>
      <c r="T23" s="41">
        <f>IF(OR(EXACT(项目信息输入!E6,"部署"),EXACT(项目信息输入!E10,"部署")),1,0)</f>
        <v>1</v>
      </c>
      <c r="U23" s="41">
        <f>IF(EXACT(项目信息输入!E7,"部署"),1,0)</f>
        <v>0</v>
      </c>
      <c r="V23" s="41">
        <f>IF(EXACT(项目信息输入!E7,"部署"),1,0)</f>
        <v>0</v>
      </c>
      <c r="W23" s="41">
        <f>IF(EXACT(项目信息输入!E7,"部署"),1,0)</f>
        <v>0</v>
      </c>
      <c r="X23" s="41">
        <f>IF(EXACT(项目信息输入!E7,"部署"),1,0)</f>
        <v>0</v>
      </c>
      <c r="Y23" s="41">
        <f>IF(EXACT(项目信息输入!E8,"部署"),1,0)</f>
        <v>1</v>
      </c>
      <c r="Z23" s="41">
        <f>IF(EXACT(项目信息输入!E8,"部署"),1,0)</f>
        <v>1</v>
      </c>
      <c r="AA23" s="41">
        <f>IF(EXACT(项目信息输入!E8,"部署"),1,0)</f>
        <v>1</v>
      </c>
      <c r="AB23" s="41">
        <f>IF(EXACT(项目信息输入!E8,"部署"),1,0)</f>
        <v>1</v>
      </c>
      <c r="AC23" s="41">
        <f>IF(EXACT(项目信息输入!E9,"部署"),1,0)</f>
        <v>1</v>
      </c>
      <c r="AD23" s="41">
        <f>IF(EXACT(项目信息输入!E9,"部署"),1,0)</f>
        <v>1</v>
      </c>
      <c r="AE23" s="41">
        <f>IF(EXACT(项目信息输入!E9,"部署"),1,0)</f>
        <v>1</v>
      </c>
      <c r="AF23" s="41">
        <f>IF(EXACT(项目信息输入!E9,"部署"),1,0)</f>
        <v>1</v>
      </c>
      <c r="AG23" s="14">
        <f>IF(EXACT(项目信息输入!E10,"部署"),1,0)</f>
        <v>1</v>
      </c>
      <c r="AH23" s="14">
        <f>IF(EXACT(项目信息输入!E10,"部署"),1,0)</f>
        <v>1</v>
      </c>
      <c r="AI23" s="14">
        <f>IF(EXACT(项目信息输入!E10,"部署"),1,0)</f>
        <v>1</v>
      </c>
      <c r="AJ23" s="14">
        <f>IF(EXACT(项目信息输入!E10,"部署"),1,0)</f>
        <v>1</v>
      </c>
      <c r="AK23" s="14">
        <f>IF(EXACT(项目信息输入!E11,"部署"),1,0)</f>
        <v>0</v>
      </c>
      <c r="AL23" s="14">
        <f>IF(EXACT(项目信息输入!E11,"部署"),1,0)</f>
        <v>0</v>
      </c>
      <c r="AM23" s="14">
        <f>IF(EXACT(项目信息输入!E11,"部署"),1,0)</f>
        <v>0</v>
      </c>
      <c r="AN23" s="14">
        <f>IF(EXACT(项目信息输入!E11,"部署"),1,0)</f>
        <v>0</v>
      </c>
      <c r="AO23" s="14">
        <f>IF(EXACT(项目信息输入!E12,"部署"),1,0)</f>
        <v>0</v>
      </c>
      <c r="AP23" s="14">
        <f>IF(EXACT(项目信息输入!E12,"部署"),1,0)</f>
        <v>0</v>
      </c>
      <c r="AQ23" s="14">
        <f>IF(EXACT(项目信息输入!E12,"部署"),1,0)</f>
        <v>0</v>
      </c>
      <c r="AR23" s="14">
        <f>IF(EXACT(项目信息输入!E12,"部署"),1,0)</f>
        <v>0</v>
      </c>
      <c r="AS23" s="14">
        <f>IF(EXACT(项目信息输入!E13,"部署"),1,0)</f>
        <v>0</v>
      </c>
      <c r="AT23" s="14">
        <f>IF(EXACT(项目信息输入!E13,"部署"),1,0)</f>
        <v>0</v>
      </c>
      <c r="AU23" s="14">
        <f>IF(EXACT(项目信息输入!E13,"部署"),1,0)</f>
        <v>0</v>
      </c>
      <c r="AV23" s="14">
        <f>IF(EXACT(项目信息输入!E13,"部署"),1,0)</f>
        <v>0</v>
      </c>
      <c r="AW23" s="14">
        <f>IF(EXACT(项目信息输入!E14,"部署"),1,0)</f>
        <v>0</v>
      </c>
      <c r="AX23" s="14">
        <f>IF(EXACT(项目信息输入!E14,"部署"),1,0)</f>
        <v>0</v>
      </c>
      <c r="AY23" s="14">
        <f>IF(EXACT(项目信息输入!E14,"部署"),1,0)</f>
        <v>0</v>
      </c>
      <c r="AZ23" s="14">
        <f>IF(EXACT(项目信息输入!E14,"部署"),1,0)</f>
        <v>0</v>
      </c>
      <c r="BA23" s="14">
        <f>IF(EXACT(项目信息输入!E15,"部署"),1,0)</f>
        <v>0</v>
      </c>
      <c r="BB23" s="14">
        <f>IF(EXACT(项目信息输入!E15,"部署"),1,0)</f>
        <v>0</v>
      </c>
      <c r="BC23" s="14">
        <f>IF(EXACT(项目信息输入!E15,"部署"),1,0)</f>
        <v>0</v>
      </c>
      <c r="BD23" s="14">
        <f>IF(EXACT(项目信息输入!E15,"部署"),1,0)</f>
        <v>0</v>
      </c>
      <c r="BE23" s="14">
        <f>IF(EXACT(项目信息输入!E19,"部署"),1,0)</f>
        <v>0</v>
      </c>
      <c r="BF23" s="14">
        <f>IF(EXACT(项目信息输入!E19,"部署"),1,0)</f>
        <v>0</v>
      </c>
      <c r="BG23" s="14">
        <f>IF(EXACT(项目信息输入!E19,"部署"),1,0)</f>
        <v>0</v>
      </c>
      <c r="BH23" s="14">
        <f>IF(EXACT(项目信息输入!E19,"部署"),1,0)</f>
        <v>0</v>
      </c>
      <c r="BI23" s="14">
        <f>IF(EXACT(项目信息输入!E18,"部署"),1,0)</f>
        <v>0</v>
      </c>
      <c r="BJ23" s="14">
        <f>IF(EXACT(项目信息输入!E18,"部署"),1,0)</f>
        <v>0</v>
      </c>
      <c r="BK23" s="14">
        <f>IF(EXACT(项目信息输入!E18,"部署"),1,0)</f>
        <v>0</v>
      </c>
      <c r="BL23" s="14">
        <f>IF(EXACT(项目信息输入!E18,"部署"),1,0)</f>
        <v>0</v>
      </c>
      <c r="BM23" s="14">
        <f>IF(EXACT(项目信息输入!E17,"部署"),1,0)</f>
        <v>0</v>
      </c>
      <c r="BN23" s="14">
        <f>IF(EXACT(项目信息输入!E17,"部署"),1,0)</f>
        <v>0</v>
      </c>
      <c r="BO23" s="14">
        <f>IF(EXACT(项目信息输入!E17,"部署"),1,0)</f>
        <v>0</v>
      </c>
      <c r="BP23" s="14">
        <f>IF(EXACT(项目信息输入!E17,"部署"),1,0)</f>
        <v>0</v>
      </c>
      <c r="BQ23" s="14">
        <f>IF(EXACT(项目信息输入!E16,"部署"),1,0)</f>
        <v>0</v>
      </c>
      <c r="BR23" s="14">
        <f>IF(EXACT(项目信息输入!E16,"部署"),1,0)</f>
        <v>0</v>
      </c>
      <c r="BS23" s="14">
        <f>IF(EXACT(项目信息输入!E16,"部署"),1,0)</f>
        <v>0</v>
      </c>
      <c r="BT23" s="14">
        <f>IF(EXACT(项目信息输入!E16,"部署"),1,0)</f>
        <v>0</v>
      </c>
    </row>
    <row r="24" spans="1:72" ht="24" customHeight="1" x14ac:dyDescent="0.2">
      <c r="A24" s="36" t="s">
        <v>170</v>
      </c>
      <c r="B24" s="14">
        <f>M24*M23+Q24*Q23+U24*U23+Y24*Y23+AC24*AC23+AG24*AG23+AK24*AK23+AO24*AO23+AS24*AS23+AW24*AW23+BA24*BA23+BE24*BE23</f>
        <v>4</v>
      </c>
      <c r="C24" s="14">
        <f>N24*N23+R24*R23+V24*V23+Z24*Z23+AD24*AD23+AH24*AH23+AL24*AL23+AP24*AP23+AT24*AT23+AX24*AX23+BB24*BB23+BF24*BF23</f>
        <v>8</v>
      </c>
      <c r="D24" s="14">
        <f>O24*O23+S24*S23+W24*W23+AA24*AA23+AE24*AE23+AI24*AI23+AM24*AM23+AQ24*AQ23+AU24*AU23+AY24*AY23+BC24*BC23+BG24*BG23</f>
        <v>60</v>
      </c>
      <c r="E24" s="14">
        <f>P24*P23+T24*T23+X24*X23+AB24*AB23+AF24*AF23+AJ24*AJ23+AN24*AN23+AR24*AR23+AV24*AV23+AZ24*AZ23+BD24*BD23+BH24*BH23</f>
        <v>100</v>
      </c>
      <c r="F24" s="14">
        <f>IF(B24=0,0,IF(B24&gt;96,B24/96+3,3))</f>
        <v>3</v>
      </c>
      <c r="G24" s="14">
        <f t="shared" ref="G24:G29" si="4">IFERROR(CEILING(B24/F24/4,1)*4,"N/A")</f>
        <v>4</v>
      </c>
      <c r="H24" s="14">
        <f>IFERROR(CEILING(C24/F24/8,1)*8,"N/A")</f>
        <v>8</v>
      </c>
      <c r="I24" s="14">
        <f t="shared" ref="I24:I29" si="5">IFERROR(CEILING(D24/F24/50,1)*50,"N/A")</f>
        <v>50</v>
      </c>
      <c r="J24" s="14">
        <f t="shared" ref="J24:J29" si="6">IFERROR(CEILING(E24/F24/50,1)*50,"N/A")</f>
        <v>50</v>
      </c>
      <c r="K24" s="35"/>
      <c r="L24" s="35"/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4</v>
      </c>
      <c r="V24" s="34">
        <v>8</v>
      </c>
      <c r="W24" s="34">
        <v>60</v>
      </c>
      <c r="X24" s="34">
        <v>100</v>
      </c>
      <c r="Y24" s="34">
        <v>4</v>
      </c>
      <c r="Z24" s="34">
        <v>8</v>
      </c>
      <c r="AA24" s="34">
        <v>60</v>
      </c>
      <c r="AB24" s="34">
        <v>100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24" customHeight="1" x14ac:dyDescent="0.2">
      <c r="A25" s="36" t="s">
        <v>171</v>
      </c>
      <c r="B25" s="14">
        <f>M25*M23+Q25*Q23+U25*U23+Y25*Y23+AC25*AC23+AG25*AG23+AK25*AK23+AO25*AO23+AS25*AS23+AW25*AW23+BA25*BA23+BE25*BE23</f>
        <v>48</v>
      </c>
      <c r="C25" s="14">
        <f>N25*N23+R25*R23+V25*V23+Z25*Z23+AD25*AD23+AH25*AH23+AL25*AL23+AP25*AP23+AT25*AT23+AX25*AX23+BB25*BB23+BF25*BF23</f>
        <v>192</v>
      </c>
      <c r="D25" s="14">
        <f>O25*O23+S25*S23+W25*W23+AA25*AA23+AE25*AE23+AI25*AI23+AM25*AM23+AQ25*AQ23+AU25*AU23+AY25*AY23+BC25*BC23+BG25*BG23</f>
        <v>180</v>
      </c>
      <c r="E25" s="14">
        <f>P25*P23+T25*T23+X25*X23+AB25*AB23+AF25*AF23+AJ25*AJ23+AN25*AN23+AR25*AR23+AV25*AV23+AZ25*AZ23+BD25*BD23+BH25*BH23</f>
        <v>3000</v>
      </c>
      <c r="F25" s="14">
        <f>IF(B25=0,0,IF(B25&gt;96,B25/96+3,3))</f>
        <v>3</v>
      </c>
      <c r="G25" s="14">
        <f t="shared" si="4"/>
        <v>16</v>
      </c>
      <c r="H25" s="14">
        <f>IFERROR(CEILING(C25/F25/16,1)*16,"N/A")</f>
        <v>64</v>
      </c>
      <c r="I25" s="14">
        <f t="shared" si="5"/>
        <v>100</v>
      </c>
      <c r="J25" s="14">
        <f t="shared" si="6"/>
        <v>1000</v>
      </c>
      <c r="K25" s="35"/>
      <c r="L25" s="35"/>
      <c r="M25" s="34">
        <f>16*3</f>
        <v>48</v>
      </c>
      <c r="N25" s="34">
        <f>64*3</f>
        <v>192</v>
      </c>
      <c r="O25" s="34">
        <f>60*3</f>
        <v>180</v>
      </c>
      <c r="P25" s="34">
        <f>1000*3</f>
        <v>3000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24" customHeight="1" x14ac:dyDescent="0.2">
      <c r="A26" s="36" t="s">
        <v>172</v>
      </c>
      <c r="B26" s="14">
        <f>M26*M23+Q26*Q23+U26*U23+Y26*Y23+AC26*AC23+AG26*AG23+AK26*AK23+AO26*AO23+AS26*AS23+AW26*AW23+BA26*BA23+BE26*BE23</f>
        <v>0</v>
      </c>
      <c r="C26" s="14">
        <f>N26*N23+R26*R23+V26*V23+Z26*Z23+AD26*AD23+AH26*AH23+AL26*AL23+AP26*AP23+AT26*AT23+AX26*AX23+BB26*BB23+BF26*BF23</f>
        <v>0</v>
      </c>
      <c r="D26" s="14">
        <f>O26*O23+S26*S23+W26*W23+AA26*AA23+AE26*AE23+AI26*AI23+AM26*AM23+AQ26*AQ23+AU26*AU23+AY26*AY23+BC26*BC23+BG26*BG23</f>
        <v>0</v>
      </c>
      <c r="E26" s="14">
        <f>P26*P23+T26*T23+X26*X23+AB26*AB23+AF26*AF23+AJ26*AJ23+AN26*AN23+AR26*AR23+AV26*AV23+AZ26*AZ23+BD26*BD23+BH26*BH23</f>
        <v>0</v>
      </c>
      <c r="F26" s="14">
        <f>IF(B26=0,0,1)</f>
        <v>0</v>
      </c>
      <c r="G26" s="14" t="str">
        <f t="shared" si="4"/>
        <v>N/A</v>
      </c>
      <c r="H26" s="14" t="str">
        <f>IFERROR(CEILING(C26/F26/16,1)*16,"N/A")</f>
        <v>N/A</v>
      </c>
      <c r="I26" s="14" t="str">
        <f t="shared" si="5"/>
        <v>N/A</v>
      </c>
      <c r="J26" s="14" t="str">
        <f t="shared" si="6"/>
        <v>N/A</v>
      </c>
      <c r="K26" s="35"/>
      <c r="L26" s="35"/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96</v>
      </c>
      <c r="V26" s="34">
        <v>2048</v>
      </c>
      <c r="W26" s="34">
        <v>60</v>
      </c>
      <c r="X26" s="34">
        <v>2000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24" customHeight="1" x14ac:dyDescent="0.2">
      <c r="A27" s="36" t="s">
        <v>173</v>
      </c>
      <c r="B27" s="14">
        <f>M27*M23+Q27*Q23+U27*U23+Y27*Y23+AC27*AC23+AG27*AG23+AK27*AK23+AO27*AO23+AS27*AS23+AW27*AW23+BA27*BA23+BE27*BE23</f>
        <v>56</v>
      </c>
      <c r="C27" s="14">
        <f>N27*N23+R27*R23+V27*V23+Z27*Z23+AD27*AD23+AH27*AH23+AL27*AL23+AP27*AP23+AT27*AT23+AX27*AX23+BB27*BB23+BF27*BF23</f>
        <v>168</v>
      </c>
      <c r="D27" s="14">
        <f>O27*O23+S27*S23+W27*W23+AA27*AA23+AE27*AE23+AI27*AI23+AM27*AM23+AQ27*AQ23+AU27*AU23+AY27*AY23+BC27*BC23+BG27*BG23</f>
        <v>180</v>
      </c>
      <c r="E27" s="14">
        <f>P27*P23+T27*T23+X27*X23+AB27*AB23+AF27*AF23+AJ27*AJ23+AN27*AN23+AR27*AR23+AV27*AV23+AZ27*AZ23+BD27*BD23+BH27*BH23</f>
        <v>1824</v>
      </c>
      <c r="F27" s="14">
        <f>IF(B27=0,0,IF(B27&gt;96,B27/96+3,3))</f>
        <v>3</v>
      </c>
      <c r="G27" s="14">
        <f t="shared" si="4"/>
        <v>20</v>
      </c>
      <c r="H27" s="14">
        <f>IFERROR(CEILING(C27/F27/16,1)*16,"N/A")</f>
        <v>64</v>
      </c>
      <c r="I27" s="14">
        <f t="shared" si="5"/>
        <v>100</v>
      </c>
      <c r="J27" s="14">
        <f t="shared" si="6"/>
        <v>650</v>
      </c>
      <c r="K27" s="35"/>
      <c r="L27" s="35"/>
      <c r="M27" s="34">
        <v>24</v>
      </c>
      <c r="N27" s="34">
        <v>72</v>
      </c>
      <c r="O27" s="34">
        <f>3*60</f>
        <v>180</v>
      </c>
      <c r="P27" s="34">
        <v>1024</v>
      </c>
      <c r="Q27" s="34">
        <v>8</v>
      </c>
      <c r="R27" s="34">
        <v>24</v>
      </c>
      <c r="S27" s="34"/>
      <c r="T27" s="34">
        <v>200</v>
      </c>
      <c r="U27" s="34">
        <v>8</v>
      </c>
      <c r="V27" s="34">
        <v>24</v>
      </c>
      <c r="W27" s="34"/>
      <c r="X27" s="34">
        <v>200</v>
      </c>
      <c r="Y27" s="34">
        <v>8</v>
      </c>
      <c r="Z27" s="34">
        <v>24</v>
      </c>
      <c r="AA27" s="34"/>
      <c r="AB27" s="34">
        <v>200</v>
      </c>
      <c r="AC27" s="34">
        <v>8</v>
      </c>
      <c r="AD27" s="34">
        <v>24</v>
      </c>
      <c r="AE27" s="34"/>
      <c r="AF27" s="34">
        <v>200</v>
      </c>
      <c r="AG27" s="34">
        <v>8</v>
      </c>
      <c r="AH27" s="34">
        <v>24</v>
      </c>
      <c r="AI27" s="34"/>
      <c r="AJ27" s="34">
        <v>200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24" customHeight="1" x14ac:dyDescent="0.2">
      <c r="A28" s="36" t="s">
        <v>174</v>
      </c>
      <c r="B28" s="14">
        <f>M28*M23+Q28*Q23+U28*U23+Y28*Y23+AC28*AC23+AG28*AG23+AK28*AK23+AO28*AO23+AS28*AS23+AW28*AW23+BA28*BA23+BE28*BE23</f>
        <v>48</v>
      </c>
      <c r="C28" s="14">
        <f>N28*N23+R28*R23+V28*V23+Z28*Z23+AD28*AD23+AH28*AH23+AL28*AL23+AP28*AP23+AT28*AT23+AX28*AX23+BB28*BB23+BF28*BF23</f>
        <v>1024</v>
      </c>
      <c r="D28" s="14">
        <f>O28*O23+S28*S23+W28*W23+AA28*AA23+AE28*AE23+AI28*AI23+AM28*AM23+AQ28*AQ23+AU28*AU23+AY28*AY23+BC28*BC23+BG28*BG23</f>
        <v>1000</v>
      </c>
      <c r="E28" s="14">
        <f>P28*P23+T28*T23+X28*X23+AB28*AB23+AF28*AF23+AJ28*AJ23+AN28*AN23+AR28*AR23+AV28*AV23+AZ28*AZ23+BD28*BD23+BH28*BH23</f>
        <v>0</v>
      </c>
      <c r="F28" s="14">
        <f>IF(B28=0,0,1)</f>
        <v>1</v>
      </c>
      <c r="G28" s="14">
        <f t="shared" si="4"/>
        <v>48</v>
      </c>
      <c r="H28" s="14">
        <f>IFERROR(CEILING(C28/F28/16,1)*16,"N/A")</f>
        <v>1024</v>
      </c>
      <c r="I28" s="14">
        <f t="shared" si="5"/>
        <v>1000</v>
      </c>
      <c r="J28" s="14">
        <f t="shared" si="6"/>
        <v>0</v>
      </c>
      <c r="K28" s="35"/>
      <c r="L28" s="35"/>
      <c r="M28" s="34">
        <v>0</v>
      </c>
      <c r="N28" s="34">
        <v>0</v>
      </c>
      <c r="O28" s="34">
        <v>0</v>
      </c>
      <c r="P28" s="34">
        <v>0</v>
      </c>
      <c r="Q28" s="34">
        <v>48</v>
      </c>
      <c r="R28" s="34">
        <v>1024</v>
      </c>
      <c r="S28" s="34">
        <v>1000</v>
      </c>
      <c r="T28" s="34"/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24" customHeight="1" x14ac:dyDescent="0.2">
      <c r="A29" s="36" t="s">
        <v>175</v>
      </c>
      <c r="B29" s="14">
        <f>M29*M23+Q29*Q23+U29*U23+Y29*Y23+AC29*AC23+AG29*AG23+AK29*AK23+AO29*AO23+AS29*AS23+AW29*AW23+BA29*BA23+BE29*BE23</f>
        <v>6</v>
      </c>
      <c r="C29" s="14">
        <f>N29*N23+R29*R23+V29*V23+Z29*Z23+AD29*AD23+AH29*AH23+AL29*AL23+AP29*AP23+AT29*AT23+AX29*AX23+BB29*BB23+BF29*BF23</f>
        <v>64</v>
      </c>
      <c r="D29" s="14">
        <f>O29*O23+S29*S23+W29*W23+AA29*AA23+AE29*AE23+AI29*AI23+AM29*AM23+AQ29*AQ23+AU29*AU23+AY29*AY23+BC29*BC23+BG29*BG23</f>
        <v>2000</v>
      </c>
      <c r="E29" s="14">
        <f>P29*P23+T29*T23+X29*X23+AB29*AB23+AF29*AF23+AJ29*AJ23+AN29*AN23+AR29*AR23+AV29*AV23+AZ29*AZ23+BD29*BD23+BH29*BH23</f>
        <v>0</v>
      </c>
      <c r="F29" s="14">
        <f>IF(B29=0,0,1)</f>
        <v>1</v>
      </c>
      <c r="G29" s="14">
        <f t="shared" si="4"/>
        <v>8</v>
      </c>
      <c r="H29" s="14">
        <f>IFERROR(CEILING(C29/F29/16,1)*16,"N/A")</f>
        <v>64</v>
      </c>
      <c r="I29" s="14">
        <f t="shared" si="5"/>
        <v>2000</v>
      </c>
      <c r="J29" s="14">
        <f t="shared" si="6"/>
        <v>0</v>
      </c>
      <c r="K29" s="35"/>
      <c r="L29" s="35"/>
      <c r="M29" s="34">
        <v>0</v>
      </c>
      <c r="N29" s="34">
        <v>0</v>
      </c>
      <c r="O29" s="34">
        <v>0</v>
      </c>
      <c r="P29" s="34">
        <v>0</v>
      </c>
      <c r="Q29" s="34">
        <v>6</v>
      </c>
      <c r="R29" s="34">
        <v>64</v>
      </c>
      <c r="S29" s="34">
        <v>2000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</sheetData>
  <mergeCells count="42">
    <mergeCell ref="BM21:BP21"/>
    <mergeCell ref="BQ21:BT21"/>
    <mergeCell ref="B23:J23"/>
    <mergeCell ref="A4:A5"/>
    <mergeCell ref="A21:A22"/>
    <mergeCell ref="A20:J20"/>
    <mergeCell ref="M20:BT20"/>
    <mergeCell ref="B21:J21"/>
    <mergeCell ref="M21:P21"/>
    <mergeCell ref="Q21:T21"/>
    <mergeCell ref="U21:X21"/>
    <mergeCell ref="Y21:AB21"/>
    <mergeCell ref="AC21:AF21"/>
    <mergeCell ref="AG21:AJ21"/>
    <mergeCell ref="AK21:AN21"/>
    <mergeCell ref="AO21:AR21"/>
    <mergeCell ref="AS21:AV21"/>
    <mergeCell ref="AW21:AZ21"/>
    <mergeCell ref="BA21:BD21"/>
    <mergeCell ref="BE21:BH21"/>
    <mergeCell ref="BI21:BL21"/>
    <mergeCell ref="BI4:BL4"/>
    <mergeCell ref="BM4:BP4"/>
    <mergeCell ref="BQ4:BT4"/>
    <mergeCell ref="B6:J6"/>
    <mergeCell ref="M14:BT14"/>
    <mergeCell ref="A1:J1"/>
    <mergeCell ref="A3:J3"/>
    <mergeCell ref="M3:BT3"/>
    <mergeCell ref="B4:J4"/>
    <mergeCell ref="M4:P4"/>
    <mergeCell ref="Q4:T4"/>
    <mergeCell ref="U4:X4"/>
    <mergeCell ref="Y4:AB4"/>
    <mergeCell ref="AC4:AF4"/>
    <mergeCell ref="AG4:AJ4"/>
    <mergeCell ref="AK4:AN4"/>
    <mergeCell ref="AO4:AR4"/>
    <mergeCell ref="AS4:AV4"/>
    <mergeCell ref="AW4:AZ4"/>
    <mergeCell ref="BA4:BD4"/>
    <mergeCell ref="BE4:BH4"/>
  </mergeCells>
  <conditionalFormatting sqref="BQ23:BT23">
    <cfRule type="cellIs" dxfId="15" priority="2" stopIfTrue="1" operator="equal">
      <formula>1</formula>
    </cfRule>
  </conditionalFormatting>
  <conditionalFormatting sqref="BQ23:BT23">
    <cfRule type="cellIs" dxfId="14" priority="3" stopIfTrue="1" operator="equal">
      <formula>0</formula>
    </cfRule>
  </conditionalFormatting>
  <conditionalFormatting sqref="BM23:BP23">
    <cfRule type="cellIs" dxfId="13" priority="4" stopIfTrue="1" operator="equal">
      <formula>1</formula>
    </cfRule>
  </conditionalFormatting>
  <conditionalFormatting sqref="BM23:BP23">
    <cfRule type="cellIs" dxfId="12" priority="5" stopIfTrue="1" operator="equal">
      <formula>0</formula>
    </cfRule>
  </conditionalFormatting>
  <conditionalFormatting sqref="BI23:BL23">
    <cfRule type="cellIs" dxfId="11" priority="6" stopIfTrue="1" operator="equal">
      <formula>1</formula>
    </cfRule>
  </conditionalFormatting>
  <conditionalFormatting sqref="BI23:BL23">
    <cfRule type="cellIs" dxfId="10" priority="7" stopIfTrue="1" operator="equal">
      <formula>0</formula>
    </cfRule>
  </conditionalFormatting>
  <conditionalFormatting sqref="BQ6:BT6">
    <cfRule type="cellIs" dxfId="9" priority="8" stopIfTrue="1" operator="equal">
      <formula>1</formula>
    </cfRule>
  </conditionalFormatting>
  <conditionalFormatting sqref="BQ6:BT6">
    <cfRule type="cellIs" dxfId="8" priority="9" stopIfTrue="1" operator="equal">
      <formula>0</formula>
    </cfRule>
  </conditionalFormatting>
  <conditionalFormatting sqref="BM6:BP6">
    <cfRule type="cellIs" dxfId="7" priority="10" stopIfTrue="1" operator="equal">
      <formula>1</formula>
    </cfRule>
  </conditionalFormatting>
  <conditionalFormatting sqref="BM6:BP6">
    <cfRule type="cellIs" dxfId="6" priority="11" stopIfTrue="1" operator="equal">
      <formula>0</formula>
    </cfRule>
  </conditionalFormatting>
  <conditionalFormatting sqref="BI6:BL6">
    <cfRule type="cellIs" dxfId="5" priority="12" stopIfTrue="1" operator="equal">
      <formula>1</formula>
    </cfRule>
  </conditionalFormatting>
  <conditionalFormatting sqref="BI6:BL6">
    <cfRule type="cellIs" dxfId="4" priority="13" stopIfTrue="1" operator="equal">
      <formula>0</formula>
    </cfRule>
  </conditionalFormatting>
  <conditionalFormatting sqref="AG23:BH23">
    <cfRule type="cellIs" dxfId="3" priority="14" stopIfTrue="1" operator="equal">
      <formula>1</formula>
    </cfRule>
  </conditionalFormatting>
  <conditionalFormatting sqref="AG23:BH23">
    <cfRule type="cellIs" dxfId="2" priority="15" stopIfTrue="1" operator="equal">
      <formula>0</formula>
    </cfRule>
  </conditionalFormatting>
  <conditionalFormatting sqref="AG6:BH6">
    <cfRule type="cellIs" dxfId="1" priority="16" stopIfTrue="1" operator="equal">
      <formula>1</formula>
    </cfRule>
  </conditionalFormatting>
  <conditionalFormatting sqref="AG6:BH6">
    <cfRule type="cellIs" dxfId="0" priority="17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38E-D2CE-F64F-A1A1-E885E12DAE66}">
  <dimension ref="A1:J20"/>
  <sheetViews>
    <sheetView workbookViewId="0">
      <selection activeCell="D4" sqref="D4"/>
    </sheetView>
  </sheetViews>
  <sheetFormatPr baseColWidth="10" defaultColWidth="14" defaultRowHeight="14" x14ac:dyDescent="0.2"/>
  <cols>
    <col min="1" max="1" width="24" customWidth="1"/>
    <col min="2" max="2" width="25" customWidth="1"/>
    <col min="3" max="3" width="20" customWidth="1"/>
    <col min="4" max="4" width="17" customWidth="1"/>
    <col min="5" max="5" width="13" customWidth="1"/>
    <col min="6" max="6" width="31" customWidth="1"/>
    <col min="7" max="7" width="13" customWidth="1"/>
    <col min="8" max="8" width="20" customWidth="1"/>
    <col min="9" max="9" width="49" customWidth="1"/>
    <col min="10" max="11" width="13" customWidth="1"/>
    <col min="12" max="12" width="39" customWidth="1"/>
    <col min="13" max="20" width="13" customWidth="1"/>
  </cols>
  <sheetData>
    <row r="1" spans="1:10" ht="81" customHeight="1" x14ac:dyDescent="0.2">
      <c r="A1" s="83" t="s">
        <v>178</v>
      </c>
      <c r="B1" s="83"/>
      <c r="C1" s="83"/>
      <c r="D1" s="83"/>
      <c r="E1" s="83"/>
      <c r="F1" s="83"/>
      <c r="G1" s="83"/>
      <c r="H1" s="33"/>
      <c r="I1" s="33"/>
      <c r="J1" s="33"/>
    </row>
    <row r="2" spans="1:10" ht="19" customHeight="1" x14ac:dyDescent="0.2">
      <c r="A2" s="21"/>
      <c r="B2" s="36" t="s">
        <v>179</v>
      </c>
      <c r="C2" s="36" t="s">
        <v>180</v>
      </c>
      <c r="D2" s="36" t="s">
        <v>181</v>
      </c>
      <c r="E2" s="36"/>
      <c r="F2" s="36" t="s">
        <v>182</v>
      </c>
      <c r="G2" s="36" t="s">
        <v>183</v>
      </c>
      <c r="H2" s="21"/>
      <c r="I2" s="21"/>
      <c r="J2" s="21"/>
    </row>
    <row r="3" spans="1:10" ht="19" customHeight="1" x14ac:dyDescent="0.2">
      <c r="A3" s="36" t="s">
        <v>31</v>
      </c>
      <c r="B3" s="21" t="str">
        <f>IF(F3="部署","mars-base","")</f>
        <v>mars-base</v>
      </c>
      <c r="C3" s="21" t="str">
        <f>IF(G3="部署","mars-base","")</f>
        <v>mars-base</v>
      </c>
      <c r="D3" s="21" t="str">
        <f>IF(F3="部署","base_env,sys_depend,python,consul,redis,mysql,jdk,zookeeper,kafka,docker,docker_registry,k8s,clickhouse,etcd,influxdb,telegraf,k8s_svc,metrics_agent,monitor,client_tools","")</f>
        <v>base_env,sys_depend,python,consul,redis,mysql,jdk,zookeeper,kafka,docker,docker_registry,k8s,clickhouse,etcd,influxdb,telegraf,k8s_svc,metrics_agent,monitor,client_tools</v>
      </c>
      <c r="E3" s="21"/>
      <c r="F3" s="21" t="str">
        <f>G3</f>
        <v>部署</v>
      </c>
      <c r="G3" s="21" t="str">
        <f>项目信息输入!E5</f>
        <v>部署</v>
      </c>
      <c r="H3" s="21"/>
      <c r="I3" s="21"/>
      <c r="J3" s="21"/>
    </row>
    <row r="4" spans="1:10" ht="19" customHeight="1" x14ac:dyDescent="0.2">
      <c r="A4" s="36" t="s">
        <v>34</v>
      </c>
      <c r="B4" s="21" t="str">
        <f>IF(F4="部署","mars-devops","")</f>
        <v>mars-devops</v>
      </c>
      <c r="C4" s="21" t="str">
        <f>IF(G4="部署","mars-devops","")</f>
        <v>mars-devops</v>
      </c>
      <c r="D4" s="21" t="str">
        <f>IF(F4="部署","rocketmq,mongodb","")</f>
        <v>rocketmq,mongodb</v>
      </c>
      <c r="E4" s="21"/>
      <c r="F4" s="21" t="str">
        <f>IF(OR(EXACT(G8,"部署"),EXACT(G4,"部署")),"部署","不部署")</f>
        <v>部署</v>
      </c>
      <c r="G4" s="21" t="str">
        <f>项目信息输入!E6</f>
        <v>部署</v>
      </c>
      <c r="H4" s="21"/>
      <c r="I4" s="21"/>
      <c r="J4" s="21"/>
    </row>
    <row r="5" spans="1:10" ht="19" customHeight="1" x14ac:dyDescent="0.2">
      <c r="A5" s="36" t="s">
        <v>36</v>
      </c>
      <c r="B5" s="21" t="str">
        <f>IF(F5="部署","mars-saveu","")</f>
        <v/>
      </c>
      <c r="C5" s="21" t="str">
        <f>IF(G5="部署","mars-saveu","")</f>
        <v/>
      </c>
      <c r="D5" s="21" t="str">
        <f>IF(F5="部署","","")</f>
        <v/>
      </c>
      <c r="E5" s="21"/>
      <c r="F5" s="21" t="str">
        <f t="shared" ref="F5:F18" si="0">G5</f>
        <v>不部署</v>
      </c>
      <c r="G5" s="21" t="str">
        <f>项目信息输入!E7</f>
        <v>不部署</v>
      </c>
      <c r="H5" s="21"/>
      <c r="I5" s="21"/>
      <c r="J5" s="21"/>
    </row>
    <row r="6" spans="1:10" ht="19" customHeight="1" x14ac:dyDescent="0.2">
      <c r="A6" s="36" t="s">
        <v>37</v>
      </c>
      <c r="B6" s="21" t="str">
        <f>IF(F6="部署","mars-h5","")</f>
        <v>mars-h5</v>
      </c>
      <c r="C6" s="21" t="str">
        <f>IF(G6="部署","mars-h5","")</f>
        <v>mars-h5</v>
      </c>
      <c r="D6" s="21" t="str">
        <f>IF(F6="部署","","")</f>
        <v/>
      </c>
      <c r="E6" s="21"/>
      <c r="F6" s="21" t="str">
        <f t="shared" si="0"/>
        <v>部署</v>
      </c>
      <c r="G6" s="21" t="str">
        <f>项目信息输入!E8</f>
        <v>部署</v>
      </c>
      <c r="H6" s="21"/>
      <c r="I6" s="21"/>
      <c r="J6" s="21"/>
    </row>
    <row r="7" spans="1:10" ht="19" customHeight="1" x14ac:dyDescent="0.2">
      <c r="A7" s="36" t="s">
        <v>38</v>
      </c>
      <c r="B7" s="21" t="str">
        <f>IF(F7="部署","mars-mpaas","")</f>
        <v>mars-mpaas</v>
      </c>
      <c r="C7" s="21" t="str">
        <f>IF(G7="部署","mars-mpaas","")</f>
        <v>mars-mpaas</v>
      </c>
      <c r="D7" s="21" t="str">
        <f>IF(F7="部署","","")</f>
        <v/>
      </c>
      <c r="E7" s="21"/>
      <c r="F7" s="21" t="str">
        <f t="shared" si="0"/>
        <v>部署</v>
      </c>
      <c r="G7" s="21" t="str">
        <f>项目信息输入!E9</f>
        <v>部署</v>
      </c>
      <c r="H7" s="21"/>
      <c r="I7" s="21"/>
      <c r="J7" s="21"/>
    </row>
    <row r="8" spans="1:10" ht="19" customHeight="1" x14ac:dyDescent="0.2">
      <c r="A8" s="36" t="s">
        <v>39</v>
      </c>
      <c r="B8" s="21" t="str">
        <f>IF(F8="部署","mars-component","")</f>
        <v>mars-component</v>
      </c>
      <c r="C8" s="21" t="str">
        <f>IF(G8="部署","mars-component","")</f>
        <v>mars-component</v>
      </c>
      <c r="D8" s="21" t="str">
        <f>IF(F8="部署","elastic","")</f>
        <v>elastic</v>
      </c>
      <c r="E8" s="21"/>
      <c r="F8" s="21" t="str">
        <f t="shared" si="0"/>
        <v>部署</v>
      </c>
      <c r="G8" s="21" t="str">
        <f>项目信息输入!E10</f>
        <v>部署</v>
      </c>
      <c r="H8" s="21"/>
      <c r="I8" s="21"/>
      <c r="J8" s="21"/>
    </row>
    <row r="9" spans="1:10" ht="19" customHeight="1" x14ac:dyDescent="0.2">
      <c r="A9" s="36" t="s">
        <v>41</v>
      </c>
      <c r="B9" s="21" t="str">
        <f>IF(F9="部署","apminsight","")</f>
        <v/>
      </c>
      <c r="C9" s="21" t="str">
        <f>IF(G9="部署","apminsight","")</f>
        <v/>
      </c>
      <c r="D9" s="21" t="str">
        <f t="shared" ref="D9:D17" si="1">IF(F9="部署","","")</f>
        <v/>
      </c>
      <c r="E9" s="21"/>
      <c r="F9" s="21" t="str">
        <f t="shared" si="0"/>
        <v>不部署</v>
      </c>
      <c r="G9" s="21" t="str">
        <f>项目信息输入!E11</f>
        <v>不部署</v>
      </c>
      <c r="H9" s="21"/>
      <c r="I9" s="21"/>
      <c r="J9" s="21"/>
    </row>
    <row r="10" spans="1:10" ht="19" customHeight="1" x14ac:dyDescent="0.2">
      <c r="A10" s="36" t="s">
        <v>42</v>
      </c>
      <c r="B10" s="21" t="str">
        <f>IF(F10="部署","mars-miniprogram","")</f>
        <v/>
      </c>
      <c r="C10" s="21" t="str">
        <f>IF(G10="部署","mars-miniprogram","")</f>
        <v/>
      </c>
      <c r="D10" s="21" t="str">
        <f t="shared" si="1"/>
        <v/>
      </c>
      <c r="E10" s="21"/>
      <c r="F10" s="21" t="str">
        <f t="shared" si="0"/>
        <v>不部署</v>
      </c>
      <c r="G10" s="21" t="str">
        <f>项目信息输入!E12</f>
        <v>不部署</v>
      </c>
      <c r="H10" s="21"/>
      <c r="I10" s="21"/>
      <c r="J10" s="21"/>
    </row>
    <row r="11" spans="1:10" ht="19" customHeight="1" x14ac:dyDescent="0.2">
      <c r="A11" s="36" t="s">
        <v>43</v>
      </c>
      <c r="B11" s="21" t="str">
        <f>IF(F11="部署","mars-gateway","")</f>
        <v/>
      </c>
      <c r="C11" s="21" t="str">
        <f>IF(G11="部署","mars-gateway","")</f>
        <v/>
      </c>
      <c r="D11" s="21" t="str">
        <f t="shared" si="1"/>
        <v/>
      </c>
      <c r="E11" s="21"/>
      <c r="F11" s="21" t="str">
        <f t="shared" si="0"/>
        <v>不部署</v>
      </c>
      <c r="G11" s="21" t="str">
        <f>项目信息输入!E13</f>
        <v>不部署</v>
      </c>
      <c r="H11" s="21"/>
      <c r="I11" s="21"/>
      <c r="J11" s="21"/>
    </row>
    <row r="12" spans="1:10" ht="19" customHeight="1" x14ac:dyDescent="0.2">
      <c r="A12" s="36" t="s">
        <v>44</v>
      </c>
      <c r="B12" s="21" t="str">
        <f>IF(F12="部署","mars-config","")</f>
        <v/>
      </c>
      <c r="C12" s="21" t="str">
        <f>IF(G12="部署","mars-config","")</f>
        <v/>
      </c>
      <c r="D12" s="21" t="str">
        <f t="shared" si="1"/>
        <v/>
      </c>
      <c r="E12" s="21"/>
      <c r="F12" s="21" t="str">
        <f t="shared" si="0"/>
        <v>不部署</v>
      </c>
      <c r="G12" s="21" t="str">
        <f>项目信息输入!E14</f>
        <v>不部署</v>
      </c>
      <c r="H12" s="21"/>
      <c r="I12" s="21"/>
      <c r="J12" s="21"/>
    </row>
    <row r="13" spans="1:10" ht="19" customHeight="1" x14ac:dyDescent="0.2">
      <c r="A13" s="36" t="s">
        <v>45</v>
      </c>
      <c r="B13" s="21" t="str">
        <f>IF(F13="部署","mars-push","")</f>
        <v/>
      </c>
      <c r="C13" s="21" t="str">
        <f>IF(G13="部署","mars-push","")</f>
        <v/>
      </c>
      <c r="D13" s="21" t="str">
        <f t="shared" si="1"/>
        <v/>
      </c>
      <c r="E13" s="21"/>
      <c r="F13" s="21" t="str">
        <f t="shared" si="0"/>
        <v>不部署</v>
      </c>
      <c r="G13" s="21" t="str">
        <f>项目信息输入!E15</f>
        <v>不部署</v>
      </c>
      <c r="H13" s="21"/>
      <c r="I13" s="21"/>
      <c r="J13" s="21"/>
    </row>
    <row r="14" spans="1:10" ht="19" customHeight="1" x14ac:dyDescent="0.2">
      <c r="A14" s="36" t="s">
        <v>46</v>
      </c>
      <c r="B14" s="21" t="str">
        <f>IF(F14="部署","mars-device","")</f>
        <v/>
      </c>
      <c r="C14" s="21" t="str">
        <f>IF(G14="部署","mars-device","")</f>
        <v/>
      </c>
      <c r="D14" s="21" t="str">
        <f t="shared" si="1"/>
        <v/>
      </c>
      <c r="E14" s="21"/>
      <c r="F14" s="21" t="str">
        <f t="shared" si="0"/>
        <v>不部署</v>
      </c>
      <c r="G14" s="21" t="str">
        <f>项目信息输入!E16</f>
        <v>不部署</v>
      </c>
      <c r="H14" s="21"/>
      <c r="I14" s="21"/>
      <c r="J14" s="21"/>
    </row>
    <row r="15" spans="1:10" ht="19" customHeight="1" x14ac:dyDescent="0.2">
      <c r="A15" s="36" t="s">
        <v>47</v>
      </c>
      <c r="B15" s="21" t="str">
        <f>IF(F15="部署","mars-performance-test","")</f>
        <v/>
      </c>
      <c r="C15" s="21" t="str">
        <f>IF(G15="部署","mars-performance-test","")</f>
        <v/>
      </c>
      <c r="D15" s="21" t="str">
        <f t="shared" si="1"/>
        <v/>
      </c>
      <c r="E15" s="21"/>
      <c r="F15" s="21" t="str">
        <f t="shared" si="0"/>
        <v>不部署</v>
      </c>
      <c r="G15" s="21" t="str">
        <f>项目信息输入!E17</f>
        <v>不部署</v>
      </c>
      <c r="H15" s="21"/>
      <c r="I15" s="21"/>
      <c r="J15" s="21"/>
    </row>
    <row r="16" spans="1:10" ht="19" customHeight="1" x14ac:dyDescent="0.2">
      <c r="A16" s="36" t="s">
        <v>48</v>
      </c>
      <c r="B16" s="21" t="str">
        <f>IF(F16="部署","mars-function-test","")</f>
        <v/>
      </c>
      <c r="C16" s="21" t="str">
        <f>C17</f>
        <v/>
      </c>
      <c r="D16" s="21" t="str">
        <f t="shared" si="1"/>
        <v/>
      </c>
      <c r="E16" s="21"/>
      <c r="F16" s="21" t="str">
        <f t="shared" si="0"/>
        <v>不部署</v>
      </c>
      <c r="G16" s="21" t="str">
        <f>项目信息输入!E18</f>
        <v>不部署</v>
      </c>
      <c r="H16" s="21"/>
      <c r="I16" s="21"/>
      <c r="J16" s="21"/>
    </row>
    <row r="17" spans="1:10" ht="19" customHeight="1" x14ac:dyDescent="0.2">
      <c r="A17" s="36" t="s">
        <v>49</v>
      </c>
      <c r="B17" s="21" t="str">
        <f>IF(F17="部署","mars-pm","")</f>
        <v/>
      </c>
      <c r="C17" s="21" t="str">
        <f>IF(G17="部署","mars-pm","")</f>
        <v/>
      </c>
      <c r="D17" s="21" t="str">
        <f t="shared" si="1"/>
        <v/>
      </c>
      <c r="E17" s="21"/>
      <c r="F17" s="21" t="str">
        <f t="shared" si="0"/>
        <v>不部署</v>
      </c>
      <c r="G17" s="21" t="str">
        <f>项目信息输入!E19</f>
        <v>不部署</v>
      </c>
      <c r="H17" s="21"/>
      <c r="I17" s="21"/>
      <c r="J17" s="21"/>
    </row>
    <row r="18" spans="1:10" ht="19" customHeight="1" x14ac:dyDescent="0.2">
      <c r="A18" s="43" t="s">
        <v>50</v>
      </c>
      <c r="B18" s="21" t="str">
        <f>IF(F18="部署","starry","")</f>
        <v/>
      </c>
      <c r="C18" s="21" t="str">
        <f>IF(G18="部署","starry","")</f>
        <v/>
      </c>
      <c r="D18" s="21"/>
      <c r="E18" s="21"/>
      <c r="F18" s="21" t="str">
        <f t="shared" si="0"/>
        <v>不部署</v>
      </c>
      <c r="G18" s="21" t="str">
        <f>项目信息输入!E20</f>
        <v>不部署</v>
      </c>
      <c r="H18" s="21"/>
      <c r="I18" s="21"/>
      <c r="J18" s="21"/>
    </row>
    <row r="19" spans="1:10" ht="19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409.5" customHeight="1" x14ac:dyDescent="0.2">
      <c r="A20" s="36" t="s">
        <v>184</v>
      </c>
      <c r="B20" s="33" t="str">
        <f>CONCATENATE("mars-consul",CHAR(10),B3,CHAR(10),B4,CHAR(10),B5,CHAR(10),B6,CHAR(10),B7,CHAR(10),B8,CHAR(10),B9,CHAR(10),B10,CHAR(10),B11,CHAR(10),B12,CHAR(10),B13,CHAR(10),B14,CHAR(10),B15,CHAR(10),B16,CHAR(10),B17,CHAR(10),B18,CHAR(10))</f>
        <v xml:space="preserve">mars-consul
mars-base
mars-devops
mars-h5
mars-mpaas
mars-component
</v>
      </c>
      <c r="C20" s="36" t="s">
        <v>185</v>
      </c>
      <c r="D20" s="33" t="str">
        <f>CONCATENATE("mars-consul",CHAR(10),C3,CHAR(10),C4,CHAR(10),C5,CHAR(10),C6,CHAR(10),C7,CHAR(10),C8,CHAR(10),C9,CHAR(10),C10,CHAR(10),C11,CHAR(10),C12,CHAR(10),C13,CHAR(10),C14,CHAR(10),C15,CHAR(10),C16,CHAR(10),C17,CHAR(10),C18,CHAR(10))</f>
        <v xml:space="preserve">mars-consul
mars-base
mars-devops
mars-h5
mars-mpaas
mars-component
</v>
      </c>
      <c r="E20" s="36" t="s">
        <v>186</v>
      </c>
      <c r="F20" s="33" t="s">
        <v>187</v>
      </c>
      <c r="G20" s="33"/>
      <c r="H20" s="36" t="s">
        <v>188</v>
      </c>
      <c r="I20" s="33" t="str">
        <f>CONCATENATE(D3,",",D4,",",D5,",",D6,",",D7,",",D8,",",D9,",",D10,",",D11,",",D12,",",D13,",",D14,",",D15,",",D16,",",D17)</f>
        <v>base_env,sys_depend,python,consul,redis,mysql,jdk,zookeeper,kafka,docker,docker_registry,k8s,clickhouse,etcd,influxdb,telegraf,k8s_svc,metrics_agent,monitor,client_tools,rocketmq,mongodb,,,,elastic,,,,,,,,,</v>
      </c>
      <c r="J20" s="2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说明</vt:lpstr>
      <vt:lpstr>项目信息输入</vt:lpstr>
      <vt:lpstr>100W日活-资源列表</vt:lpstr>
      <vt:lpstr>50W日活-资源列表</vt:lpstr>
      <vt:lpstr>POC-资源列表 (演示用，不提供高可用)</vt:lpstr>
      <vt:lpstr>配置项</vt:lpstr>
      <vt:lpstr>项目资源计算表</vt:lpstr>
      <vt:lpstr>选装部署install.list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2022-05-10T09:14:00Z</dcterms:created>
  <dcterms:modified xsi:type="dcterms:W3CDTF">2022-06-23T06:15:23Z</dcterms:modified>
</cp:coreProperties>
</file>